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defaultThemeVersion="124226"/>
  <mc:AlternateContent xmlns:mc="http://schemas.openxmlformats.org/markup-compatibility/2006">
    <mc:Choice Requires="x15">
      <x15ac:absPath xmlns:x15ac="http://schemas.microsoft.com/office/spreadsheetml/2010/11/ac" url="C:\Users\pkairis\Documents\Fisheries\Fishery_Management\Salmon\steelhead\202324\"/>
    </mc:Choice>
  </mc:AlternateContent>
  <xr:revisionPtr revIDLastSave="0" documentId="8_{6890DA68-290F-4E1F-A202-A3F35CF97060}" xr6:coauthVersionLast="36" xr6:coauthVersionMax="36" xr10:uidLastSave="{00000000-0000-0000-0000-000000000000}"/>
  <bookViews>
    <workbookView xWindow="0" yWindow="0" windowWidth="22980" windowHeight="8955" xr2:uid="{883DFF24-AA69-488D-AD14-131AB981EF5E}"/>
  </bookViews>
  <sheets>
    <sheet name="TerminalRR" sheetId="1" r:id="rId1"/>
    <sheet name="SportRelMort" sheetId="6" r:id="rId2"/>
    <sheet name="TreatyCatch" sheetId="3" r:id="rId3"/>
    <sheet name="SportCatchMaster" sheetId="2" r:id="rId4"/>
    <sheet name="Test Fishery" sheetId="4" r:id="rId5"/>
    <sheet name="ByTribeForHRModel" sheetId="7" r:id="rId6"/>
    <sheet name="HRProjectionSummary" sheetId="8" r:id="rId7"/>
  </sheets>
  <externalReferences>
    <externalReference r:id="rId8"/>
    <externalReference r:id="rId9"/>
    <externalReference r:id="rId10"/>
    <externalReference r:id="rId11"/>
    <externalReference r:id="rId12"/>
  </externalReferences>
  <definedNames>
    <definedName name="_xlnm.Print_Area" localSheetId="0">TerminalRR!$A$1:$V$53</definedName>
  </definedNames>
  <calcPr calcId="191029"/>
  <fileRecoveryPr autoRecover="0"/>
</workbook>
</file>

<file path=xl/calcChain.xml><?xml version="1.0" encoding="utf-8"?>
<calcChain xmlns="http://schemas.openxmlformats.org/spreadsheetml/2006/main">
  <c r="DQ20" i="4" l="1"/>
  <c r="DQ19" i="4"/>
  <c r="DR18" i="4"/>
  <c r="DR17" i="4"/>
  <c r="DQ16" i="4"/>
  <c r="DQ15" i="4"/>
  <c r="DQ14" i="4"/>
  <c r="DQ13" i="4"/>
  <c r="DW19" i="4" l="1"/>
  <c r="DW17" i="4"/>
  <c r="DW14" i="4"/>
  <c r="DW13" i="4"/>
  <c r="DX20" i="4" l="1"/>
  <c r="DW20" i="4"/>
  <c r="DX19" i="4"/>
  <c r="DX18" i="4"/>
  <c r="DW18" i="4"/>
  <c r="DX17" i="4"/>
  <c r="DX16" i="4"/>
  <c r="DW16" i="4"/>
  <c r="DX15" i="4"/>
  <c r="DW15" i="4"/>
  <c r="DX14" i="4"/>
  <c r="DX13" i="4"/>
  <c r="DX12" i="4"/>
  <c r="DW12" i="4"/>
  <c r="DX11" i="4"/>
  <c r="DW11" i="4"/>
  <c r="BO8" i="2" l="1"/>
  <c r="AY97" i="6"/>
  <c r="AY98" i="6"/>
  <c r="AY78" i="6"/>
  <c r="AY81" i="6" s="1"/>
  <c r="AY83" i="6" s="1"/>
  <c r="AY111" i="6"/>
  <c r="AY110" i="6"/>
  <c r="AX59" i="6"/>
  <c r="AX60" i="6"/>
  <c r="AW59" i="6"/>
  <c r="AW60" i="6"/>
  <c r="AV59" i="6"/>
  <c r="AV60" i="6"/>
  <c r="AT59" i="6"/>
  <c r="AT60" i="6"/>
  <c r="AQ59" i="6"/>
  <c r="AQ60" i="6"/>
  <c r="AQ58" i="6"/>
  <c r="AQ57" i="6"/>
  <c r="AT58" i="6" l="1"/>
  <c r="AV58" i="6"/>
  <c r="AW58" i="6"/>
  <c r="AX58" i="6"/>
  <c r="AT57" i="6"/>
  <c r="AV57" i="6"/>
  <c r="AW57" i="6"/>
  <c r="AX57" i="6"/>
  <c r="AW61" i="6" l="1"/>
  <c r="BA58" i="6"/>
  <c r="BA59" i="6"/>
  <c r="BA60" i="6"/>
  <c r="BA61" i="6"/>
  <c r="BA62" i="6"/>
  <c r="BA57" i="6"/>
  <c r="AY53" i="6"/>
  <c r="AY29" i="6"/>
  <c r="AY33" i="6" s="1"/>
  <c r="AY35" i="6" s="1"/>
  <c r="AY14" i="6"/>
  <c r="AY13" i="6"/>
  <c r="U56" i="1"/>
  <c r="U55" i="1"/>
  <c r="H57" i="1"/>
  <c r="E51" i="1"/>
  <c r="AY55" i="6" l="1"/>
  <c r="AY59" i="6"/>
  <c r="AY60" i="6"/>
  <c r="AY57" i="6"/>
  <c r="AY58" i="6"/>
  <c r="AX61" i="6"/>
  <c r="AT61" i="6"/>
  <c r="AV61" i="6"/>
  <c r="AY32" i="6"/>
  <c r="AY34" i="6" s="1"/>
  <c r="AY36" i="6" s="1"/>
  <c r="AY30" i="6"/>
  <c r="AY15" i="6"/>
  <c r="CA262" i="7"/>
  <c r="CA260" i="7"/>
  <c r="CA256" i="7"/>
  <c r="CA204" i="7"/>
  <c r="CA205" i="7"/>
  <c r="CA203" i="7"/>
  <c r="CA94" i="7"/>
  <c r="CA95" i="7"/>
  <c r="CA88" i="7"/>
  <c r="CA87" i="7"/>
  <c r="CA86" i="7"/>
  <c r="CA85" i="7"/>
  <c r="DV266" i="3"/>
  <c r="DV265" i="3"/>
  <c r="DV260" i="3"/>
  <c r="DV259" i="3"/>
  <c r="DV258" i="3"/>
  <c r="DV257" i="3"/>
  <c r="DV256" i="3"/>
  <c r="DP264" i="3"/>
  <c r="DP260" i="3"/>
  <c r="DP259" i="3"/>
  <c r="DP258" i="3"/>
  <c r="DP257" i="3"/>
  <c r="DP256" i="3"/>
  <c r="DV254" i="3"/>
  <c r="DV255" i="3"/>
  <c r="DV253" i="3"/>
  <c r="CA35" i="7"/>
  <c r="CA28" i="7"/>
  <c r="CM5" i="7"/>
  <c r="CD204" i="7" s="1"/>
  <c r="CF5" i="7"/>
  <c r="CG85" i="7" s="1"/>
  <c r="AY61" i="6" l="1"/>
  <c r="H55" i="1" s="1"/>
  <c r="CG88" i="7"/>
  <c r="CD35" i="7"/>
  <c r="CG87" i="7"/>
  <c r="CG95" i="7"/>
  <c r="CG35" i="7"/>
  <c r="CD28" i="7"/>
  <c r="CD256" i="7"/>
  <c r="CG94" i="7"/>
  <c r="CG28" i="7"/>
  <c r="CG256" i="7"/>
  <c r="CD95" i="7"/>
  <c r="CG86" i="7"/>
  <c r="CD94" i="7"/>
  <c r="CD262" i="7"/>
  <c r="CG260" i="7"/>
  <c r="CD260" i="7"/>
  <c r="CD203" i="7"/>
  <c r="CG262" i="7"/>
  <c r="CD85" i="7"/>
  <c r="CG203" i="7"/>
  <c r="CD86" i="7"/>
  <c r="CG205" i="7"/>
  <c r="CD87" i="7"/>
  <c r="CG204" i="7"/>
  <c r="CD88" i="7"/>
  <c r="CD205" i="7"/>
  <c r="DY266" i="3"/>
  <c r="DY265" i="3"/>
  <c r="DY254" i="3"/>
  <c r="DY255" i="3"/>
  <c r="DY256" i="3"/>
  <c r="DY257" i="3"/>
  <c r="DY258" i="3"/>
  <c r="DY259" i="3"/>
  <c r="DY260" i="3"/>
  <c r="DY253" i="3"/>
  <c r="CN353" i="7" l="1"/>
  <c r="CM353" i="7"/>
  <c r="CL353" i="7"/>
  <c r="CK353" i="7"/>
  <c r="CJ353" i="7"/>
  <c r="CI353" i="7"/>
  <c r="CH353" i="7"/>
  <c r="CN352" i="7"/>
  <c r="CM352" i="7"/>
  <c r="CL352" i="7"/>
  <c r="CK352" i="7"/>
  <c r="CJ352" i="7"/>
  <c r="CI352" i="7"/>
  <c r="CH352" i="7"/>
  <c r="CN351" i="7"/>
  <c r="CM351" i="7"/>
  <c r="CL351" i="7"/>
  <c r="CK351" i="7"/>
  <c r="CJ351" i="7"/>
  <c r="CI351" i="7"/>
  <c r="CH351" i="7"/>
  <c r="CN350" i="7"/>
  <c r="CM350" i="7"/>
  <c r="CL350" i="7"/>
  <c r="CK350" i="7"/>
  <c r="CJ350" i="7"/>
  <c r="CI350" i="7"/>
  <c r="CH350" i="7"/>
  <c r="CN349" i="7"/>
  <c r="CM349" i="7"/>
  <c r="CL349" i="7"/>
  <c r="CK349" i="7"/>
  <c r="CJ349" i="7"/>
  <c r="CI349" i="7"/>
  <c r="CH349" i="7"/>
  <c r="CN348" i="7"/>
  <c r="CM348" i="7"/>
  <c r="CL348" i="7"/>
  <c r="CK348" i="7"/>
  <c r="CJ348" i="7"/>
  <c r="CI348" i="7"/>
  <c r="CH348" i="7"/>
  <c r="CN347" i="7"/>
  <c r="CM347" i="7"/>
  <c r="CL347" i="7"/>
  <c r="CK347" i="7"/>
  <c r="CJ347" i="7"/>
  <c r="CI347" i="7"/>
  <c r="CH347" i="7"/>
  <c r="CN346" i="7"/>
  <c r="CM346" i="7"/>
  <c r="CL346" i="7"/>
  <c r="CK346" i="7"/>
  <c r="CJ346" i="7"/>
  <c r="CI346" i="7"/>
  <c r="CH346" i="7"/>
  <c r="CN345" i="7"/>
  <c r="CM345" i="7"/>
  <c r="CL345" i="7"/>
  <c r="CK345" i="7"/>
  <c r="CJ345" i="7"/>
  <c r="CI345" i="7"/>
  <c r="CH345" i="7"/>
  <c r="CN344" i="7"/>
  <c r="CM344" i="7"/>
  <c r="CL344" i="7"/>
  <c r="CK344" i="7"/>
  <c r="CJ344" i="7"/>
  <c r="CI344" i="7"/>
  <c r="CH344" i="7"/>
  <c r="CN343" i="7"/>
  <c r="CM343" i="7"/>
  <c r="CL343" i="7"/>
  <c r="CK343" i="7"/>
  <c r="CJ343" i="7"/>
  <c r="CI343" i="7"/>
  <c r="CH343" i="7"/>
  <c r="CN342" i="7"/>
  <c r="CM342" i="7"/>
  <c r="CL342" i="7"/>
  <c r="CK342" i="7"/>
  <c r="CJ342" i="7"/>
  <c r="CI342" i="7"/>
  <c r="CH342" i="7"/>
  <c r="CN341" i="7"/>
  <c r="CM341" i="7"/>
  <c r="CL341" i="7"/>
  <c r="CK341" i="7"/>
  <c r="CJ341" i="7"/>
  <c r="CI341" i="7"/>
  <c r="CH341" i="7"/>
  <c r="CN340" i="7"/>
  <c r="CM340" i="7"/>
  <c r="CL340" i="7"/>
  <c r="CK340" i="7"/>
  <c r="CJ340" i="7"/>
  <c r="CI340" i="7"/>
  <c r="CH340" i="7"/>
  <c r="CN339" i="7"/>
  <c r="CM339" i="7"/>
  <c r="CL339" i="7"/>
  <c r="CK339" i="7"/>
  <c r="CJ339" i="7"/>
  <c r="CI339" i="7"/>
  <c r="CH339" i="7"/>
  <c r="CN338" i="7"/>
  <c r="CM338" i="7"/>
  <c r="CL338" i="7"/>
  <c r="CK338" i="7"/>
  <c r="CJ338" i="7"/>
  <c r="CI338" i="7"/>
  <c r="CH338" i="7"/>
  <c r="CN337" i="7"/>
  <c r="CM337" i="7"/>
  <c r="CL337" i="7"/>
  <c r="CK337" i="7"/>
  <c r="CJ337" i="7"/>
  <c r="CI337" i="7"/>
  <c r="CH337" i="7"/>
  <c r="CN336" i="7"/>
  <c r="CM336" i="7"/>
  <c r="CL336" i="7"/>
  <c r="CK336" i="7"/>
  <c r="CJ336" i="7"/>
  <c r="CI336" i="7"/>
  <c r="CH336" i="7"/>
  <c r="CN335" i="7"/>
  <c r="CM335" i="7"/>
  <c r="CL335" i="7"/>
  <c r="CK335" i="7"/>
  <c r="CJ335" i="7"/>
  <c r="CI335" i="7"/>
  <c r="CH335" i="7"/>
  <c r="CN334" i="7"/>
  <c r="CM334" i="7"/>
  <c r="CL334" i="7"/>
  <c r="CK334" i="7"/>
  <c r="CJ334" i="7"/>
  <c r="CI334" i="7"/>
  <c r="CH334" i="7"/>
  <c r="CN333" i="7"/>
  <c r="CM333" i="7"/>
  <c r="CL333" i="7"/>
  <c r="CK333" i="7"/>
  <c r="CJ333" i="7"/>
  <c r="CI333" i="7"/>
  <c r="CH333" i="7"/>
  <c r="CN332" i="7"/>
  <c r="CM332" i="7"/>
  <c r="CL332" i="7"/>
  <c r="CK332" i="7"/>
  <c r="CJ332" i="7"/>
  <c r="CI332" i="7"/>
  <c r="CH332" i="7"/>
  <c r="CN331" i="7"/>
  <c r="CM331" i="7"/>
  <c r="CL331" i="7"/>
  <c r="CK331" i="7"/>
  <c r="CJ331" i="7"/>
  <c r="CI331" i="7"/>
  <c r="CH331" i="7"/>
  <c r="CN330" i="7"/>
  <c r="CM330" i="7"/>
  <c r="CL330" i="7"/>
  <c r="CK330" i="7"/>
  <c r="CJ330" i="7"/>
  <c r="CI330" i="7"/>
  <c r="CH330" i="7"/>
  <c r="CN329" i="7"/>
  <c r="CM329" i="7"/>
  <c r="CL329" i="7"/>
  <c r="CK329" i="7"/>
  <c r="CJ329" i="7"/>
  <c r="CI329" i="7"/>
  <c r="CH329" i="7"/>
  <c r="CN328" i="7"/>
  <c r="CM328" i="7"/>
  <c r="CL328" i="7"/>
  <c r="CK328" i="7"/>
  <c r="CJ328" i="7"/>
  <c r="CI328" i="7"/>
  <c r="CH328" i="7"/>
  <c r="CN327" i="7"/>
  <c r="CM327" i="7"/>
  <c r="CL327" i="7"/>
  <c r="CK327" i="7"/>
  <c r="CJ327" i="7"/>
  <c r="CI327" i="7"/>
  <c r="CH327" i="7"/>
  <c r="CN326" i="7"/>
  <c r="CM326" i="7"/>
  <c r="CL326" i="7"/>
  <c r="CK326" i="7"/>
  <c r="CJ326" i="7"/>
  <c r="CI326" i="7"/>
  <c r="CH326" i="7"/>
  <c r="CN325" i="7"/>
  <c r="CM325" i="7"/>
  <c r="CL325" i="7"/>
  <c r="CK325" i="7"/>
  <c r="CJ325" i="7"/>
  <c r="CI325" i="7"/>
  <c r="CH325" i="7"/>
  <c r="CN324" i="7"/>
  <c r="CM324" i="7"/>
  <c r="CL324" i="7"/>
  <c r="CK324" i="7"/>
  <c r="CJ324" i="7"/>
  <c r="CI324" i="7"/>
  <c r="CH324" i="7"/>
  <c r="CN323" i="7"/>
  <c r="CM323" i="7"/>
  <c r="CL323" i="7"/>
  <c r="CK323" i="7"/>
  <c r="CJ323" i="7"/>
  <c r="CI323" i="7"/>
  <c r="CH323" i="7"/>
  <c r="CN322" i="7"/>
  <c r="CM322" i="7"/>
  <c r="CL322" i="7"/>
  <c r="CK322" i="7"/>
  <c r="CJ322" i="7"/>
  <c r="CI322" i="7"/>
  <c r="CH322" i="7"/>
  <c r="CN321" i="7"/>
  <c r="CM321" i="7"/>
  <c r="CL321" i="7"/>
  <c r="CK321" i="7"/>
  <c r="CJ321" i="7"/>
  <c r="CI321" i="7"/>
  <c r="CH321" i="7"/>
  <c r="CN320" i="7"/>
  <c r="CM320" i="7"/>
  <c r="CL320" i="7"/>
  <c r="CK320" i="7"/>
  <c r="CJ320" i="7"/>
  <c r="CI320" i="7"/>
  <c r="CH320" i="7"/>
  <c r="CN319" i="7"/>
  <c r="CM319" i="7"/>
  <c r="CL319" i="7"/>
  <c r="CK319" i="7"/>
  <c r="CJ319" i="7"/>
  <c r="CI319" i="7"/>
  <c r="CH319" i="7"/>
  <c r="CN318" i="7"/>
  <c r="CM318" i="7"/>
  <c r="CL318" i="7"/>
  <c r="CK318" i="7"/>
  <c r="CJ318" i="7"/>
  <c r="CI318" i="7"/>
  <c r="CH318" i="7"/>
  <c r="CN317" i="7"/>
  <c r="CM317" i="7"/>
  <c r="CL317" i="7"/>
  <c r="CK317" i="7"/>
  <c r="CJ317" i="7"/>
  <c r="CI317" i="7"/>
  <c r="CH317" i="7"/>
  <c r="CN316" i="7"/>
  <c r="CM316" i="7"/>
  <c r="CL316" i="7"/>
  <c r="CK316" i="7"/>
  <c r="CJ316" i="7"/>
  <c r="CI316" i="7"/>
  <c r="CH316" i="7"/>
  <c r="CN315" i="7"/>
  <c r="CM315" i="7"/>
  <c r="CL315" i="7"/>
  <c r="CK315" i="7"/>
  <c r="CJ315" i="7"/>
  <c r="CI315" i="7"/>
  <c r="CH315" i="7"/>
  <c r="CN314" i="7"/>
  <c r="CM314" i="7"/>
  <c r="CL314" i="7"/>
  <c r="CK314" i="7"/>
  <c r="CJ314" i="7"/>
  <c r="CI314" i="7"/>
  <c r="CH314" i="7"/>
  <c r="CN313" i="7"/>
  <c r="CM313" i="7"/>
  <c r="CL313" i="7"/>
  <c r="CK313" i="7"/>
  <c r="CJ313" i="7"/>
  <c r="CI313" i="7"/>
  <c r="CH313" i="7"/>
  <c r="CN312" i="7"/>
  <c r="CM312" i="7"/>
  <c r="CL312" i="7"/>
  <c r="CK312" i="7"/>
  <c r="CJ312" i="7"/>
  <c r="CI312" i="7"/>
  <c r="CH312" i="7"/>
  <c r="CN311" i="7"/>
  <c r="CM311" i="7"/>
  <c r="CL311" i="7"/>
  <c r="CK311" i="7"/>
  <c r="CJ311" i="7"/>
  <c r="CI311" i="7"/>
  <c r="CH311" i="7"/>
  <c r="CN310" i="7"/>
  <c r="CM310" i="7"/>
  <c r="CL310" i="7"/>
  <c r="CK310" i="7"/>
  <c r="CJ310" i="7"/>
  <c r="CI310" i="7"/>
  <c r="CH310" i="7"/>
  <c r="CN309" i="7"/>
  <c r="CM309" i="7"/>
  <c r="CL309" i="7"/>
  <c r="CK309" i="7"/>
  <c r="CJ309" i="7"/>
  <c r="CI309" i="7"/>
  <c r="CH309" i="7"/>
  <c r="CN308" i="7"/>
  <c r="CM308" i="7"/>
  <c r="CL308" i="7"/>
  <c r="CK308" i="7"/>
  <c r="CJ308" i="7"/>
  <c r="CI308" i="7"/>
  <c r="CH308" i="7"/>
  <c r="CN307" i="7"/>
  <c r="CM307" i="7"/>
  <c r="CL307" i="7"/>
  <c r="CK307" i="7"/>
  <c r="CJ307" i="7"/>
  <c r="CI307" i="7"/>
  <c r="CH307" i="7"/>
  <c r="CN306" i="7"/>
  <c r="CM306" i="7"/>
  <c r="CL306" i="7"/>
  <c r="CK306" i="7"/>
  <c r="CJ306" i="7"/>
  <c r="CI306" i="7"/>
  <c r="CH306" i="7"/>
  <c r="CN305" i="7"/>
  <c r="CM305" i="7"/>
  <c r="CL305" i="7"/>
  <c r="CK305" i="7"/>
  <c r="CJ305" i="7"/>
  <c r="CI305" i="7"/>
  <c r="CH305" i="7"/>
  <c r="CN304" i="7"/>
  <c r="CM304" i="7"/>
  <c r="CL304" i="7"/>
  <c r="CK304" i="7"/>
  <c r="CJ304" i="7"/>
  <c r="CI304" i="7"/>
  <c r="CH304" i="7"/>
  <c r="CN303" i="7"/>
  <c r="CM303" i="7"/>
  <c r="CL303" i="7"/>
  <c r="CK303" i="7"/>
  <c r="CJ303" i="7"/>
  <c r="CI303" i="7"/>
  <c r="CH303" i="7"/>
  <c r="CN302" i="7"/>
  <c r="CM302" i="7"/>
  <c r="CL302" i="7"/>
  <c r="CK302" i="7"/>
  <c r="CJ302" i="7"/>
  <c r="CI302" i="7"/>
  <c r="CH302" i="7"/>
  <c r="CN301" i="7"/>
  <c r="CM301" i="7"/>
  <c r="CL301" i="7"/>
  <c r="CK301" i="7"/>
  <c r="CJ301" i="7"/>
  <c r="CI301" i="7"/>
  <c r="CH301" i="7"/>
  <c r="CH299" i="7"/>
  <c r="CH66" i="7"/>
  <c r="CH124" i="7" s="1"/>
  <c r="CH182" i="7" s="1"/>
  <c r="CH240" i="7" s="1"/>
  <c r="ED62" i="4"/>
  <c r="DZ58" i="4"/>
  <c r="EF16" i="4"/>
  <c r="EG16" i="4"/>
  <c r="EF17" i="4"/>
  <c r="EG17" i="4"/>
  <c r="EF18" i="4"/>
  <c r="EG18" i="4"/>
  <c r="EF19" i="4"/>
  <c r="EG19" i="4"/>
  <c r="EF20" i="4"/>
  <c r="EG20" i="4"/>
  <c r="BP38" i="2"/>
  <c r="H51" i="1" s="1"/>
  <c r="BO36" i="2"/>
  <c r="BO34" i="2"/>
  <c r="BP32" i="2"/>
  <c r="BO32" i="2"/>
  <c r="BP31" i="2"/>
  <c r="BP33" i="2" s="1"/>
  <c r="BO31" i="2"/>
  <c r="BO33" i="2" s="1"/>
  <c r="EA300" i="3"/>
  <c r="CN362" i="7" s="1"/>
  <c r="DZ298" i="3"/>
  <c r="CN360" i="7" s="1"/>
  <c r="DZ296" i="3"/>
  <c r="CN358" i="7" s="1"/>
  <c r="EE292" i="3"/>
  <c r="ED292" i="3"/>
  <c r="EC292" i="3"/>
  <c r="EB292" i="3"/>
  <c r="EA292" i="3"/>
  <c r="DZ292" i="3"/>
  <c r="DZ237" i="3"/>
  <c r="DZ233" i="3"/>
  <c r="DZ179" i="3"/>
  <c r="DZ120" i="3"/>
  <c r="EE116" i="3"/>
  <c r="ED116" i="3"/>
  <c r="EC116" i="3"/>
  <c r="EB116" i="3"/>
  <c r="EA116" i="3"/>
  <c r="DZ116" i="3"/>
  <c r="DZ61" i="3"/>
  <c r="DY31" i="4" l="1"/>
  <c r="EA60" i="4" s="1"/>
  <c r="DV29" i="4"/>
  <c r="DZ56" i="4" s="1"/>
  <c r="BO40" i="2"/>
  <c r="B51" i="1"/>
  <c r="DZ302" i="3"/>
  <c r="CN364" i="7" s="1"/>
  <c r="AX29" i="6"/>
  <c r="AX82" i="6" l="1"/>
  <c r="AX78" i="6"/>
  <c r="AX81" i="6" s="1"/>
  <c r="AX111" i="6"/>
  <c r="AX110" i="6"/>
  <c r="AX55" i="6"/>
  <c r="AX14" i="6"/>
  <c r="AX13" i="6"/>
  <c r="AX33" i="6"/>
  <c r="AX35" i="6" s="1"/>
  <c r="AX32" i="6"/>
  <c r="AX34" i="6" s="1"/>
  <c r="AX30" i="6"/>
  <c r="AX15" i="6" l="1"/>
  <c r="AX36" i="6"/>
  <c r="AX83" i="6"/>
  <c r="AE3" i="6" l="1"/>
  <c r="DR21" i="4"/>
  <c r="DR20" i="4"/>
  <c r="DR19" i="4"/>
  <c r="DR16" i="4"/>
  <c r="DR15" i="4"/>
  <c r="DR12" i="4"/>
  <c r="DR11" i="4"/>
  <c r="DQ21" i="4"/>
  <c r="DQ18" i="4"/>
  <c r="DQ17" i="4"/>
  <c r="DQ12" i="4"/>
  <c r="DQ11" i="4"/>
  <c r="DS260" i="3" l="1"/>
  <c r="DS280" i="3"/>
  <c r="DS278" i="3"/>
  <c r="DP280" i="3"/>
  <c r="DP278" i="3"/>
  <c r="DS267" i="3"/>
  <c r="DS266" i="3"/>
  <c r="DJ266" i="3"/>
  <c r="DP267" i="3"/>
  <c r="DP266" i="3"/>
  <c r="BT283" i="7"/>
  <c r="BT281" i="7"/>
  <c r="BT270" i="7"/>
  <c r="BT261" i="7"/>
  <c r="BT205" i="7"/>
  <c r="BT204" i="7"/>
  <c r="BT95" i="7"/>
  <c r="BT93" i="7"/>
  <c r="BT88" i="7"/>
  <c r="BT87" i="7"/>
  <c r="BT86" i="7"/>
  <c r="BT85" i="7"/>
  <c r="CG353" i="7" l="1"/>
  <c r="CF353" i="7"/>
  <c r="CE353" i="7"/>
  <c r="CD353" i="7"/>
  <c r="CC353" i="7"/>
  <c r="CB353" i="7"/>
  <c r="CA353" i="7"/>
  <c r="CG352" i="7"/>
  <c r="CF352" i="7"/>
  <c r="CE352" i="7"/>
  <c r="CD352" i="7"/>
  <c r="CC352" i="7"/>
  <c r="CB352" i="7"/>
  <c r="CA352" i="7"/>
  <c r="CG351" i="7"/>
  <c r="CF351" i="7"/>
  <c r="CE351" i="7"/>
  <c r="CD351" i="7"/>
  <c r="CC351" i="7"/>
  <c r="CB351" i="7"/>
  <c r="CA351" i="7"/>
  <c r="CG350" i="7"/>
  <c r="CF350" i="7"/>
  <c r="CE350" i="7"/>
  <c r="CD350" i="7"/>
  <c r="CC350" i="7"/>
  <c r="CB350" i="7"/>
  <c r="CA350" i="7"/>
  <c r="CG349" i="7"/>
  <c r="CF349" i="7"/>
  <c r="CE349" i="7"/>
  <c r="CD349" i="7"/>
  <c r="CC349" i="7"/>
  <c r="CB349" i="7"/>
  <c r="CA349" i="7"/>
  <c r="CG348" i="7"/>
  <c r="CF348" i="7"/>
  <c r="CE348" i="7"/>
  <c r="CD348" i="7"/>
  <c r="CC348" i="7"/>
  <c r="CB348" i="7"/>
  <c r="CA348" i="7"/>
  <c r="CG347" i="7"/>
  <c r="CF347" i="7"/>
  <c r="CE347" i="7"/>
  <c r="CD347" i="7"/>
  <c r="CC347" i="7"/>
  <c r="CB347" i="7"/>
  <c r="CA347" i="7"/>
  <c r="CG346" i="7"/>
  <c r="CF346" i="7"/>
  <c r="CE346" i="7"/>
  <c r="CD346" i="7"/>
  <c r="CC346" i="7"/>
  <c r="CB346" i="7"/>
  <c r="CA346" i="7"/>
  <c r="CG345" i="7"/>
  <c r="CF345" i="7"/>
  <c r="CE345" i="7"/>
  <c r="CD345" i="7"/>
  <c r="CC345" i="7"/>
  <c r="CB345" i="7"/>
  <c r="CA345" i="7"/>
  <c r="CG344" i="7"/>
  <c r="CF344" i="7"/>
  <c r="CE344" i="7"/>
  <c r="CD344" i="7"/>
  <c r="CC344" i="7"/>
  <c r="CB344" i="7"/>
  <c r="CA344" i="7"/>
  <c r="CG343" i="7"/>
  <c r="CF343" i="7"/>
  <c r="CE343" i="7"/>
  <c r="CD343" i="7"/>
  <c r="CC343" i="7"/>
  <c r="CB343" i="7"/>
  <c r="CA343" i="7"/>
  <c r="CG342" i="7"/>
  <c r="CF342" i="7"/>
  <c r="CE342" i="7"/>
  <c r="CD342" i="7"/>
  <c r="CC342" i="7"/>
  <c r="CB342" i="7"/>
  <c r="CA342" i="7"/>
  <c r="CG341" i="7"/>
  <c r="CF341" i="7"/>
  <c r="CE341" i="7"/>
  <c r="CD341" i="7"/>
  <c r="CC341" i="7"/>
  <c r="CB341" i="7"/>
  <c r="CA341" i="7"/>
  <c r="CG340" i="7"/>
  <c r="CF340" i="7"/>
  <c r="CE340" i="7"/>
  <c r="CD340" i="7"/>
  <c r="CC340" i="7"/>
  <c r="CB340" i="7"/>
  <c r="CA340" i="7"/>
  <c r="CG339" i="7"/>
  <c r="CF339" i="7"/>
  <c r="CE339" i="7"/>
  <c r="CD339" i="7"/>
  <c r="CC339" i="7"/>
  <c r="CB339" i="7"/>
  <c r="CA339" i="7"/>
  <c r="CG338" i="7"/>
  <c r="CF338" i="7"/>
  <c r="CE338" i="7"/>
  <c r="CD338" i="7"/>
  <c r="CC338" i="7"/>
  <c r="CB338" i="7"/>
  <c r="CA338" i="7"/>
  <c r="CG337" i="7"/>
  <c r="CF337" i="7"/>
  <c r="CE337" i="7"/>
  <c r="CD337" i="7"/>
  <c r="CC337" i="7"/>
  <c r="CB337" i="7"/>
  <c r="CA337" i="7"/>
  <c r="CG336" i="7"/>
  <c r="CF336" i="7"/>
  <c r="CE336" i="7"/>
  <c r="CD336" i="7"/>
  <c r="CC336" i="7"/>
  <c r="CB336" i="7"/>
  <c r="CA336" i="7"/>
  <c r="CG335" i="7"/>
  <c r="CF335" i="7"/>
  <c r="CE335" i="7"/>
  <c r="CD335" i="7"/>
  <c r="CC335" i="7"/>
  <c r="CB335" i="7"/>
  <c r="CA335" i="7"/>
  <c r="CG334" i="7"/>
  <c r="CF334" i="7"/>
  <c r="CE334" i="7"/>
  <c r="CD334" i="7"/>
  <c r="CC334" i="7"/>
  <c r="CB334" i="7"/>
  <c r="CA334" i="7"/>
  <c r="CG333" i="7"/>
  <c r="CF333" i="7"/>
  <c r="CE333" i="7"/>
  <c r="CD333" i="7"/>
  <c r="CC333" i="7"/>
  <c r="CB333" i="7"/>
  <c r="CA333" i="7"/>
  <c r="CG332" i="7"/>
  <c r="CF332" i="7"/>
  <c r="CE332" i="7"/>
  <c r="CD332" i="7"/>
  <c r="CC332" i="7"/>
  <c r="CB332" i="7"/>
  <c r="CA332" i="7"/>
  <c r="CG331" i="7"/>
  <c r="CF331" i="7"/>
  <c r="CE331" i="7"/>
  <c r="CD331" i="7"/>
  <c r="CC331" i="7"/>
  <c r="CB331" i="7"/>
  <c r="CA331" i="7"/>
  <c r="CG330" i="7"/>
  <c r="CF330" i="7"/>
  <c r="CE330" i="7"/>
  <c r="CD330" i="7"/>
  <c r="CC330" i="7"/>
  <c r="CB330" i="7"/>
  <c r="CA330" i="7"/>
  <c r="CG329" i="7"/>
  <c r="CF329" i="7"/>
  <c r="CE329" i="7"/>
  <c r="CD329" i="7"/>
  <c r="CC329" i="7"/>
  <c r="CB329" i="7"/>
  <c r="CA329" i="7"/>
  <c r="CG328" i="7"/>
  <c r="CF328" i="7"/>
  <c r="CE328" i="7"/>
  <c r="CD328" i="7"/>
  <c r="CC328" i="7"/>
  <c r="CB328" i="7"/>
  <c r="CA328" i="7"/>
  <c r="CG327" i="7"/>
  <c r="CF327" i="7"/>
  <c r="CE327" i="7"/>
  <c r="CD327" i="7"/>
  <c r="CC327" i="7"/>
  <c r="CB327" i="7"/>
  <c r="CA327" i="7"/>
  <c r="CG326" i="7"/>
  <c r="CF326" i="7"/>
  <c r="CE326" i="7"/>
  <c r="CD326" i="7"/>
  <c r="CC326" i="7"/>
  <c r="CB326" i="7"/>
  <c r="CA326" i="7"/>
  <c r="CG325" i="7"/>
  <c r="CF325" i="7"/>
  <c r="CE325" i="7"/>
  <c r="CD325" i="7"/>
  <c r="CC325" i="7"/>
  <c r="CB325" i="7"/>
  <c r="CA325" i="7"/>
  <c r="CG324" i="7"/>
  <c r="CF324" i="7"/>
  <c r="CE324" i="7"/>
  <c r="CD324" i="7"/>
  <c r="CC324" i="7"/>
  <c r="CB324" i="7"/>
  <c r="CA324" i="7"/>
  <c r="CG323" i="7"/>
  <c r="CF323" i="7"/>
  <c r="CE323" i="7"/>
  <c r="CD323" i="7"/>
  <c r="CC323" i="7"/>
  <c r="CB323" i="7"/>
  <c r="CA323" i="7"/>
  <c r="CG322" i="7"/>
  <c r="CF322" i="7"/>
  <c r="CE322" i="7"/>
  <c r="CD322" i="7"/>
  <c r="CC322" i="7"/>
  <c r="CB322" i="7"/>
  <c r="CA322" i="7"/>
  <c r="CG321" i="7"/>
  <c r="CF321" i="7"/>
  <c r="CE321" i="7"/>
  <c r="CD321" i="7"/>
  <c r="CC321" i="7"/>
  <c r="CB321" i="7"/>
  <c r="CA321" i="7"/>
  <c r="CG320" i="7"/>
  <c r="CF320" i="7"/>
  <c r="CE320" i="7"/>
  <c r="CD320" i="7"/>
  <c r="CC320" i="7"/>
  <c r="CB320" i="7"/>
  <c r="CA320" i="7"/>
  <c r="CG319" i="7"/>
  <c r="CF319" i="7"/>
  <c r="CE319" i="7"/>
  <c r="CD319" i="7"/>
  <c r="CC319" i="7"/>
  <c r="CB319" i="7"/>
  <c r="CA319" i="7"/>
  <c r="CG318" i="7"/>
  <c r="CF318" i="7"/>
  <c r="CE318" i="7"/>
  <c r="CD318" i="7"/>
  <c r="CC318" i="7"/>
  <c r="CB318" i="7"/>
  <c r="CA318" i="7"/>
  <c r="CG317" i="7"/>
  <c r="CF317" i="7"/>
  <c r="CE317" i="7"/>
  <c r="CD317" i="7"/>
  <c r="CC317" i="7"/>
  <c r="CB317" i="7"/>
  <c r="CA317" i="7"/>
  <c r="CG316" i="7"/>
  <c r="CF316" i="7"/>
  <c r="CE316" i="7"/>
  <c r="CD316" i="7"/>
  <c r="CC316" i="7"/>
  <c r="CB316" i="7"/>
  <c r="CA316" i="7"/>
  <c r="CG315" i="7"/>
  <c r="CF315" i="7"/>
  <c r="CE315" i="7"/>
  <c r="CD315" i="7"/>
  <c r="CC315" i="7"/>
  <c r="CB315" i="7"/>
  <c r="CA315" i="7"/>
  <c r="CG314" i="7"/>
  <c r="CF314" i="7"/>
  <c r="CE314" i="7"/>
  <c r="CD314" i="7"/>
  <c r="CC314" i="7"/>
  <c r="CB314" i="7"/>
  <c r="CA314" i="7"/>
  <c r="CG313" i="7"/>
  <c r="CF313" i="7"/>
  <c r="CE313" i="7"/>
  <c r="CD313" i="7"/>
  <c r="CC313" i="7"/>
  <c r="CB313" i="7"/>
  <c r="CA313" i="7"/>
  <c r="CG312" i="7"/>
  <c r="CF312" i="7"/>
  <c r="CE312" i="7"/>
  <c r="CD312" i="7"/>
  <c r="CC312" i="7"/>
  <c r="CB312" i="7"/>
  <c r="CA312" i="7"/>
  <c r="CG311" i="7"/>
  <c r="CF311" i="7"/>
  <c r="CE311" i="7"/>
  <c r="CD311" i="7"/>
  <c r="CC311" i="7"/>
  <c r="CB311" i="7"/>
  <c r="CA311" i="7"/>
  <c r="CG310" i="7"/>
  <c r="CF310" i="7"/>
  <c r="CE310" i="7"/>
  <c r="CD310" i="7"/>
  <c r="CC310" i="7"/>
  <c r="CB310" i="7"/>
  <c r="CA310" i="7"/>
  <c r="CG309" i="7"/>
  <c r="CF309" i="7"/>
  <c r="CE309" i="7"/>
  <c r="CD309" i="7"/>
  <c r="CC309" i="7"/>
  <c r="CB309" i="7"/>
  <c r="CA309" i="7"/>
  <c r="CG308" i="7"/>
  <c r="CF308" i="7"/>
  <c r="CE308" i="7"/>
  <c r="CD308" i="7"/>
  <c r="CC308" i="7"/>
  <c r="CB308" i="7"/>
  <c r="CA308" i="7"/>
  <c r="CG307" i="7"/>
  <c r="CF307" i="7"/>
  <c r="CE307" i="7"/>
  <c r="CD307" i="7"/>
  <c r="CC307" i="7"/>
  <c r="CB307" i="7"/>
  <c r="CA307" i="7"/>
  <c r="CG306" i="7"/>
  <c r="CF306" i="7"/>
  <c r="CE306" i="7"/>
  <c r="CD306" i="7"/>
  <c r="CC306" i="7"/>
  <c r="CB306" i="7"/>
  <c r="CA306" i="7"/>
  <c r="CG305" i="7"/>
  <c r="CF305" i="7"/>
  <c r="CE305" i="7"/>
  <c r="CD305" i="7"/>
  <c r="CC305" i="7"/>
  <c r="CB305" i="7"/>
  <c r="CA305" i="7"/>
  <c r="CG304" i="7"/>
  <c r="CF304" i="7"/>
  <c r="CE304" i="7"/>
  <c r="CD304" i="7"/>
  <c r="CC304" i="7"/>
  <c r="CB304" i="7"/>
  <c r="CA304" i="7"/>
  <c r="CG303" i="7"/>
  <c r="CF303" i="7"/>
  <c r="CE303" i="7"/>
  <c r="CD303" i="7"/>
  <c r="CC303" i="7"/>
  <c r="CB303" i="7"/>
  <c r="CA303" i="7"/>
  <c r="CG302" i="7"/>
  <c r="CF302" i="7"/>
  <c r="CE302" i="7"/>
  <c r="CD302" i="7"/>
  <c r="CC302" i="7"/>
  <c r="CB302" i="7"/>
  <c r="CA302" i="7"/>
  <c r="CG301" i="7"/>
  <c r="CF301" i="7"/>
  <c r="CE301" i="7"/>
  <c r="CD301" i="7"/>
  <c r="CC301" i="7"/>
  <c r="CB301" i="7"/>
  <c r="CA301" i="7"/>
  <c r="CA299" i="7"/>
  <c r="CA66" i="7"/>
  <c r="DX62" i="4"/>
  <c r="DU300" i="3"/>
  <c r="DT298" i="3"/>
  <c r="DX292" i="3"/>
  <c r="DW292" i="3"/>
  <c r="DU292" i="3"/>
  <c r="DT292" i="3"/>
  <c r="DV292" i="3"/>
  <c r="DT237" i="3"/>
  <c r="DT233" i="3"/>
  <c r="DT179" i="3"/>
  <c r="DT120" i="3"/>
  <c r="DY116" i="3"/>
  <c r="DX116" i="3"/>
  <c r="DW116" i="3"/>
  <c r="DV116" i="3"/>
  <c r="DU116" i="3"/>
  <c r="DT116" i="3"/>
  <c r="DT61" i="3"/>
  <c r="DM266" i="3"/>
  <c r="DS264" i="3"/>
  <c r="BM31" i="2"/>
  <c r="BN31" i="2"/>
  <c r="BM32" i="2"/>
  <c r="BN32" i="2"/>
  <c r="BN33" i="2" s="1"/>
  <c r="BM34" i="2"/>
  <c r="BM36" i="2"/>
  <c r="E50" i="1" s="1"/>
  <c r="BN38" i="2"/>
  <c r="H50" i="1" s="1"/>
  <c r="DY29" i="4" l="1"/>
  <c r="DV12" i="4"/>
  <c r="DY11" i="4"/>
  <c r="DV19" i="4"/>
  <c r="DY12" i="4"/>
  <c r="DY20" i="4"/>
  <c r="DY14" i="4"/>
  <c r="DV13" i="4"/>
  <c r="DV16" i="4"/>
  <c r="DV11" i="4"/>
  <c r="DV15" i="4"/>
  <c r="DV18" i="4"/>
  <c r="DV17" i="4"/>
  <c r="DY15" i="4"/>
  <c r="DY19" i="4"/>
  <c r="DY18" i="4"/>
  <c r="DY17" i="4"/>
  <c r="DV20" i="4"/>
  <c r="DY13" i="4"/>
  <c r="DY16" i="4"/>
  <c r="DV14" i="4"/>
  <c r="CI360" i="7"/>
  <c r="N51" i="1"/>
  <c r="CG360" i="7"/>
  <c r="O51" i="1"/>
  <c r="CG362" i="7"/>
  <c r="BM33" i="2"/>
  <c r="CJ362" i="7"/>
  <c r="CA124" i="7"/>
  <c r="CA182" i="7" s="1"/>
  <c r="CA240" i="7" s="1"/>
  <c r="CI358" i="7"/>
  <c r="DP27" i="4"/>
  <c r="DS39" i="4"/>
  <c r="DP23" i="4"/>
  <c r="DP21" i="4"/>
  <c r="BM40" i="2"/>
  <c r="B50" i="1"/>
  <c r="BZ270" i="7"/>
  <c r="BW270" i="7"/>
  <c r="BW88" i="7"/>
  <c r="BW87" i="7"/>
  <c r="BZ95" i="7"/>
  <c r="BW93" i="7"/>
  <c r="BW86" i="7"/>
  <c r="BW85" i="7"/>
  <c r="BZ281" i="7"/>
  <c r="BW281" i="7"/>
  <c r="BZ283" i="7"/>
  <c r="BW283" i="7"/>
  <c r="BW261" i="7"/>
  <c r="BW205" i="7"/>
  <c r="BW95" i="7"/>
  <c r="BW204" i="7"/>
  <c r="DY292" i="3"/>
  <c r="DS257" i="3"/>
  <c r="DS258" i="3"/>
  <c r="DS259" i="3"/>
  <c r="DS256" i="3"/>
  <c r="DT58" i="4" l="1"/>
  <c r="T51" i="1" s="1"/>
  <c r="W51" i="1" s="1"/>
  <c r="O56" i="1"/>
  <c r="R51" i="1"/>
  <c r="Q51" i="1"/>
  <c r="AQ51" i="1"/>
  <c r="CI364" i="7"/>
  <c r="DT56" i="4"/>
  <c r="S51" i="1" s="1"/>
  <c r="V51" i="1" s="1"/>
  <c r="DT296" i="3"/>
  <c r="DU60" i="4"/>
  <c r="U51" i="1" s="1"/>
  <c r="BM249" i="7"/>
  <c r="AI51" i="1" l="1"/>
  <c r="AU51" i="1" s="1"/>
  <c r="R57" i="1"/>
  <c r="R58" i="1" s="1"/>
  <c r="R56" i="1"/>
  <c r="X51" i="1"/>
  <c r="DT302" i="3"/>
  <c r="CG364" i="7" s="1"/>
  <c r="M51" i="1"/>
  <c r="AP51" i="1" s="1"/>
  <c r="CG358" i="7"/>
  <c r="I62" i="6"/>
  <c r="BM261" i="7"/>
  <c r="BM252" i="7"/>
  <c r="BM251" i="7"/>
  <c r="BM96" i="7"/>
  <c r="BM94" i="7"/>
  <c r="BM88" i="7"/>
  <c r="BM85" i="7"/>
  <c r="BY5" i="7"/>
  <c r="BM30" i="7"/>
  <c r="BM29" i="7"/>
  <c r="BZ353" i="7"/>
  <c r="BY353" i="7"/>
  <c r="BX353" i="7"/>
  <c r="BW353" i="7"/>
  <c r="BV353" i="7"/>
  <c r="BU353" i="7"/>
  <c r="BT353" i="7"/>
  <c r="BZ352" i="7"/>
  <c r="BY352" i="7"/>
  <c r="BX352" i="7"/>
  <c r="BW352" i="7"/>
  <c r="BV352" i="7"/>
  <c r="BU352" i="7"/>
  <c r="BT352" i="7"/>
  <c r="BZ351" i="7"/>
  <c r="BY351" i="7"/>
  <c r="BX351" i="7"/>
  <c r="BW351" i="7"/>
  <c r="BV351" i="7"/>
  <c r="BU351" i="7"/>
  <c r="BT351" i="7"/>
  <c r="BZ350" i="7"/>
  <c r="BY350" i="7"/>
  <c r="BX350" i="7"/>
  <c r="BW350" i="7"/>
  <c r="BV350" i="7"/>
  <c r="BU350" i="7"/>
  <c r="BT350" i="7"/>
  <c r="BZ349" i="7"/>
  <c r="BY349" i="7"/>
  <c r="BX349" i="7"/>
  <c r="BW349" i="7"/>
  <c r="BV349" i="7"/>
  <c r="BU349" i="7"/>
  <c r="BT349" i="7"/>
  <c r="BZ348" i="7"/>
  <c r="BY348" i="7"/>
  <c r="BX348" i="7"/>
  <c r="BW348" i="7"/>
  <c r="BV348" i="7"/>
  <c r="BU348" i="7"/>
  <c r="BT348" i="7"/>
  <c r="BZ347" i="7"/>
  <c r="BY347" i="7"/>
  <c r="BX347" i="7"/>
  <c r="BW347" i="7"/>
  <c r="BV347" i="7"/>
  <c r="BU347" i="7"/>
  <c r="BT347" i="7"/>
  <c r="BZ346" i="7"/>
  <c r="BY346" i="7"/>
  <c r="BX346" i="7"/>
  <c r="BW346" i="7"/>
  <c r="BV346" i="7"/>
  <c r="BU346" i="7"/>
  <c r="BT346" i="7"/>
  <c r="BZ345" i="7"/>
  <c r="BY345" i="7"/>
  <c r="BX345" i="7"/>
  <c r="BW345" i="7"/>
  <c r="BV345" i="7"/>
  <c r="BU345" i="7"/>
  <c r="BT345" i="7"/>
  <c r="BZ344" i="7"/>
  <c r="BY344" i="7"/>
  <c r="BX344" i="7"/>
  <c r="BW344" i="7"/>
  <c r="BV344" i="7"/>
  <c r="BU344" i="7"/>
  <c r="BT344" i="7"/>
  <c r="BZ343" i="7"/>
  <c r="BY343" i="7"/>
  <c r="BX343" i="7"/>
  <c r="BW343" i="7"/>
  <c r="BV343" i="7"/>
  <c r="BU343" i="7"/>
  <c r="BT343" i="7"/>
  <c r="BZ342" i="7"/>
  <c r="BY342" i="7"/>
  <c r="BX342" i="7"/>
  <c r="BW342" i="7"/>
  <c r="BV342" i="7"/>
  <c r="BU342" i="7"/>
  <c r="BT342" i="7"/>
  <c r="BZ341" i="7"/>
  <c r="BY341" i="7"/>
  <c r="BX341" i="7"/>
  <c r="BW341" i="7"/>
  <c r="BV341" i="7"/>
  <c r="BU341" i="7"/>
  <c r="BT341" i="7"/>
  <c r="BZ340" i="7"/>
  <c r="BY340" i="7"/>
  <c r="BX340" i="7"/>
  <c r="BW340" i="7"/>
  <c r="BV340" i="7"/>
  <c r="BU340" i="7"/>
  <c r="BT340" i="7"/>
  <c r="BZ339" i="7"/>
  <c r="BY339" i="7"/>
  <c r="BX339" i="7"/>
  <c r="BW339" i="7"/>
  <c r="BV339" i="7"/>
  <c r="BU339" i="7"/>
  <c r="BT339" i="7"/>
  <c r="BZ338" i="7"/>
  <c r="BY338" i="7"/>
  <c r="BX338" i="7"/>
  <c r="BW338" i="7"/>
  <c r="BV338" i="7"/>
  <c r="BU338" i="7"/>
  <c r="BT338" i="7"/>
  <c r="BZ337" i="7"/>
  <c r="BY337" i="7"/>
  <c r="BX337" i="7"/>
  <c r="BW337" i="7"/>
  <c r="BV337" i="7"/>
  <c r="BU337" i="7"/>
  <c r="BT337" i="7"/>
  <c r="BZ336" i="7"/>
  <c r="BY336" i="7"/>
  <c r="BX336" i="7"/>
  <c r="BW336" i="7"/>
  <c r="BV336" i="7"/>
  <c r="BU336" i="7"/>
  <c r="BT336" i="7"/>
  <c r="BZ335" i="7"/>
  <c r="BY335" i="7"/>
  <c r="BX335" i="7"/>
  <c r="BW335" i="7"/>
  <c r="BV335" i="7"/>
  <c r="BU335" i="7"/>
  <c r="BT335" i="7"/>
  <c r="BZ334" i="7"/>
  <c r="BY334" i="7"/>
  <c r="BX334" i="7"/>
  <c r="BW334" i="7"/>
  <c r="BV334" i="7"/>
  <c r="BU334" i="7"/>
  <c r="BT334" i="7"/>
  <c r="BZ333" i="7"/>
  <c r="BY333" i="7"/>
  <c r="BX333" i="7"/>
  <c r="BW333" i="7"/>
  <c r="BV333" i="7"/>
  <c r="BU333" i="7"/>
  <c r="BT333" i="7"/>
  <c r="BZ332" i="7"/>
  <c r="BY332" i="7"/>
  <c r="BX332" i="7"/>
  <c r="BW332" i="7"/>
  <c r="BV332" i="7"/>
  <c r="BU332" i="7"/>
  <c r="BT332" i="7"/>
  <c r="BZ331" i="7"/>
  <c r="BY331" i="7"/>
  <c r="BX331" i="7"/>
  <c r="BW331" i="7"/>
  <c r="BV331" i="7"/>
  <c r="BU331" i="7"/>
  <c r="BT331" i="7"/>
  <c r="BZ330" i="7"/>
  <c r="BY330" i="7"/>
  <c r="BX330" i="7"/>
  <c r="BW330" i="7"/>
  <c r="BV330" i="7"/>
  <c r="BU330" i="7"/>
  <c r="BT330" i="7"/>
  <c r="BZ329" i="7"/>
  <c r="BY329" i="7"/>
  <c r="BX329" i="7"/>
  <c r="BW329" i="7"/>
  <c r="BV329" i="7"/>
  <c r="BU329" i="7"/>
  <c r="BT329" i="7"/>
  <c r="BZ328" i="7"/>
  <c r="BY328" i="7"/>
  <c r="BX328" i="7"/>
  <c r="BW328" i="7"/>
  <c r="BV328" i="7"/>
  <c r="BU328" i="7"/>
  <c r="BT328" i="7"/>
  <c r="BZ327" i="7"/>
  <c r="BY327" i="7"/>
  <c r="BX327" i="7"/>
  <c r="BW327" i="7"/>
  <c r="BV327" i="7"/>
  <c r="BU327" i="7"/>
  <c r="BT327" i="7"/>
  <c r="BY326" i="7"/>
  <c r="BX326" i="7"/>
  <c r="BW326" i="7"/>
  <c r="BV326" i="7"/>
  <c r="BU326" i="7"/>
  <c r="BT326" i="7"/>
  <c r="BZ325" i="7"/>
  <c r="BY325" i="7"/>
  <c r="BX325" i="7"/>
  <c r="BW325" i="7"/>
  <c r="BV325" i="7"/>
  <c r="BU325" i="7"/>
  <c r="BT325" i="7"/>
  <c r="BZ324" i="7"/>
  <c r="BY324" i="7"/>
  <c r="BX324" i="7"/>
  <c r="BW324" i="7"/>
  <c r="BV324" i="7"/>
  <c r="BU324" i="7"/>
  <c r="BT324" i="7"/>
  <c r="BZ323" i="7"/>
  <c r="BY323" i="7"/>
  <c r="BX323" i="7"/>
  <c r="BW323" i="7"/>
  <c r="BV323" i="7"/>
  <c r="BU323" i="7"/>
  <c r="BT323" i="7"/>
  <c r="BY322" i="7"/>
  <c r="BX322" i="7"/>
  <c r="BW322" i="7"/>
  <c r="BV322" i="7"/>
  <c r="BU322" i="7"/>
  <c r="BT322" i="7"/>
  <c r="BY321" i="7"/>
  <c r="BX321" i="7"/>
  <c r="BW321" i="7"/>
  <c r="BV321" i="7"/>
  <c r="BU321" i="7"/>
  <c r="BT321" i="7"/>
  <c r="BY320" i="7"/>
  <c r="BX320" i="7"/>
  <c r="BW320" i="7"/>
  <c r="BV320" i="7"/>
  <c r="BU320" i="7"/>
  <c r="BT320" i="7"/>
  <c r="BY319" i="7"/>
  <c r="BX319" i="7"/>
  <c r="BW319" i="7"/>
  <c r="BV319" i="7"/>
  <c r="BU319" i="7"/>
  <c r="BT319" i="7"/>
  <c r="BY318" i="7"/>
  <c r="BX318" i="7"/>
  <c r="BW318" i="7"/>
  <c r="BV318" i="7"/>
  <c r="BU318" i="7"/>
  <c r="BT318" i="7"/>
  <c r="BZ317" i="7"/>
  <c r="BY317" i="7"/>
  <c r="BX317" i="7"/>
  <c r="BW317" i="7"/>
  <c r="BV317" i="7"/>
  <c r="BU317" i="7"/>
  <c r="BT317" i="7"/>
  <c r="BZ316" i="7"/>
  <c r="BY316" i="7"/>
  <c r="BX316" i="7"/>
  <c r="BW316" i="7"/>
  <c r="BV316" i="7"/>
  <c r="BU316" i="7"/>
  <c r="BT316" i="7"/>
  <c r="BZ315" i="7"/>
  <c r="BY315" i="7"/>
  <c r="BX315" i="7"/>
  <c r="BW315" i="7"/>
  <c r="BV315" i="7"/>
  <c r="BU315" i="7"/>
  <c r="BT315" i="7"/>
  <c r="BZ314" i="7"/>
  <c r="BY314" i="7"/>
  <c r="BX314" i="7"/>
  <c r="BW314" i="7"/>
  <c r="BV314" i="7"/>
  <c r="BU314" i="7"/>
  <c r="BT314" i="7"/>
  <c r="BZ313" i="7"/>
  <c r="BY313" i="7"/>
  <c r="BX313" i="7"/>
  <c r="BW313" i="7"/>
  <c r="BV313" i="7"/>
  <c r="BU313" i="7"/>
  <c r="BT313" i="7"/>
  <c r="BZ312" i="7"/>
  <c r="BY312" i="7"/>
  <c r="BX312" i="7"/>
  <c r="BW312" i="7"/>
  <c r="BV312" i="7"/>
  <c r="BU312" i="7"/>
  <c r="BT312" i="7"/>
  <c r="BZ311" i="7"/>
  <c r="BY311" i="7"/>
  <c r="BX311" i="7"/>
  <c r="BW311" i="7"/>
  <c r="BV311" i="7"/>
  <c r="BU311" i="7"/>
  <c r="BT311" i="7"/>
  <c r="BZ310" i="7"/>
  <c r="BY310" i="7"/>
  <c r="BX310" i="7"/>
  <c r="BW310" i="7"/>
  <c r="BV310" i="7"/>
  <c r="BU310" i="7"/>
  <c r="BT310" i="7"/>
  <c r="BZ309" i="7"/>
  <c r="BY309" i="7"/>
  <c r="BX309" i="7"/>
  <c r="BW309" i="7"/>
  <c r="BV309" i="7"/>
  <c r="BU309" i="7"/>
  <c r="BT309" i="7"/>
  <c r="BZ308" i="7"/>
  <c r="BY308" i="7"/>
  <c r="BX308" i="7"/>
  <c r="BW308" i="7"/>
  <c r="BV308" i="7"/>
  <c r="BU308" i="7"/>
  <c r="BT308" i="7"/>
  <c r="BZ307" i="7"/>
  <c r="BY307" i="7"/>
  <c r="BX307" i="7"/>
  <c r="BW307" i="7"/>
  <c r="BV307" i="7"/>
  <c r="BU307" i="7"/>
  <c r="BT307" i="7"/>
  <c r="BZ306" i="7"/>
  <c r="BY306" i="7"/>
  <c r="BX306" i="7"/>
  <c r="BW306" i="7"/>
  <c r="BV306" i="7"/>
  <c r="BU306" i="7"/>
  <c r="BT306" i="7"/>
  <c r="BZ305" i="7"/>
  <c r="BY305" i="7"/>
  <c r="BX305" i="7"/>
  <c r="BW305" i="7"/>
  <c r="BV305" i="7"/>
  <c r="BU305" i="7"/>
  <c r="BT305" i="7"/>
  <c r="BZ304" i="7"/>
  <c r="BY304" i="7"/>
  <c r="BX304" i="7"/>
  <c r="BW304" i="7"/>
  <c r="BV304" i="7"/>
  <c r="BU304" i="7"/>
  <c r="BT304" i="7"/>
  <c r="BZ303" i="7"/>
  <c r="BY303" i="7"/>
  <c r="BX303" i="7"/>
  <c r="BW303" i="7"/>
  <c r="BV303" i="7"/>
  <c r="BU303" i="7"/>
  <c r="BT303" i="7"/>
  <c r="BZ302" i="7"/>
  <c r="BY302" i="7"/>
  <c r="BX302" i="7"/>
  <c r="BW302" i="7"/>
  <c r="BV302" i="7"/>
  <c r="BU302" i="7"/>
  <c r="BT302" i="7"/>
  <c r="BZ301" i="7"/>
  <c r="BY301" i="7"/>
  <c r="BX301" i="7"/>
  <c r="BW301" i="7"/>
  <c r="BV301" i="7"/>
  <c r="BU301" i="7"/>
  <c r="BT301" i="7"/>
  <c r="BT299" i="7"/>
  <c r="BT66" i="7"/>
  <c r="BT124" i="7" s="1"/>
  <c r="BT182" i="7" s="1"/>
  <c r="BT240" i="7" s="1"/>
  <c r="AS51" i="1" l="1"/>
  <c r="AY31" i="6"/>
  <c r="AY79" i="6" s="1"/>
  <c r="AY84" i="6" s="1"/>
  <c r="J62" i="6"/>
  <c r="P51" i="1"/>
  <c r="AH51" i="1" s="1"/>
  <c r="CB358" i="7"/>
  <c r="CB360" i="7"/>
  <c r="CC362" i="7"/>
  <c r="BP96" i="7"/>
  <c r="BZ261" i="7"/>
  <c r="BZ204" i="7"/>
  <c r="BZ93" i="7"/>
  <c r="BZ326" i="7" s="1"/>
  <c r="BZ85" i="7"/>
  <c r="BZ318" i="7" s="1"/>
  <c r="BZ205" i="7"/>
  <c r="BZ322" i="7" s="1"/>
  <c r="BZ87" i="7"/>
  <c r="BZ320" i="7" s="1"/>
  <c r="BZ88" i="7"/>
  <c r="BZ86" i="7"/>
  <c r="BZ319" i="7" s="1"/>
  <c r="BP85" i="7"/>
  <c r="BS94" i="7"/>
  <c r="BP29" i="7"/>
  <c r="BP88" i="7"/>
  <c r="BS96" i="7"/>
  <c r="BP30" i="7"/>
  <c r="BP94" i="7"/>
  <c r="BP261" i="7"/>
  <c r="BF87" i="7"/>
  <c r="BF85" i="7"/>
  <c r="AY56" i="6" l="1"/>
  <c r="AY37" i="6"/>
  <c r="AY62" i="6"/>
  <c r="BZ321" i="7"/>
  <c r="CB364" i="7"/>
  <c r="BS353" i="7"/>
  <c r="BR353" i="7"/>
  <c r="BQ353" i="7"/>
  <c r="BP353" i="7"/>
  <c r="BO353" i="7"/>
  <c r="BN353" i="7"/>
  <c r="BM353" i="7"/>
  <c r="BS352" i="7"/>
  <c r="BR352" i="7"/>
  <c r="BQ352" i="7"/>
  <c r="BP352" i="7"/>
  <c r="BO352" i="7"/>
  <c r="BN352" i="7"/>
  <c r="BM352" i="7"/>
  <c r="BS351" i="7"/>
  <c r="BR351" i="7"/>
  <c r="BQ351" i="7"/>
  <c r="BP351" i="7"/>
  <c r="BO351" i="7"/>
  <c r="BN351" i="7"/>
  <c r="BM351" i="7"/>
  <c r="BS350" i="7"/>
  <c r="BR350" i="7"/>
  <c r="BQ350" i="7"/>
  <c r="BP350" i="7"/>
  <c r="BO350" i="7"/>
  <c r="BN350" i="7"/>
  <c r="BM350" i="7"/>
  <c r="BS349" i="7"/>
  <c r="BR349" i="7"/>
  <c r="BQ349" i="7"/>
  <c r="BP349" i="7"/>
  <c r="BO349" i="7"/>
  <c r="BN349" i="7"/>
  <c r="BM349" i="7"/>
  <c r="BS348" i="7"/>
  <c r="BR348" i="7"/>
  <c r="BQ348" i="7"/>
  <c r="BP348" i="7"/>
  <c r="BO348" i="7"/>
  <c r="BN348" i="7"/>
  <c r="BM348" i="7"/>
  <c r="BS347" i="7"/>
  <c r="BR347" i="7"/>
  <c r="BQ347" i="7"/>
  <c r="BP347" i="7"/>
  <c r="BO347" i="7"/>
  <c r="BN347" i="7"/>
  <c r="BM347" i="7"/>
  <c r="BS346" i="7"/>
  <c r="BR346" i="7"/>
  <c r="BQ346" i="7"/>
  <c r="BP346" i="7"/>
  <c r="BO346" i="7"/>
  <c r="BN346" i="7"/>
  <c r="BM346" i="7"/>
  <c r="BS345" i="7"/>
  <c r="BR345" i="7"/>
  <c r="BQ345" i="7"/>
  <c r="BP345" i="7"/>
  <c r="BO345" i="7"/>
  <c r="BN345" i="7"/>
  <c r="BM345" i="7"/>
  <c r="BS344" i="7"/>
  <c r="BR344" i="7"/>
  <c r="BQ344" i="7"/>
  <c r="BP344" i="7"/>
  <c r="BO344" i="7"/>
  <c r="BN344" i="7"/>
  <c r="BM344" i="7"/>
  <c r="BS343" i="7"/>
  <c r="BR343" i="7"/>
  <c r="BQ343" i="7"/>
  <c r="BP343" i="7"/>
  <c r="BO343" i="7"/>
  <c r="BN343" i="7"/>
  <c r="BM343" i="7"/>
  <c r="BS342" i="7"/>
  <c r="BR342" i="7"/>
  <c r="BQ342" i="7"/>
  <c r="BP342" i="7"/>
  <c r="BO342" i="7"/>
  <c r="BN342" i="7"/>
  <c r="BM342" i="7"/>
  <c r="BS341" i="7"/>
  <c r="BR341" i="7"/>
  <c r="BQ341" i="7"/>
  <c r="BP341" i="7"/>
  <c r="BO341" i="7"/>
  <c r="BN341" i="7"/>
  <c r="BM341" i="7"/>
  <c r="BS340" i="7"/>
  <c r="BR340" i="7"/>
  <c r="BQ340" i="7"/>
  <c r="BP340" i="7"/>
  <c r="BO340" i="7"/>
  <c r="BN340" i="7"/>
  <c r="BM340" i="7"/>
  <c r="BS339" i="7"/>
  <c r="BR339" i="7"/>
  <c r="BQ339" i="7"/>
  <c r="BP339" i="7"/>
  <c r="BO339" i="7"/>
  <c r="BN339" i="7"/>
  <c r="BM339" i="7"/>
  <c r="BS338" i="7"/>
  <c r="BR338" i="7"/>
  <c r="BQ338" i="7"/>
  <c r="BP338" i="7"/>
  <c r="BO338" i="7"/>
  <c r="BN338" i="7"/>
  <c r="BM338" i="7"/>
  <c r="BS337" i="7"/>
  <c r="BR337" i="7"/>
  <c r="BQ337" i="7"/>
  <c r="BP337" i="7"/>
  <c r="BO337" i="7"/>
  <c r="BN337" i="7"/>
  <c r="BM337" i="7"/>
  <c r="BS336" i="7"/>
  <c r="BR336" i="7"/>
  <c r="BQ336" i="7"/>
  <c r="BP336" i="7"/>
  <c r="BO336" i="7"/>
  <c r="BN336" i="7"/>
  <c r="BM336" i="7"/>
  <c r="BS335" i="7"/>
  <c r="BR335" i="7"/>
  <c r="BQ335" i="7"/>
  <c r="BP335" i="7"/>
  <c r="BO335" i="7"/>
  <c r="BN335" i="7"/>
  <c r="BM335" i="7"/>
  <c r="BS334" i="7"/>
  <c r="BR334" i="7"/>
  <c r="BQ334" i="7"/>
  <c r="BP334" i="7"/>
  <c r="BO334" i="7"/>
  <c r="BN334" i="7"/>
  <c r="BM334" i="7"/>
  <c r="BS333" i="7"/>
  <c r="BR333" i="7"/>
  <c r="BQ333" i="7"/>
  <c r="BP333" i="7"/>
  <c r="BO333" i="7"/>
  <c r="BN333" i="7"/>
  <c r="BM333" i="7"/>
  <c r="BS332" i="7"/>
  <c r="BR332" i="7"/>
  <c r="BQ332" i="7"/>
  <c r="BP332" i="7"/>
  <c r="BO332" i="7"/>
  <c r="BN332" i="7"/>
  <c r="BM332" i="7"/>
  <c r="BS331" i="7"/>
  <c r="BR331" i="7"/>
  <c r="BQ331" i="7"/>
  <c r="BP331" i="7"/>
  <c r="BO331" i="7"/>
  <c r="BN331" i="7"/>
  <c r="BM331" i="7"/>
  <c r="BR330" i="7"/>
  <c r="BQ330" i="7"/>
  <c r="BO330" i="7"/>
  <c r="BN330" i="7"/>
  <c r="BM330" i="7"/>
  <c r="BS329" i="7"/>
  <c r="BR329" i="7"/>
  <c r="BQ329" i="7"/>
  <c r="BP329" i="7"/>
  <c r="BO329" i="7"/>
  <c r="BN329" i="7"/>
  <c r="BM329" i="7"/>
  <c r="BS328" i="7"/>
  <c r="BR328" i="7"/>
  <c r="BQ328" i="7"/>
  <c r="BP328" i="7"/>
  <c r="BO328" i="7"/>
  <c r="BN328" i="7"/>
  <c r="BM328" i="7"/>
  <c r="BS327" i="7"/>
  <c r="BR327" i="7"/>
  <c r="BQ327" i="7"/>
  <c r="BP327" i="7"/>
  <c r="BO327" i="7"/>
  <c r="BN327" i="7"/>
  <c r="BM327" i="7"/>
  <c r="BS326" i="7"/>
  <c r="BR326" i="7"/>
  <c r="BQ326" i="7"/>
  <c r="BP326" i="7"/>
  <c r="BO326" i="7"/>
  <c r="BN326" i="7"/>
  <c r="BM326" i="7"/>
  <c r="BS325" i="7"/>
  <c r="BR325" i="7"/>
  <c r="BQ325" i="7"/>
  <c r="BP325" i="7"/>
  <c r="BO325" i="7"/>
  <c r="BN325" i="7"/>
  <c r="BM325" i="7"/>
  <c r="BS324" i="7"/>
  <c r="BR324" i="7"/>
  <c r="BQ324" i="7"/>
  <c r="BP324" i="7"/>
  <c r="BO324" i="7"/>
  <c r="BN324" i="7"/>
  <c r="BM324" i="7"/>
  <c r="BS323" i="7"/>
  <c r="BR323" i="7"/>
  <c r="BQ323" i="7"/>
  <c r="BP323" i="7"/>
  <c r="BO323" i="7"/>
  <c r="BN323" i="7"/>
  <c r="BM323" i="7"/>
  <c r="BR322" i="7"/>
  <c r="BQ322" i="7"/>
  <c r="BP322" i="7"/>
  <c r="BO322" i="7"/>
  <c r="BN322" i="7"/>
  <c r="BM322" i="7"/>
  <c r="BR321" i="7"/>
  <c r="BQ321" i="7"/>
  <c r="BO321" i="7"/>
  <c r="BN321" i="7"/>
  <c r="BM321" i="7"/>
  <c r="BR320" i="7"/>
  <c r="BQ320" i="7"/>
  <c r="BO320" i="7"/>
  <c r="BN320" i="7"/>
  <c r="BM320" i="7"/>
  <c r="BR319" i="7"/>
  <c r="BQ319" i="7"/>
  <c r="BO319" i="7"/>
  <c r="BN319" i="7"/>
  <c r="BM319" i="7"/>
  <c r="BR318" i="7"/>
  <c r="BQ318" i="7"/>
  <c r="BO318" i="7"/>
  <c r="BN318" i="7"/>
  <c r="BM318" i="7"/>
  <c r="BS317" i="7"/>
  <c r="BR317" i="7"/>
  <c r="BQ317" i="7"/>
  <c r="BP317" i="7"/>
  <c r="BO317" i="7"/>
  <c r="BN317" i="7"/>
  <c r="BM317" i="7"/>
  <c r="BS316" i="7"/>
  <c r="BR316" i="7"/>
  <c r="BQ316" i="7"/>
  <c r="BP316" i="7"/>
  <c r="BO316" i="7"/>
  <c r="BN316" i="7"/>
  <c r="BM316" i="7"/>
  <c r="BS315" i="7"/>
  <c r="BR315" i="7"/>
  <c r="BQ315" i="7"/>
  <c r="BP315" i="7"/>
  <c r="BO315" i="7"/>
  <c r="BN315" i="7"/>
  <c r="BM315" i="7"/>
  <c r="BS314" i="7"/>
  <c r="BR314" i="7"/>
  <c r="BQ314" i="7"/>
  <c r="BP314" i="7"/>
  <c r="BO314" i="7"/>
  <c r="BN314" i="7"/>
  <c r="BM314" i="7"/>
  <c r="BS313" i="7"/>
  <c r="BR313" i="7"/>
  <c r="BQ313" i="7"/>
  <c r="BP313" i="7"/>
  <c r="BO313" i="7"/>
  <c r="BN313" i="7"/>
  <c r="BM313" i="7"/>
  <c r="BS312" i="7"/>
  <c r="BR312" i="7"/>
  <c r="BQ312" i="7"/>
  <c r="BP312" i="7"/>
  <c r="BO312" i="7"/>
  <c r="BN312" i="7"/>
  <c r="BM312" i="7"/>
  <c r="BR311" i="7"/>
  <c r="BQ311" i="7"/>
  <c r="BO311" i="7"/>
  <c r="BN311" i="7"/>
  <c r="BM311" i="7"/>
  <c r="BR310" i="7"/>
  <c r="BQ310" i="7"/>
  <c r="BO310" i="7"/>
  <c r="BN310" i="7"/>
  <c r="BM310" i="7"/>
  <c r="BR309" i="7"/>
  <c r="BQ309" i="7"/>
  <c r="BO309" i="7"/>
  <c r="BN309" i="7"/>
  <c r="BM309" i="7"/>
  <c r="BR308" i="7"/>
  <c r="BQ308" i="7"/>
  <c r="BO308" i="7"/>
  <c r="BN308" i="7"/>
  <c r="BM308" i="7"/>
  <c r="BS307" i="7"/>
  <c r="BR307" i="7"/>
  <c r="BQ307" i="7"/>
  <c r="BP307" i="7"/>
  <c r="BO307" i="7"/>
  <c r="BN307" i="7"/>
  <c r="BM307" i="7"/>
  <c r="BS306" i="7"/>
  <c r="BR306" i="7"/>
  <c r="BQ306" i="7"/>
  <c r="BP306" i="7"/>
  <c r="BO306" i="7"/>
  <c r="BN306" i="7"/>
  <c r="BM306" i="7"/>
  <c r="BS305" i="7"/>
  <c r="BR305" i="7"/>
  <c r="BQ305" i="7"/>
  <c r="BP305" i="7"/>
  <c r="BO305" i="7"/>
  <c r="BN305" i="7"/>
  <c r="BM305" i="7"/>
  <c r="BS304" i="7"/>
  <c r="BR304" i="7"/>
  <c r="BQ304" i="7"/>
  <c r="BP304" i="7"/>
  <c r="BO304" i="7"/>
  <c r="BN304" i="7"/>
  <c r="BM304" i="7"/>
  <c r="BS303" i="7"/>
  <c r="BR303" i="7"/>
  <c r="BQ303" i="7"/>
  <c r="BP303" i="7"/>
  <c r="BO303" i="7"/>
  <c r="BN303" i="7"/>
  <c r="BM303" i="7"/>
  <c r="BS302" i="7"/>
  <c r="BR302" i="7"/>
  <c r="BQ302" i="7"/>
  <c r="BP302" i="7"/>
  <c r="BO302" i="7"/>
  <c r="BN302" i="7"/>
  <c r="BM302" i="7"/>
  <c r="BS301" i="7"/>
  <c r="BR301" i="7"/>
  <c r="BQ301" i="7"/>
  <c r="BP301" i="7"/>
  <c r="BO301" i="7"/>
  <c r="BN301" i="7"/>
  <c r="BM301" i="7"/>
  <c r="BM299" i="7"/>
  <c r="BS330" i="7"/>
  <c r="BP330" i="7"/>
  <c r="BP321" i="7"/>
  <c r="BS319" i="7"/>
  <c r="BP319" i="7"/>
  <c r="BP320" i="7"/>
  <c r="BP318" i="7"/>
  <c r="BM66" i="7"/>
  <c r="BM124" i="7" s="1"/>
  <c r="BM182" i="7" s="1"/>
  <c r="BM240" i="7" s="1"/>
  <c r="BU360" i="7" l="1"/>
  <c r="BV362" i="7"/>
  <c r="BU364" i="7" s="1"/>
  <c r="BU358" i="7"/>
  <c r="DJ256" i="3"/>
  <c r="DJ258" i="3"/>
  <c r="DJ259" i="3"/>
  <c r="DJ267" i="3"/>
  <c r="DJ265" i="3"/>
  <c r="DM267" i="3"/>
  <c r="DM265" i="3"/>
  <c r="DR62" i="4"/>
  <c r="DN56" i="4"/>
  <c r="S50" i="1" s="1"/>
  <c r="V50" i="1" s="1"/>
  <c r="DP15" i="4" l="1"/>
  <c r="DP19" i="4"/>
  <c r="DP18" i="4"/>
  <c r="DP12" i="4"/>
  <c r="DP16" i="4"/>
  <c r="DP20" i="4"/>
  <c r="DS27" i="4"/>
  <c r="DP13" i="4"/>
  <c r="DP17" i="4"/>
  <c r="DP14" i="4"/>
  <c r="DP11" i="4"/>
  <c r="DS15" i="4"/>
  <c r="DS19" i="4"/>
  <c r="DS14" i="4"/>
  <c r="DS21" i="4"/>
  <c r="DS17" i="4"/>
  <c r="DS16" i="4"/>
  <c r="DS12" i="4"/>
  <c r="DS18" i="4"/>
  <c r="DS13" i="4"/>
  <c r="DS20" i="4"/>
  <c r="DS11" i="4"/>
  <c r="DS23" i="4"/>
  <c r="BL38" i="2"/>
  <c r="H49" i="1" s="1"/>
  <c r="BK36" i="2"/>
  <c r="E49" i="1" s="1"/>
  <c r="BK34" i="2"/>
  <c r="B49" i="1" s="1"/>
  <c r="BL32" i="2"/>
  <c r="BK32" i="2"/>
  <c r="BL31" i="2"/>
  <c r="BK31" i="2"/>
  <c r="AW55" i="6"/>
  <c r="AW14" i="6"/>
  <c r="AW13" i="6"/>
  <c r="AW111" i="6"/>
  <c r="AW110" i="6"/>
  <c r="DN237" i="3"/>
  <c r="DN179" i="3"/>
  <c r="DN120" i="3"/>
  <c r="DN61" i="3"/>
  <c r="DO300" i="3"/>
  <c r="DN298" i="3"/>
  <c r="DN296" i="3"/>
  <c r="DS292" i="3"/>
  <c r="DR292" i="3"/>
  <c r="DQ292" i="3"/>
  <c r="DP292" i="3"/>
  <c r="DO292" i="3"/>
  <c r="DN292" i="3"/>
  <c r="DN233" i="3"/>
  <c r="DS116" i="3"/>
  <c r="DR116" i="3"/>
  <c r="DQ116" i="3"/>
  <c r="DP116" i="3"/>
  <c r="DO116" i="3"/>
  <c r="DN116" i="3"/>
  <c r="N50" i="1" l="1"/>
  <c r="Q50" i="1" s="1"/>
  <c r="BZ360" i="7"/>
  <c r="O50" i="1"/>
  <c r="BZ362" i="7"/>
  <c r="M50" i="1"/>
  <c r="BZ358" i="7"/>
  <c r="P50" i="1"/>
  <c r="AH50" i="1" s="1"/>
  <c r="AP50" i="1"/>
  <c r="DN58" i="4"/>
  <c r="T50" i="1" s="1"/>
  <c r="W50" i="1" s="1"/>
  <c r="AI50" i="1" s="1"/>
  <c r="AU50" i="1" s="1"/>
  <c r="R50" i="1"/>
  <c r="DO60" i="4"/>
  <c r="U50" i="1" s="1"/>
  <c r="I61" i="6" s="1"/>
  <c r="AX31" i="6" s="1"/>
  <c r="BK33" i="2"/>
  <c r="BK40" i="2"/>
  <c r="BL33" i="2"/>
  <c r="DN302" i="3"/>
  <c r="BZ364" i="7" s="1"/>
  <c r="DE15" i="4"/>
  <c r="EF15" i="4" s="1"/>
  <c r="AQ50" i="1" l="1"/>
  <c r="AS50" i="1" s="1"/>
  <c r="X50" i="1"/>
  <c r="AX79" i="6"/>
  <c r="AX84" i="6" s="1"/>
  <c r="V6" i="1"/>
  <c r="W6" i="1"/>
  <c r="X6" i="1"/>
  <c r="V7" i="1"/>
  <c r="W7" i="1"/>
  <c r="X7" i="1"/>
  <c r="V8" i="1"/>
  <c r="W8" i="1"/>
  <c r="X8" i="1"/>
  <c r="V9" i="1"/>
  <c r="W9" i="1"/>
  <c r="X9" i="1"/>
  <c r="V10" i="1"/>
  <c r="W10" i="1"/>
  <c r="X10" i="1"/>
  <c r="V11" i="1"/>
  <c r="W11" i="1"/>
  <c r="X11" i="1"/>
  <c r="V12" i="1"/>
  <c r="W12" i="1"/>
  <c r="X12" i="1"/>
  <c r="P6" i="1"/>
  <c r="Q6" i="1"/>
  <c r="R6" i="1"/>
  <c r="P7" i="1"/>
  <c r="Q7" i="1"/>
  <c r="R7" i="1"/>
  <c r="P8" i="1"/>
  <c r="Q8" i="1"/>
  <c r="R8" i="1"/>
  <c r="P9" i="1"/>
  <c r="Q9" i="1"/>
  <c r="R9" i="1"/>
  <c r="P10" i="1"/>
  <c r="Q10" i="1"/>
  <c r="R10" i="1"/>
  <c r="P11" i="1"/>
  <c r="Q11" i="1"/>
  <c r="R11" i="1"/>
  <c r="P12" i="1"/>
  <c r="Q12" i="1"/>
  <c r="R12" i="1"/>
  <c r="P13" i="1"/>
  <c r="Q13" i="1"/>
  <c r="R13" i="1"/>
  <c r="AX37" i="6" l="1"/>
  <c r="AX56" i="6"/>
  <c r="AX62" i="6" s="1"/>
  <c r="DG259" i="3"/>
  <c r="AU111" i="6" l="1"/>
  <c r="AU110" i="6"/>
  <c r="DG258" i="3" l="1"/>
  <c r="DG257" i="3"/>
  <c r="DG256" i="3"/>
  <c r="CU279" i="3"/>
  <c r="CU278" i="3"/>
  <c r="CU265" i="3"/>
  <c r="CR257" i="3"/>
  <c r="AY81" i="7" l="1"/>
  <c r="AY83" i="7"/>
  <c r="AY86" i="7"/>
  <c r="AY87" i="7"/>
  <c r="AY88" i="7"/>
  <c r="AY89" i="7"/>
  <c r="AY93" i="7"/>
  <c r="AY95" i="7"/>
  <c r="AY249" i="7"/>
  <c r="AY282" i="7"/>
  <c r="AY268" i="7"/>
  <c r="AY267" i="7"/>
  <c r="AY261" i="7"/>
  <c r="AY262" i="7"/>
  <c r="AY260" i="7"/>
  <c r="DE12" i="4" l="1"/>
  <c r="EF12" i="4" s="1"/>
  <c r="DE13" i="4"/>
  <c r="EF13" i="4" s="1"/>
  <c r="DE14" i="4"/>
  <c r="EF14" i="4" s="1"/>
  <c r="BK5" i="7" l="1"/>
  <c r="BL262" i="7" s="1"/>
  <c r="BL321" i="7" s="1"/>
  <c r="BL353" i="7"/>
  <c r="BK353" i="7"/>
  <c r="BJ353" i="7"/>
  <c r="BI353" i="7"/>
  <c r="BH353" i="7"/>
  <c r="BG353" i="7"/>
  <c r="BF353" i="7"/>
  <c r="BL352" i="7"/>
  <c r="BK352" i="7"/>
  <c r="BJ352" i="7"/>
  <c r="BI352" i="7"/>
  <c r="BH352" i="7"/>
  <c r="BG352" i="7"/>
  <c r="BF352" i="7"/>
  <c r="BL351" i="7"/>
  <c r="BK351" i="7"/>
  <c r="BJ351" i="7"/>
  <c r="BI351" i="7"/>
  <c r="BH351" i="7"/>
  <c r="BG351" i="7"/>
  <c r="BF351" i="7"/>
  <c r="BL350" i="7"/>
  <c r="BK350" i="7"/>
  <c r="BJ350" i="7"/>
  <c r="BI350" i="7"/>
  <c r="BH350" i="7"/>
  <c r="BG350" i="7"/>
  <c r="BF350" i="7"/>
  <c r="BL349" i="7"/>
  <c r="BK349" i="7"/>
  <c r="BJ349" i="7"/>
  <c r="BI349" i="7"/>
  <c r="BH349" i="7"/>
  <c r="BG349" i="7"/>
  <c r="BF349" i="7"/>
  <c r="BL348" i="7"/>
  <c r="BK348" i="7"/>
  <c r="BJ348" i="7"/>
  <c r="BI348" i="7"/>
  <c r="BH348" i="7"/>
  <c r="BG348" i="7"/>
  <c r="BF348" i="7"/>
  <c r="BL347" i="7"/>
  <c r="BK347" i="7"/>
  <c r="BJ347" i="7"/>
  <c r="BI347" i="7"/>
  <c r="BH347" i="7"/>
  <c r="BG347" i="7"/>
  <c r="BF347" i="7"/>
  <c r="BL346" i="7"/>
  <c r="BK346" i="7"/>
  <c r="BJ346" i="7"/>
  <c r="BI346" i="7"/>
  <c r="BH346" i="7"/>
  <c r="BG346" i="7"/>
  <c r="BF346" i="7"/>
  <c r="BL345" i="7"/>
  <c r="BK345" i="7"/>
  <c r="BJ345" i="7"/>
  <c r="BI345" i="7"/>
  <c r="BH345" i="7"/>
  <c r="BG345" i="7"/>
  <c r="BF345" i="7"/>
  <c r="BL344" i="7"/>
  <c r="BK344" i="7"/>
  <c r="BJ344" i="7"/>
  <c r="BI344" i="7"/>
  <c r="BH344" i="7"/>
  <c r="BG344" i="7"/>
  <c r="BF344" i="7"/>
  <c r="BL343" i="7"/>
  <c r="BK343" i="7"/>
  <c r="BJ343" i="7"/>
  <c r="BI343" i="7"/>
  <c r="BH343" i="7"/>
  <c r="BG343" i="7"/>
  <c r="BF343" i="7"/>
  <c r="BK342" i="7"/>
  <c r="BJ342" i="7"/>
  <c r="BH342" i="7"/>
  <c r="BG342" i="7"/>
  <c r="BF342" i="7"/>
  <c r="BK341" i="7"/>
  <c r="BJ341" i="7"/>
  <c r="BH341" i="7"/>
  <c r="BG341" i="7"/>
  <c r="BF341" i="7"/>
  <c r="BL340" i="7"/>
  <c r="BK340" i="7"/>
  <c r="BJ340" i="7"/>
  <c r="BI340" i="7"/>
  <c r="BH340" i="7"/>
  <c r="BG340" i="7"/>
  <c r="BF340" i="7"/>
  <c r="BK339" i="7"/>
  <c r="BJ339" i="7"/>
  <c r="BH339" i="7"/>
  <c r="BG339" i="7"/>
  <c r="BF339" i="7"/>
  <c r="BL338" i="7"/>
  <c r="BK338" i="7"/>
  <c r="BJ338" i="7"/>
  <c r="BI338" i="7"/>
  <c r="BH338" i="7"/>
  <c r="BG338" i="7"/>
  <c r="BF338" i="7"/>
  <c r="BL337" i="7"/>
  <c r="BK337" i="7"/>
  <c r="BJ337" i="7"/>
  <c r="BI337" i="7"/>
  <c r="BH337" i="7"/>
  <c r="BG337" i="7"/>
  <c r="BF337" i="7"/>
  <c r="BL336" i="7"/>
  <c r="BK336" i="7"/>
  <c r="BJ336" i="7"/>
  <c r="BI336" i="7"/>
  <c r="BH336" i="7"/>
  <c r="BG336" i="7"/>
  <c r="BF336" i="7"/>
  <c r="BL335" i="7"/>
  <c r="BK335" i="7"/>
  <c r="BJ335" i="7"/>
  <c r="BI335" i="7"/>
  <c r="BH335" i="7"/>
  <c r="BG335" i="7"/>
  <c r="BF335" i="7"/>
  <c r="BL334" i="7"/>
  <c r="BK334" i="7"/>
  <c r="BJ334" i="7"/>
  <c r="BI334" i="7"/>
  <c r="BH334" i="7"/>
  <c r="BG334" i="7"/>
  <c r="BF334" i="7"/>
  <c r="BL333" i="7"/>
  <c r="BK333" i="7"/>
  <c r="BJ333" i="7"/>
  <c r="BI333" i="7"/>
  <c r="BH333" i="7"/>
  <c r="BG333" i="7"/>
  <c r="BF333" i="7"/>
  <c r="BL332" i="7"/>
  <c r="BK332" i="7"/>
  <c r="BJ332" i="7"/>
  <c r="BI332" i="7"/>
  <c r="BH332" i="7"/>
  <c r="BG332" i="7"/>
  <c r="BF332" i="7"/>
  <c r="BL331" i="7"/>
  <c r="BK331" i="7"/>
  <c r="BJ331" i="7"/>
  <c r="BI331" i="7"/>
  <c r="BH331" i="7"/>
  <c r="BG331" i="7"/>
  <c r="BF331" i="7"/>
  <c r="BK330" i="7"/>
  <c r="BJ330" i="7"/>
  <c r="BH330" i="7"/>
  <c r="BG330" i="7"/>
  <c r="BF330" i="7"/>
  <c r="BL329" i="7"/>
  <c r="BK329" i="7"/>
  <c r="BJ329" i="7"/>
  <c r="BI329" i="7"/>
  <c r="BH329" i="7"/>
  <c r="BG329" i="7"/>
  <c r="BF329" i="7"/>
  <c r="BK328" i="7"/>
  <c r="BJ328" i="7"/>
  <c r="BH328" i="7"/>
  <c r="BG328" i="7"/>
  <c r="BF328" i="7"/>
  <c r="BK327" i="7"/>
  <c r="BJ327" i="7"/>
  <c r="BH327" i="7"/>
  <c r="BG327" i="7"/>
  <c r="BF327" i="7"/>
  <c r="BK326" i="7"/>
  <c r="BJ326" i="7"/>
  <c r="BH326" i="7"/>
  <c r="BG326" i="7"/>
  <c r="BF326" i="7"/>
  <c r="BL325" i="7"/>
  <c r="BK325" i="7"/>
  <c r="BJ325" i="7"/>
  <c r="BI325" i="7"/>
  <c r="BH325" i="7"/>
  <c r="BG325" i="7"/>
  <c r="BF325" i="7"/>
  <c r="BL324" i="7"/>
  <c r="BK324" i="7"/>
  <c r="BJ324" i="7"/>
  <c r="BI324" i="7"/>
  <c r="BH324" i="7"/>
  <c r="BG324" i="7"/>
  <c r="BF324" i="7"/>
  <c r="BL323" i="7"/>
  <c r="BK323" i="7"/>
  <c r="BJ323" i="7"/>
  <c r="BI323" i="7"/>
  <c r="BH323" i="7"/>
  <c r="BG323" i="7"/>
  <c r="BF323" i="7"/>
  <c r="BK322" i="7"/>
  <c r="BJ322" i="7"/>
  <c r="BH322" i="7"/>
  <c r="BG322" i="7"/>
  <c r="BF322" i="7"/>
  <c r="BK321" i="7"/>
  <c r="BJ321" i="7"/>
  <c r="BH321" i="7"/>
  <c r="BG321" i="7"/>
  <c r="BF321" i="7"/>
  <c r="BK320" i="7"/>
  <c r="BJ320" i="7"/>
  <c r="BH320" i="7"/>
  <c r="BG320" i="7"/>
  <c r="BF320" i="7"/>
  <c r="BK319" i="7"/>
  <c r="BJ319" i="7"/>
  <c r="BH319" i="7"/>
  <c r="BG319" i="7"/>
  <c r="BF319" i="7"/>
  <c r="BK318" i="7"/>
  <c r="BJ318" i="7"/>
  <c r="BH318" i="7"/>
  <c r="BG318" i="7"/>
  <c r="BF318" i="7"/>
  <c r="BL317" i="7"/>
  <c r="BK317" i="7"/>
  <c r="BJ317" i="7"/>
  <c r="BI317" i="7"/>
  <c r="BH317" i="7"/>
  <c r="BG317" i="7"/>
  <c r="BF317" i="7"/>
  <c r="BK316" i="7"/>
  <c r="BJ316" i="7"/>
  <c r="BH316" i="7"/>
  <c r="BG316" i="7"/>
  <c r="BF316" i="7"/>
  <c r="BL315" i="7"/>
  <c r="BK315" i="7"/>
  <c r="BJ315" i="7"/>
  <c r="BI315" i="7"/>
  <c r="BH315" i="7"/>
  <c r="BG315" i="7"/>
  <c r="BF315" i="7"/>
  <c r="BK314" i="7"/>
  <c r="BJ314" i="7"/>
  <c r="BH314" i="7"/>
  <c r="BG314" i="7"/>
  <c r="BF314" i="7"/>
  <c r="BL313" i="7"/>
  <c r="BK313" i="7"/>
  <c r="BJ313" i="7"/>
  <c r="BI313" i="7"/>
  <c r="BH313" i="7"/>
  <c r="BG313" i="7"/>
  <c r="BF313" i="7"/>
  <c r="BL312" i="7"/>
  <c r="BK312" i="7"/>
  <c r="BJ312" i="7"/>
  <c r="BI312" i="7"/>
  <c r="BH312" i="7"/>
  <c r="BG312" i="7"/>
  <c r="BF312" i="7"/>
  <c r="BL311" i="7"/>
  <c r="BK311" i="7"/>
  <c r="BJ311" i="7"/>
  <c r="BI311" i="7"/>
  <c r="BH311" i="7"/>
  <c r="BG311" i="7"/>
  <c r="BF311" i="7"/>
  <c r="BL310" i="7"/>
  <c r="BK310" i="7"/>
  <c r="BJ310" i="7"/>
  <c r="BI310" i="7"/>
  <c r="BH310" i="7"/>
  <c r="BG310" i="7"/>
  <c r="BF310" i="7"/>
  <c r="BL309" i="7"/>
  <c r="BK309" i="7"/>
  <c r="BJ309" i="7"/>
  <c r="BI309" i="7"/>
  <c r="BH309" i="7"/>
  <c r="BG309" i="7"/>
  <c r="BF309" i="7"/>
  <c r="BK308" i="7"/>
  <c r="BJ308" i="7"/>
  <c r="BH308" i="7"/>
  <c r="BG308" i="7"/>
  <c r="BF308" i="7"/>
  <c r="BL307" i="7"/>
  <c r="BK307" i="7"/>
  <c r="BJ307" i="7"/>
  <c r="BI307" i="7"/>
  <c r="BH307" i="7"/>
  <c r="BG307" i="7"/>
  <c r="BF307" i="7"/>
  <c r="BL306" i="7"/>
  <c r="BK306" i="7"/>
  <c r="BJ306" i="7"/>
  <c r="BI306" i="7"/>
  <c r="BH306" i="7"/>
  <c r="BG306" i="7"/>
  <c r="BF306" i="7"/>
  <c r="BL305" i="7"/>
  <c r="BK305" i="7"/>
  <c r="BJ305" i="7"/>
  <c r="BI305" i="7"/>
  <c r="BH305" i="7"/>
  <c r="BG305" i="7"/>
  <c r="BF305" i="7"/>
  <c r="BL304" i="7"/>
  <c r="BK304" i="7"/>
  <c r="BJ304" i="7"/>
  <c r="BI304" i="7"/>
  <c r="BH304" i="7"/>
  <c r="BG304" i="7"/>
  <c r="BF304" i="7"/>
  <c r="BL303" i="7"/>
  <c r="BK303" i="7"/>
  <c r="BJ303" i="7"/>
  <c r="BI303" i="7"/>
  <c r="BH303" i="7"/>
  <c r="BG303" i="7"/>
  <c r="BF303" i="7"/>
  <c r="BL302" i="7"/>
  <c r="BK302" i="7"/>
  <c r="BJ302" i="7"/>
  <c r="BI302" i="7"/>
  <c r="BH302" i="7"/>
  <c r="BG302" i="7"/>
  <c r="BF302" i="7"/>
  <c r="BL301" i="7"/>
  <c r="BK301" i="7"/>
  <c r="BJ301" i="7"/>
  <c r="BI301" i="7"/>
  <c r="BH301" i="7"/>
  <c r="BG301" i="7"/>
  <c r="BF301" i="7"/>
  <c r="BF299" i="7"/>
  <c r="BL308" i="7"/>
  <c r="BI308" i="7"/>
  <c r="BL328" i="7"/>
  <c r="BI328" i="7"/>
  <c r="BL326" i="7"/>
  <c r="BI326" i="7"/>
  <c r="BI322" i="7"/>
  <c r="BI316" i="7"/>
  <c r="BL314" i="7"/>
  <c r="BI314" i="7"/>
  <c r="BF66" i="7"/>
  <c r="BF124" i="7" s="1"/>
  <c r="BF182" i="7" s="1"/>
  <c r="BF240" i="7" s="1"/>
  <c r="DF15" i="4"/>
  <c r="EG15" i="4" s="1"/>
  <c r="DF14" i="4"/>
  <c r="EG14" i="4" s="1"/>
  <c r="DF13" i="4"/>
  <c r="EG13" i="4" s="1"/>
  <c r="DF12" i="4"/>
  <c r="EG12" i="4" s="1"/>
  <c r="DF11" i="4"/>
  <c r="EG11" i="4" s="1"/>
  <c r="DE11" i="4"/>
  <c r="EF11" i="4" s="1"/>
  <c r="BL322" i="7" l="1"/>
  <c r="BL260" i="7"/>
  <c r="BL319" i="7" s="1"/>
  <c r="BB282" i="7"/>
  <c r="BL87" i="7"/>
  <c r="BL320" i="7" s="1"/>
  <c r="BE282" i="7"/>
  <c r="BL85" i="7"/>
  <c r="BL318" i="7" s="1"/>
  <c r="BL316" i="7"/>
  <c r="BI327" i="7"/>
  <c r="BL327" i="7"/>
  <c r="AV55" i="6" l="1"/>
  <c r="AV14" i="6"/>
  <c r="AV13" i="6"/>
  <c r="AV111" i="6"/>
  <c r="AV110" i="6"/>
  <c r="AV15" i="6" l="1"/>
  <c r="BJ38" i="2"/>
  <c r="H48" i="1" s="1"/>
  <c r="BI36" i="2"/>
  <c r="E48" i="1" s="1"/>
  <c r="BI34" i="2"/>
  <c r="B48" i="1" s="1"/>
  <c r="BJ32" i="2"/>
  <c r="BI32" i="2"/>
  <c r="BJ31" i="2"/>
  <c r="BI31" i="2"/>
  <c r="BI33" i="2" l="1"/>
  <c r="BJ33" i="2"/>
  <c r="BI40" i="2"/>
  <c r="DH58" i="4" l="1"/>
  <c r="T49" i="1" s="1"/>
  <c r="W49" i="1" s="1"/>
  <c r="DK303" i="3" l="1"/>
  <c r="DL292" i="3"/>
  <c r="DK292" i="3"/>
  <c r="DI292" i="3"/>
  <c r="DH292" i="3"/>
  <c r="DH233" i="3"/>
  <c r="DM116" i="3"/>
  <c r="DL116" i="3"/>
  <c r="DK116" i="3"/>
  <c r="DJ116" i="3"/>
  <c r="DI116" i="3"/>
  <c r="DH116" i="3"/>
  <c r="DJ246" i="3" l="1"/>
  <c r="DM246" i="3"/>
  <c r="DM258" i="3"/>
  <c r="DG268" i="3"/>
  <c r="DD277" i="3"/>
  <c r="DM256" i="3"/>
  <c r="DG280" i="3"/>
  <c r="DJ248" i="3"/>
  <c r="DM249" i="3"/>
  <c r="DM248" i="3"/>
  <c r="DG279" i="3"/>
  <c r="DJ249" i="3"/>
  <c r="DD280" i="3"/>
  <c r="DM259" i="3"/>
  <c r="DG277" i="3"/>
  <c r="DD279" i="3"/>
  <c r="AW15" i="6"/>
  <c r="DD259" i="3"/>
  <c r="DD268" i="3"/>
  <c r="DD257" i="3"/>
  <c r="DD258" i="3"/>
  <c r="DD256" i="3"/>
  <c r="BR5" i="7"/>
  <c r="DL62" i="4"/>
  <c r="DA265" i="3"/>
  <c r="DA266" i="3"/>
  <c r="DA279" i="3"/>
  <c r="DA264" i="3"/>
  <c r="BS249" i="7" l="1"/>
  <c r="BS308" i="7" s="1"/>
  <c r="BP249" i="7"/>
  <c r="BP308" i="7" s="1"/>
  <c r="DJ292" i="3"/>
  <c r="DH298" i="3"/>
  <c r="DI300" i="3"/>
  <c r="BS261" i="7"/>
  <c r="BS320" i="7" s="1"/>
  <c r="BS309" i="7"/>
  <c r="BP309" i="7"/>
  <c r="BS88" i="7"/>
  <c r="BS30" i="7"/>
  <c r="BS322" i="7" s="1"/>
  <c r="BP252" i="7"/>
  <c r="BP311" i="7" s="1"/>
  <c r="BS252" i="7"/>
  <c r="BS311" i="7" s="1"/>
  <c r="BS85" i="7"/>
  <c r="BS318" i="7" s="1"/>
  <c r="BP251" i="7"/>
  <c r="BP310" i="7" s="1"/>
  <c r="BS29" i="7"/>
  <c r="BS251" i="7"/>
  <c r="BS310" i="7" s="1"/>
  <c r="DM292" i="3"/>
  <c r="DH296" i="3"/>
  <c r="BI262" i="7"/>
  <c r="BI321" i="7" s="1"/>
  <c r="BL282" i="7"/>
  <c r="BL341" i="7" s="1"/>
  <c r="BI280" i="7"/>
  <c r="BI339" i="7" s="1"/>
  <c r="BI97" i="7"/>
  <c r="BI282" i="7"/>
  <c r="BI341" i="7" s="1"/>
  <c r="BL97" i="7"/>
  <c r="BL280" i="7"/>
  <c r="BL339" i="7" s="1"/>
  <c r="BI283" i="7"/>
  <c r="BI342" i="7" s="1"/>
  <c r="BL283" i="7"/>
  <c r="BL342" i="7" s="1"/>
  <c r="DD43" i="4"/>
  <c r="DG43" i="4"/>
  <c r="DD39" i="4"/>
  <c r="DD32" i="4"/>
  <c r="DG39" i="4"/>
  <c r="DD27" i="4"/>
  <c r="DG32" i="4"/>
  <c r="BL271" i="7"/>
  <c r="BI271" i="7"/>
  <c r="BI87" i="7"/>
  <c r="BI85" i="7"/>
  <c r="BI318" i="7" s="1"/>
  <c r="BI260" i="7"/>
  <c r="BI319" i="7" s="1"/>
  <c r="CZ19" i="4"/>
  <c r="O49" i="1" l="1"/>
  <c r="BS362" i="7"/>
  <c r="N49" i="1"/>
  <c r="BS360" i="7"/>
  <c r="M49" i="1"/>
  <c r="P49" i="1" s="1"/>
  <c r="BS358" i="7"/>
  <c r="BN360" i="7"/>
  <c r="DH302" i="3"/>
  <c r="BS364" i="7" s="1"/>
  <c r="AQ49" i="1"/>
  <c r="Q49" i="1"/>
  <c r="AI49" i="1" s="1"/>
  <c r="AU49" i="1" s="1"/>
  <c r="R49" i="1"/>
  <c r="BL330" i="7"/>
  <c r="BO362" i="7" s="1"/>
  <c r="BS321" i="7"/>
  <c r="BI330" i="7"/>
  <c r="DI60" i="4"/>
  <c r="U49" i="1" s="1"/>
  <c r="BI320" i="7"/>
  <c r="BN358" i="7" s="1"/>
  <c r="DH56" i="4"/>
  <c r="S49" i="1" s="1"/>
  <c r="V49" i="1" s="1"/>
  <c r="AU14" i="6"/>
  <c r="AU13" i="6"/>
  <c r="BN364" i="7" l="1"/>
  <c r="X49" i="1"/>
  <c r="I60" i="6"/>
  <c r="AH49" i="1"/>
  <c r="AP49" i="1"/>
  <c r="AS49" i="1"/>
  <c r="AU15" i="6"/>
  <c r="AU53" i="6"/>
  <c r="AU59" i="6" l="1"/>
  <c r="AU60" i="6"/>
  <c r="AU57" i="6"/>
  <c r="AU58" i="6"/>
  <c r="AU55" i="6"/>
  <c r="AU61" i="6"/>
  <c r="AW56" i="6"/>
  <c r="AW62" i="6" s="1"/>
  <c r="AW31" i="6"/>
  <c r="BH38" i="2"/>
  <c r="H47" i="1" s="1"/>
  <c r="BG36" i="2"/>
  <c r="E47" i="1" s="1"/>
  <c r="BG34" i="2"/>
  <c r="B47" i="1" s="1"/>
  <c r="BH32" i="2"/>
  <c r="BG32" i="2"/>
  <c r="BH31" i="2"/>
  <c r="BG31" i="2"/>
  <c r="AZ314" i="7"/>
  <c r="BA314" i="7"/>
  <c r="BC314" i="7"/>
  <c r="BD314" i="7"/>
  <c r="AZ315" i="7"/>
  <c r="BA315" i="7"/>
  <c r="BB315" i="7"/>
  <c r="BC315" i="7"/>
  <c r="BD315" i="7"/>
  <c r="AZ316" i="7"/>
  <c r="BA316" i="7"/>
  <c r="BC316" i="7"/>
  <c r="BD316" i="7"/>
  <c r="AZ317" i="7"/>
  <c r="BA317" i="7"/>
  <c r="BB317" i="7"/>
  <c r="BC317" i="7"/>
  <c r="BD317" i="7"/>
  <c r="AZ318" i="7"/>
  <c r="BA318" i="7"/>
  <c r="BB318" i="7"/>
  <c r="BC318" i="7"/>
  <c r="BD318" i="7"/>
  <c r="AZ319" i="7"/>
  <c r="BA319" i="7"/>
  <c r="BC319" i="7"/>
  <c r="BD319" i="7"/>
  <c r="AZ320" i="7"/>
  <c r="BA320" i="7"/>
  <c r="BC320" i="7"/>
  <c r="BD320" i="7"/>
  <c r="AZ321" i="7"/>
  <c r="BA321" i="7"/>
  <c r="BC321" i="7"/>
  <c r="BD321" i="7"/>
  <c r="AZ322" i="7"/>
  <c r="BA322" i="7"/>
  <c r="BC322" i="7"/>
  <c r="BD322" i="7"/>
  <c r="BH33" i="2" l="1"/>
  <c r="BG40" i="2"/>
  <c r="BG33" i="2"/>
  <c r="BE353" i="7" l="1"/>
  <c r="BD353" i="7"/>
  <c r="BC353" i="7"/>
  <c r="BB353" i="7"/>
  <c r="BA353" i="7"/>
  <c r="AZ353" i="7"/>
  <c r="AY353" i="7"/>
  <c r="BE352" i="7"/>
  <c r="BD352" i="7"/>
  <c r="BC352" i="7"/>
  <c r="BB352" i="7"/>
  <c r="BA352" i="7"/>
  <c r="AZ352" i="7"/>
  <c r="AY352" i="7"/>
  <c r="BE351" i="7"/>
  <c r="BD351" i="7"/>
  <c r="BC351" i="7"/>
  <c r="BB351" i="7"/>
  <c r="BA351" i="7"/>
  <c r="AZ351" i="7"/>
  <c r="AY351" i="7"/>
  <c r="BE350" i="7"/>
  <c r="BD350" i="7"/>
  <c r="BC350" i="7"/>
  <c r="BB350" i="7"/>
  <c r="BA350" i="7"/>
  <c r="AZ350" i="7"/>
  <c r="AY350" i="7"/>
  <c r="BE349" i="7"/>
  <c r="BD349" i="7"/>
  <c r="BC349" i="7"/>
  <c r="BB349" i="7"/>
  <c r="BA349" i="7"/>
  <c r="AZ349" i="7"/>
  <c r="AY349" i="7"/>
  <c r="BE348" i="7"/>
  <c r="BD348" i="7"/>
  <c r="BC348" i="7"/>
  <c r="BB348" i="7"/>
  <c r="BA348" i="7"/>
  <c r="AZ348" i="7"/>
  <c r="AY348" i="7"/>
  <c r="BE347" i="7"/>
  <c r="BD347" i="7"/>
  <c r="BC347" i="7"/>
  <c r="BB347" i="7"/>
  <c r="BA347" i="7"/>
  <c r="AZ347" i="7"/>
  <c r="AY347" i="7"/>
  <c r="BE346" i="7"/>
  <c r="BD346" i="7"/>
  <c r="BC346" i="7"/>
  <c r="BB346" i="7"/>
  <c r="BA346" i="7"/>
  <c r="AZ346" i="7"/>
  <c r="AY346" i="7"/>
  <c r="BE345" i="7"/>
  <c r="BD345" i="7"/>
  <c r="BC345" i="7"/>
  <c r="BB345" i="7"/>
  <c r="BA345" i="7"/>
  <c r="AZ345" i="7"/>
  <c r="AY345" i="7"/>
  <c r="BE344" i="7"/>
  <c r="BD344" i="7"/>
  <c r="BC344" i="7"/>
  <c r="BB344" i="7"/>
  <c r="BA344" i="7"/>
  <c r="AZ344" i="7"/>
  <c r="AY344" i="7"/>
  <c r="BE343" i="7"/>
  <c r="BD343" i="7"/>
  <c r="BC343" i="7"/>
  <c r="BB343" i="7"/>
  <c r="BA343" i="7"/>
  <c r="AZ343" i="7"/>
  <c r="AY343" i="7"/>
  <c r="BE342" i="7"/>
  <c r="BD342" i="7"/>
  <c r="BC342" i="7"/>
  <c r="BB342" i="7"/>
  <c r="BA342" i="7"/>
  <c r="AZ342" i="7"/>
  <c r="AY342" i="7"/>
  <c r="BD341" i="7"/>
  <c r="BC341" i="7"/>
  <c r="BB341" i="7"/>
  <c r="BA341" i="7"/>
  <c r="AZ341" i="7"/>
  <c r="AY341" i="7"/>
  <c r="BE340" i="7"/>
  <c r="BD340" i="7"/>
  <c r="BC340" i="7"/>
  <c r="BA340" i="7"/>
  <c r="AZ340" i="7"/>
  <c r="AY340" i="7"/>
  <c r="BE339" i="7"/>
  <c r="BD339" i="7"/>
  <c r="BC339" i="7"/>
  <c r="BB339" i="7"/>
  <c r="BA339" i="7"/>
  <c r="AZ339" i="7"/>
  <c r="AY339" i="7"/>
  <c r="BE338" i="7"/>
  <c r="BD338" i="7"/>
  <c r="BC338" i="7"/>
  <c r="BB338" i="7"/>
  <c r="BA338" i="7"/>
  <c r="AZ338" i="7"/>
  <c r="AY338" i="7"/>
  <c r="BE337" i="7"/>
  <c r="BD337" i="7"/>
  <c r="BC337" i="7"/>
  <c r="BB337" i="7"/>
  <c r="BA337" i="7"/>
  <c r="AZ337" i="7"/>
  <c r="AY337" i="7"/>
  <c r="BE336" i="7"/>
  <c r="BD336" i="7"/>
  <c r="BC336" i="7"/>
  <c r="BB336" i="7"/>
  <c r="BA336" i="7"/>
  <c r="AZ336" i="7"/>
  <c r="AY336" i="7"/>
  <c r="BE335" i="7"/>
  <c r="BD335" i="7"/>
  <c r="BC335" i="7"/>
  <c r="BB335" i="7"/>
  <c r="BA335" i="7"/>
  <c r="AZ335" i="7"/>
  <c r="AY335" i="7"/>
  <c r="BE334" i="7"/>
  <c r="BD334" i="7"/>
  <c r="BC334" i="7"/>
  <c r="BB334" i="7"/>
  <c r="BA334" i="7"/>
  <c r="AZ334" i="7"/>
  <c r="AY334" i="7"/>
  <c r="BE333" i="7"/>
  <c r="BD333" i="7"/>
  <c r="BC333" i="7"/>
  <c r="BB333" i="7"/>
  <c r="BA333" i="7"/>
  <c r="AZ333" i="7"/>
  <c r="AY333" i="7"/>
  <c r="BE332" i="7"/>
  <c r="BD332" i="7"/>
  <c r="BC332" i="7"/>
  <c r="BB332" i="7"/>
  <c r="BA332" i="7"/>
  <c r="AZ332" i="7"/>
  <c r="AY332" i="7"/>
  <c r="BE331" i="7"/>
  <c r="BD331" i="7"/>
  <c r="BC331" i="7"/>
  <c r="BB331" i="7"/>
  <c r="BA331" i="7"/>
  <c r="AZ331" i="7"/>
  <c r="AY331" i="7"/>
  <c r="BE330" i="7"/>
  <c r="BD330" i="7"/>
  <c r="BC330" i="7"/>
  <c r="BB330" i="7"/>
  <c r="BA330" i="7"/>
  <c r="AZ330" i="7"/>
  <c r="AY330" i="7"/>
  <c r="BE329" i="7"/>
  <c r="BD329" i="7"/>
  <c r="BC329" i="7"/>
  <c r="BB329" i="7"/>
  <c r="BA329" i="7"/>
  <c r="AZ329" i="7"/>
  <c r="AY329" i="7"/>
  <c r="BD328" i="7"/>
  <c r="BC328" i="7"/>
  <c r="BA328" i="7"/>
  <c r="AZ328" i="7"/>
  <c r="AY328" i="7"/>
  <c r="BD327" i="7"/>
  <c r="BC327" i="7"/>
  <c r="BA327" i="7"/>
  <c r="AZ327" i="7"/>
  <c r="AY327" i="7"/>
  <c r="BD326" i="7"/>
  <c r="BC326" i="7"/>
  <c r="BA326" i="7"/>
  <c r="AZ326" i="7"/>
  <c r="AY326" i="7"/>
  <c r="BE325" i="7"/>
  <c r="BD325" i="7"/>
  <c r="BC325" i="7"/>
  <c r="BB325" i="7"/>
  <c r="BA325" i="7"/>
  <c r="AZ325" i="7"/>
  <c r="AY325" i="7"/>
  <c r="BE324" i="7"/>
  <c r="BD324" i="7"/>
  <c r="BC324" i="7"/>
  <c r="BB324" i="7"/>
  <c r="BA324" i="7"/>
  <c r="AZ324" i="7"/>
  <c r="AY324" i="7"/>
  <c r="BE323" i="7"/>
  <c r="BD323" i="7"/>
  <c r="BC323" i="7"/>
  <c r="BB323" i="7"/>
  <c r="BA323" i="7"/>
  <c r="AZ323" i="7"/>
  <c r="AY323" i="7"/>
  <c r="AY322" i="7"/>
  <c r="AY321" i="7"/>
  <c r="AY320" i="7"/>
  <c r="AY319" i="7"/>
  <c r="BE318" i="7"/>
  <c r="AY318" i="7"/>
  <c r="BE317" i="7"/>
  <c r="AY317" i="7"/>
  <c r="AY316" i="7"/>
  <c r="BE315" i="7"/>
  <c r="AY315" i="7"/>
  <c r="AY314" i="7"/>
  <c r="BE313" i="7"/>
  <c r="BD313" i="7"/>
  <c r="BC313" i="7"/>
  <c r="BB313" i="7"/>
  <c r="BA313" i="7"/>
  <c r="AZ313" i="7"/>
  <c r="AY313" i="7"/>
  <c r="BE312" i="7"/>
  <c r="BD312" i="7"/>
  <c r="BC312" i="7"/>
  <c r="BB312" i="7"/>
  <c r="BA312" i="7"/>
  <c r="AZ312" i="7"/>
  <c r="AY312" i="7"/>
  <c r="BE311" i="7"/>
  <c r="BD311" i="7"/>
  <c r="BC311" i="7"/>
  <c r="BB311" i="7"/>
  <c r="BA311" i="7"/>
  <c r="AZ311" i="7"/>
  <c r="AY311" i="7"/>
  <c r="BE310" i="7"/>
  <c r="BD310" i="7"/>
  <c r="BC310" i="7"/>
  <c r="BB310" i="7"/>
  <c r="BA310" i="7"/>
  <c r="AZ310" i="7"/>
  <c r="AY310" i="7"/>
  <c r="BE309" i="7"/>
  <c r="BD309" i="7"/>
  <c r="BC309" i="7"/>
  <c r="BB309" i="7"/>
  <c r="BA309" i="7"/>
  <c r="AZ309" i="7"/>
  <c r="AY309" i="7"/>
  <c r="BD308" i="7"/>
  <c r="BC308" i="7"/>
  <c r="BA308" i="7"/>
  <c r="AZ308" i="7"/>
  <c r="AY308" i="7"/>
  <c r="BE307" i="7"/>
  <c r="BD307" i="7"/>
  <c r="BC307" i="7"/>
  <c r="BB307" i="7"/>
  <c r="BA307" i="7"/>
  <c r="AZ307" i="7"/>
  <c r="AY307" i="7"/>
  <c r="BE306" i="7"/>
  <c r="BD306" i="7"/>
  <c r="BC306" i="7"/>
  <c r="BB306" i="7"/>
  <c r="BA306" i="7"/>
  <c r="AZ306" i="7"/>
  <c r="AY306" i="7"/>
  <c r="BE305" i="7"/>
  <c r="BD305" i="7"/>
  <c r="BC305" i="7"/>
  <c r="BB305" i="7"/>
  <c r="BA305" i="7"/>
  <c r="AZ305" i="7"/>
  <c r="AY305" i="7"/>
  <c r="BE304" i="7"/>
  <c r="BD304" i="7"/>
  <c r="BC304" i="7"/>
  <c r="BB304" i="7"/>
  <c r="BA304" i="7"/>
  <c r="AZ304" i="7"/>
  <c r="AY304" i="7"/>
  <c r="BE303" i="7"/>
  <c r="BD303" i="7"/>
  <c r="BC303" i="7"/>
  <c r="BB303" i="7"/>
  <c r="BA303" i="7"/>
  <c r="AZ303" i="7"/>
  <c r="AY303" i="7"/>
  <c r="BE302" i="7"/>
  <c r="BD302" i="7"/>
  <c r="BC302" i="7"/>
  <c r="BB302" i="7"/>
  <c r="BA302" i="7"/>
  <c r="AZ302" i="7"/>
  <c r="AY302" i="7"/>
  <c r="BE301" i="7"/>
  <c r="BD301" i="7"/>
  <c r="BC301" i="7"/>
  <c r="BB301" i="7"/>
  <c r="BA301" i="7"/>
  <c r="AZ301" i="7"/>
  <c r="AY301" i="7"/>
  <c r="AY299" i="7"/>
  <c r="BE341" i="7"/>
  <c r="BB340" i="7"/>
  <c r="AY66" i="7"/>
  <c r="AY124" i="7" s="1"/>
  <c r="AY182" i="7" s="1"/>
  <c r="AY240" i="7" s="1"/>
  <c r="CZ20" i="4"/>
  <c r="CZ18" i="4"/>
  <c r="CZ17" i="4"/>
  <c r="CY20" i="4"/>
  <c r="CY19" i="4"/>
  <c r="CY18" i="4"/>
  <c r="CY17" i="4"/>
  <c r="CY16" i="4"/>
  <c r="CY15" i="4"/>
  <c r="CY14" i="4"/>
  <c r="CY13" i="4"/>
  <c r="CY11" i="4"/>
  <c r="BG360" i="7" l="1"/>
  <c r="BB262" i="7"/>
  <c r="BB93" i="7"/>
  <c r="BB86" i="7"/>
  <c r="BB267" i="7"/>
  <c r="BB87" i="7"/>
  <c r="BE95" i="7"/>
  <c r="BE328" i="7" s="1"/>
  <c r="BB261" i="7"/>
  <c r="BB89" i="7"/>
  <c r="BB322" i="7" s="1"/>
  <c r="BE35" i="7"/>
  <c r="BE268" i="7"/>
  <c r="BB95" i="7"/>
  <c r="BB328" i="7" s="1"/>
  <c r="BB268" i="7"/>
  <c r="BB260" i="7"/>
  <c r="BB88" i="7"/>
  <c r="BB35" i="7"/>
  <c r="DA258" i="3"/>
  <c r="DA259" i="3"/>
  <c r="DA260" i="3"/>
  <c r="DA257" i="3"/>
  <c r="DA246" i="3"/>
  <c r="DA254" i="3"/>
  <c r="CX246" i="3"/>
  <c r="CX254" i="3"/>
  <c r="CX252" i="3"/>
  <c r="DA252" i="3"/>
  <c r="BB321" i="7" l="1"/>
  <c r="BE327" i="7"/>
  <c r="BH362" i="7" s="1"/>
  <c r="BB327" i="7"/>
  <c r="BB319" i="7"/>
  <c r="BB326" i="7"/>
  <c r="BB320" i="7"/>
  <c r="EF239" i="3"/>
  <c r="EH239" i="3"/>
  <c r="EF240" i="3"/>
  <c r="EH240" i="3" s="1"/>
  <c r="EF241" i="3"/>
  <c r="EH241" i="3" s="1"/>
  <c r="EF242" i="3"/>
  <c r="EH242" i="3" s="1"/>
  <c r="EF243" i="3"/>
  <c r="EH243" i="3" s="1"/>
  <c r="EF244" i="3"/>
  <c r="EH244" i="3" s="1"/>
  <c r="BG358" i="7" l="1"/>
  <c r="BG364" i="7" s="1"/>
  <c r="CX279" i="3"/>
  <c r="DC300" i="3"/>
  <c r="DB298" i="3"/>
  <c r="DG292" i="3"/>
  <c r="DF292" i="3"/>
  <c r="DE292" i="3"/>
  <c r="DD292" i="3"/>
  <c r="DC292" i="3"/>
  <c r="DB292" i="3"/>
  <c r="DB233" i="3"/>
  <c r="DG116" i="3"/>
  <c r="DF116" i="3"/>
  <c r="DE116" i="3"/>
  <c r="DD116" i="3"/>
  <c r="DC116" i="3"/>
  <c r="DB116" i="3"/>
  <c r="N48" i="1" l="1"/>
  <c r="Q48" i="1" s="1"/>
  <c r="BL360" i="7"/>
  <c r="O48" i="1"/>
  <c r="BL362" i="7"/>
  <c r="R48" i="1"/>
  <c r="CX259" i="3"/>
  <c r="CX264" i="3"/>
  <c r="CX258" i="3"/>
  <c r="CX265" i="3"/>
  <c r="CX260" i="3"/>
  <c r="DF62" i="4"/>
  <c r="CX266" i="3"/>
  <c r="CX257" i="3"/>
  <c r="CO285" i="3"/>
  <c r="CL285" i="3"/>
  <c r="DG27" i="4" l="1"/>
  <c r="CX45" i="4"/>
  <c r="DA45" i="4"/>
  <c r="DG11" i="4"/>
  <c r="DD12" i="4"/>
  <c r="DD14" i="4"/>
  <c r="DG15" i="4"/>
  <c r="DG12" i="4"/>
  <c r="DD13" i="4"/>
  <c r="DG13" i="4"/>
  <c r="DD11" i="4"/>
  <c r="DD15" i="4"/>
  <c r="DG14" i="4"/>
  <c r="DB296" i="3"/>
  <c r="BL358" i="7" s="1"/>
  <c r="CX22" i="4"/>
  <c r="CX27" i="4"/>
  <c r="CX26" i="4"/>
  <c r="I301" i="7"/>
  <c r="P301" i="7"/>
  <c r="W301" i="7"/>
  <c r="AD301" i="7"/>
  <c r="AK301" i="7"/>
  <c r="AL301" i="7"/>
  <c r="AM301" i="7"/>
  <c r="AN301" i="7"/>
  <c r="AO301" i="7"/>
  <c r="AP301" i="7"/>
  <c r="AQ301" i="7"/>
  <c r="AR301" i="7"/>
  <c r="AS301" i="7"/>
  <c r="AT301" i="7"/>
  <c r="AU301" i="7"/>
  <c r="AV301" i="7"/>
  <c r="AW301" i="7"/>
  <c r="AX301" i="7"/>
  <c r="I302" i="7"/>
  <c r="P302" i="7"/>
  <c r="W302" i="7"/>
  <c r="AD302" i="7"/>
  <c r="AK302" i="7"/>
  <c r="AL302" i="7"/>
  <c r="AM302" i="7"/>
  <c r="AN302" i="7"/>
  <c r="AO302" i="7"/>
  <c r="AP302" i="7"/>
  <c r="AQ302" i="7"/>
  <c r="AR302" i="7"/>
  <c r="AS302" i="7"/>
  <c r="AT302" i="7"/>
  <c r="AU302" i="7"/>
  <c r="AV302" i="7"/>
  <c r="AW302" i="7"/>
  <c r="AX302" i="7"/>
  <c r="I303" i="7"/>
  <c r="P303" i="7"/>
  <c r="W303" i="7"/>
  <c r="AD303" i="7"/>
  <c r="AK303" i="7"/>
  <c r="AL303" i="7"/>
  <c r="AM303" i="7"/>
  <c r="AN303" i="7"/>
  <c r="AO303" i="7"/>
  <c r="AP303" i="7"/>
  <c r="AQ303" i="7"/>
  <c r="AR303" i="7"/>
  <c r="AS303" i="7"/>
  <c r="AT303" i="7"/>
  <c r="AU303" i="7"/>
  <c r="AV303" i="7"/>
  <c r="AW303" i="7"/>
  <c r="AX303" i="7"/>
  <c r="I304" i="7"/>
  <c r="P304" i="7"/>
  <c r="W304" i="7"/>
  <c r="AD304" i="7"/>
  <c r="AK304" i="7"/>
  <c r="AL304" i="7"/>
  <c r="AM304" i="7"/>
  <c r="AN304" i="7"/>
  <c r="AO304" i="7"/>
  <c r="AP304" i="7"/>
  <c r="AQ304" i="7"/>
  <c r="AR304" i="7"/>
  <c r="AS304" i="7"/>
  <c r="AT304" i="7"/>
  <c r="AU304" i="7"/>
  <c r="AV304" i="7"/>
  <c r="AW304" i="7"/>
  <c r="AX304" i="7"/>
  <c r="I305" i="7"/>
  <c r="P305" i="7"/>
  <c r="W305" i="7"/>
  <c r="AD305" i="7"/>
  <c r="AK305" i="7"/>
  <c r="AL305" i="7"/>
  <c r="AM305" i="7"/>
  <c r="AN305" i="7"/>
  <c r="AO305" i="7"/>
  <c r="AP305" i="7"/>
  <c r="AQ305" i="7"/>
  <c r="AR305" i="7"/>
  <c r="AS305" i="7"/>
  <c r="AT305" i="7"/>
  <c r="AU305" i="7"/>
  <c r="AV305" i="7"/>
  <c r="AW305" i="7"/>
  <c r="AX305" i="7"/>
  <c r="I306" i="7"/>
  <c r="P306" i="7"/>
  <c r="W306" i="7"/>
  <c r="AD306" i="7"/>
  <c r="AK306" i="7"/>
  <c r="AL306" i="7"/>
  <c r="AM306" i="7"/>
  <c r="AN306" i="7"/>
  <c r="AO306" i="7"/>
  <c r="AP306" i="7"/>
  <c r="AQ306" i="7"/>
  <c r="AR306" i="7"/>
  <c r="AS306" i="7"/>
  <c r="AT306" i="7"/>
  <c r="AU306" i="7"/>
  <c r="AV306" i="7"/>
  <c r="AW306" i="7"/>
  <c r="AX306" i="7"/>
  <c r="I307" i="7"/>
  <c r="P307" i="7"/>
  <c r="W307" i="7"/>
  <c r="AD307" i="7"/>
  <c r="AK307" i="7"/>
  <c r="AL307" i="7"/>
  <c r="AM307" i="7"/>
  <c r="AN307" i="7"/>
  <c r="AO307" i="7"/>
  <c r="AP307" i="7"/>
  <c r="AQ307" i="7"/>
  <c r="AR307" i="7"/>
  <c r="AS307" i="7"/>
  <c r="AT307" i="7"/>
  <c r="AU307" i="7"/>
  <c r="AV307" i="7"/>
  <c r="AW307" i="7"/>
  <c r="AX307" i="7"/>
  <c r="I308" i="7"/>
  <c r="P308" i="7"/>
  <c r="W308" i="7"/>
  <c r="AD308" i="7"/>
  <c r="AK308" i="7"/>
  <c r="AL308" i="7"/>
  <c r="AM308" i="7"/>
  <c r="AN308" i="7"/>
  <c r="AO308" i="7"/>
  <c r="AP308" i="7"/>
  <c r="AQ308" i="7"/>
  <c r="AR308" i="7"/>
  <c r="AS308" i="7"/>
  <c r="AT308" i="7"/>
  <c r="AU308" i="7"/>
  <c r="AV308" i="7"/>
  <c r="AW308" i="7"/>
  <c r="AX308" i="7"/>
  <c r="I309" i="7"/>
  <c r="P309" i="7"/>
  <c r="W309" i="7"/>
  <c r="AD309" i="7"/>
  <c r="AK309" i="7"/>
  <c r="AL309" i="7"/>
  <c r="AM309" i="7"/>
  <c r="AN309" i="7"/>
  <c r="AO309" i="7"/>
  <c r="AP309" i="7"/>
  <c r="AQ309" i="7"/>
  <c r="AR309" i="7"/>
  <c r="AS309" i="7"/>
  <c r="AT309" i="7"/>
  <c r="AU309" i="7"/>
  <c r="AV309" i="7"/>
  <c r="AW309" i="7"/>
  <c r="AX309" i="7"/>
  <c r="I310" i="7"/>
  <c r="P310" i="7"/>
  <c r="W310" i="7"/>
  <c r="AD310" i="7"/>
  <c r="AK310" i="7"/>
  <c r="AL310" i="7"/>
  <c r="AM310" i="7"/>
  <c r="AN310" i="7"/>
  <c r="AO310" i="7"/>
  <c r="AP310" i="7"/>
  <c r="AQ310" i="7"/>
  <c r="AR310" i="7"/>
  <c r="AS310" i="7"/>
  <c r="AT310" i="7"/>
  <c r="AU310" i="7"/>
  <c r="AV310" i="7"/>
  <c r="AW310" i="7"/>
  <c r="AX310" i="7"/>
  <c r="I311" i="7"/>
  <c r="P311" i="7"/>
  <c r="W311" i="7"/>
  <c r="AD311" i="7"/>
  <c r="AK311" i="7"/>
  <c r="AL311" i="7"/>
  <c r="AM311" i="7"/>
  <c r="AN311" i="7"/>
  <c r="AO311" i="7"/>
  <c r="AP311" i="7"/>
  <c r="AQ311" i="7"/>
  <c r="AR311" i="7"/>
  <c r="AS311" i="7"/>
  <c r="AT311" i="7"/>
  <c r="AU311" i="7"/>
  <c r="AV311" i="7"/>
  <c r="AW311" i="7"/>
  <c r="AX311" i="7"/>
  <c r="I312" i="7"/>
  <c r="P312" i="7"/>
  <c r="W312" i="7"/>
  <c r="AD312" i="7"/>
  <c r="AK312" i="7"/>
  <c r="AL312" i="7"/>
  <c r="AM312" i="7"/>
  <c r="AN312" i="7"/>
  <c r="AO312" i="7"/>
  <c r="AP312" i="7"/>
  <c r="AQ312" i="7"/>
  <c r="AR312" i="7"/>
  <c r="AS312" i="7"/>
  <c r="AT312" i="7"/>
  <c r="AU312" i="7"/>
  <c r="AV312" i="7"/>
  <c r="AW312" i="7"/>
  <c r="AX312" i="7"/>
  <c r="I313" i="7"/>
  <c r="P313" i="7"/>
  <c r="W313" i="7"/>
  <c r="AD313" i="7"/>
  <c r="AK313" i="7"/>
  <c r="AL313" i="7"/>
  <c r="AM313" i="7"/>
  <c r="AN313" i="7"/>
  <c r="AO313" i="7"/>
  <c r="AP313" i="7"/>
  <c r="AQ313" i="7"/>
  <c r="AR313" i="7"/>
  <c r="AS313" i="7"/>
  <c r="AT313" i="7"/>
  <c r="AU313" i="7"/>
  <c r="AV313" i="7"/>
  <c r="AW313" i="7"/>
  <c r="AX313" i="7"/>
  <c r="I314" i="7"/>
  <c r="P314" i="7"/>
  <c r="W314" i="7"/>
  <c r="AD314" i="7"/>
  <c r="AK314" i="7"/>
  <c r="AL314" i="7"/>
  <c r="AM314" i="7"/>
  <c r="AN314" i="7"/>
  <c r="AO314" i="7"/>
  <c r="AP314" i="7"/>
  <c r="AQ314" i="7"/>
  <c r="AR314" i="7"/>
  <c r="AS314" i="7"/>
  <c r="AT314" i="7"/>
  <c r="AU314" i="7"/>
  <c r="AV314" i="7"/>
  <c r="AW314" i="7"/>
  <c r="AX314" i="7"/>
  <c r="I315" i="7"/>
  <c r="P315" i="7"/>
  <c r="W315" i="7"/>
  <c r="AD315" i="7"/>
  <c r="AK315" i="7"/>
  <c r="AL315" i="7"/>
  <c r="AM315" i="7"/>
  <c r="AN315" i="7"/>
  <c r="AO315" i="7"/>
  <c r="AP315" i="7"/>
  <c r="AQ315" i="7"/>
  <c r="AR315" i="7"/>
  <c r="AS315" i="7"/>
  <c r="AT315" i="7"/>
  <c r="AU315" i="7"/>
  <c r="AV315" i="7"/>
  <c r="AW315" i="7"/>
  <c r="AX315" i="7"/>
  <c r="I316" i="7"/>
  <c r="P316" i="7"/>
  <c r="W316" i="7"/>
  <c r="AD316" i="7"/>
  <c r="AK316" i="7"/>
  <c r="AL316" i="7"/>
  <c r="AM316" i="7"/>
  <c r="AN316" i="7"/>
  <c r="AO316" i="7"/>
  <c r="AP316" i="7"/>
  <c r="AQ316" i="7"/>
  <c r="AR316" i="7"/>
  <c r="AS316" i="7"/>
  <c r="AT316" i="7"/>
  <c r="AU316" i="7"/>
  <c r="AV316" i="7"/>
  <c r="AW316" i="7"/>
  <c r="AX316" i="7"/>
  <c r="I317" i="7"/>
  <c r="P317" i="7"/>
  <c r="W317" i="7"/>
  <c r="AD317" i="7"/>
  <c r="AK317" i="7"/>
  <c r="AL317" i="7"/>
  <c r="AM317" i="7"/>
  <c r="AN317" i="7"/>
  <c r="AO317" i="7"/>
  <c r="AP317" i="7"/>
  <c r="AQ317" i="7"/>
  <c r="AR317" i="7"/>
  <c r="AS317" i="7"/>
  <c r="AT317" i="7"/>
  <c r="AU317" i="7"/>
  <c r="AV317" i="7"/>
  <c r="AW317" i="7"/>
  <c r="AX317" i="7"/>
  <c r="I318" i="7"/>
  <c r="P318" i="7"/>
  <c r="W318" i="7"/>
  <c r="AD318" i="7"/>
  <c r="AK318" i="7"/>
  <c r="AL318" i="7"/>
  <c r="AM318" i="7"/>
  <c r="AN318" i="7"/>
  <c r="AO318" i="7"/>
  <c r="AP318" i="7"/>
  <c r="AQ318" i="7"/>
  <c r="AR318" i="7"/>
  <c r="AS318" i="7"/>
  <c r="AT318" i="7"/>
  <c r="AU318" i="7"/>
  <c r="AV318" i="7"/>
  <c r="AW318" i="7"/>
  <c r="AX318" i="7"/>
  <c r="I319" i="7"/>
  <c r="P319" i="7"/>
  <c r="W319" i="7"/>
  <c r="AD319" i="7"/>
  <c r="AK319" i="7"/>
  <c r="AL319" i="7"/>
  <c r="AM319" i="7"/>
  <c r="AO319" i="7"/>
  <c r="AP319" i="7"/>
  <c r="AR319" i="7"/>
  <c r="AS319" i="7"/>
  <c r="AT319" i="7"/>
  <c r="AV319" i="7"/>
  <c r="AW319" i="7"/>
  <c r="I320" i="7"/>
  <c r="P320" i="7"/>
  <c r="W320" i="7"/>
  <c r="AD320" i="7"/>
  <c r="AK320" i="7"/>
  <c r="AL320" i="7"/>
  <c r="AM320" i="7"/>
  <c r="AO320" i="7"/>
  <c r="AP320" i="7"/>
  <c r="AR320" i="7"/>
  <c r="AS320" i="7"/>
  <c r="AT320" i="7"/>
  <c r="AV320" i="7"/>
  <c r="AW320" i="7"/>
  <c r="I321" i="7"/>
  <c r="P321" i="7"/>
  <c r="W321" i="7"/>
  <c r="AD321" i="7"/>
  <c r="AK321" i="7"/>
  <c r="AL321" i="7"/>
  <c r="AM321" i="7"/>
  <c r="AO321" i="7"/>
  <c r="AP321" i="7"/>
  <c r="AR321" i="7"/>
  <c r="AS321" i="7"/>
  <c r="AT321" i="7"/>
  <c r="AU321" i="7"/>
  <c r="AV321" i="7"/>
  <c r="AW321" i="7"/>
  <c r="AX321" i="7"/>
  <c r="I322" i="7"/>
  <c r="P322" i="7"/>
  <c r="W322" i="7"/>
  <c r="AD322" i="7"/>
  <c r="AK322" i="7"/>
  <c r="AL322" i="7"/>
  <c r="AM322" i="7"/>
  <c r="AN322" i="7"/>
  <c r="AO322" i="7"/>
  <c r="AP322" i="7"/>
  <c r="AQ322" i="7"/>
  <c r="AR322" i="7"/>
  <c r="AS322" i="7"/>
  <c r="AT322" i="7"/>
  <c r="AV322" i="7"/>
  <c r="AW322" i="7"/>
  <c r="I323" i="7"/>
  <c r="P323" i="7"/>
  <c r="W323" i="7"/>
  <c r="AD323" i="7"/>
  <c r="AK323" i="7"/>
  <c r="AL323" i="7"/>
  <c r="AM323" i="7"/>
  <c r="AN323" i="7"/>
  <c r="AO323" i="7"/>
  <c r="AP323" i="7"/>
  <c r="AQ323" i="7"/>
  <c r="AR323" i="7"/>
  <c r="AS323" i="7"/>
  <c r="AT323" i="7"/>
  <c r="AU323" i="7"/>
  <c r="AV323" i="7"/>
  <c r="AW323" i="7"/>
  <c r="AX323" i="7"/>
  <c r="I324" i="7"/>
  <c r="P324" i="7"/>
  <c r="W324" i="7"/>
  <c r="AD324" i="7"/>
  <c r="AK324" i="7"/>
  <c r="AL324" i="7"/>
  <c r="AM324" i="7"/>
  <c r="AN324" i="7"/>
  <c r="AO324" i="7"/>
  <c r="AP324" i="7"/>
  <c r="AQ324" i="7"/>
  <c r="AR324" i="7"/>
  <c r="AS324" i="7"/>
  <c r="AT324" i="7"/>
  <c r="AU324" i="7"/>
  <c r="AV324" i="7"/>
  <c r="AW324" i="7"/>
  <c r="AX324" i="7"/>
  <c r="I325" i="7"/>
  <c r="P325" i="7"/>
  <c r="W325" i="7"/>
  <c r="AD325" i="7"/>
  <c r="AK325" i="7"/>
  <c r="AL325" i="7"/>
  <c r="AM325" i="7"/>
  <c r="AN325" i="7"/>
  <c r="AO325" i="7"/>
  <c r="AP325" i="7"/>
  <c r="AQ325" i="7"/>
  <c r="AR325" i="7"/>
  <c r="AS325" i="7"/>
  <c r="AT325" i="7"/>
  <c r="AU325" i="7"/>
  <c r="AV325" i="7"/>
  <c r="AW325" i="7"/>
  <c r="AX325" i="7"/>
  <c r="I326" i="7"/>
  <c r="P326" i="7"/>
  <c r="W326" i="7"/>
  <c r="AD326" i="7"/>
  <c r="AK326" i="7"/>
  <c r="AL326" i="7"/>
  <c r="AM326" i="7"/>
  <c r="AN326" i="7"/>
  <c r="AO326" i="7"/>
  <c r="AP326" i="7"/>
  <c r="AQ326" i="7"/>
  <c r="AR326" i="7"/>
  <c r="AS326" i="7"/>
  <c r="AT326" i="7"/>
  <c r="AV326" i="7"/>
  <c r="AW326" i="7"/>
  <c r="I327" i="7"/>
  <c r="P327" i="7"/>
  <c r="W327" i="7"/>
  <c r="AD327" i="7"/>
  <c r="AK327" i="7"/>
  <c r="AL327" i="7"/>
  <c r="AM327" i="7"/>
  <c r="AN327" i="7"/>
  <c r="AO327" i="7"/>
  <c r="AP327" i="7"/>
  <c r="AQ327" i="7"/>
  <c r="AR327" i="7"/>
  <c r="AS327" i="7"/>
  <c r="AT327" i="7"/>
  <c r="AV327" i="7"/>
  <c r="AW327" i="7"/>
  <c r="I328" i="7"/>
  <c r="P328" i="7"/>
  <c r="W328" i="7"/>
  <c r="AD328" i="7"/>
  <c r="AK328" i="7"/>
  <c r="AL328" i="7"/>
  <c r="AM328" i="7"/>
  <c r="AN328" i="7"/>
  <c r="AO328" i="7"/>
  <c r="AP328" i="7"/>
  <c r="AQ328" i="7"/>
  <c r="AR328" i="7"/>
  <c r="AS328" i="7"/>
  <c r="AT328" i="7"/>
  <c r="AU328" i="7"/>
  <c r="AV328" i="7"/>
  <c r="AW328" i="7"/>
  <c r="AX328" i="7"/>
  <c r="I329" i="7"/>
  <c r="P329" i="7"/>
  <c r="W329" i="7"/>
  <c r="AD329" i="7"/>
  <c r="AK329" i="7"/>
  <c r="AL329" i="7"/>
  <c r="AM329" i="7"/>
  <c r="AN329" i="7"/>
  <c r="AO329" i="7"/>
  <c r="AP329" i="7"/>
  <c r="AQ329" i="7"/>
  <c r="AR329" i="7"/>
  <c r="AS329" i="7"/>
  <c r="AT329" i="7"/>
  <c r="AU329" i="7"/>
  <c r="AV329" i="7"/>
  <c r="AW329" i="7"/>
  <c r="AX329" i="7"/>
  <c r="I330" i="7"/>
  <c r="P330" i="7"/>
  <c r="W330" i="7"/>
  <c r="AD330" i="7"/>
  <c r="AK330" i="7"/>
  <c r="AL330" i="7"/>
  <c r="AM330" i="7"/>
  <c r="AN330" i="7"/>
  <c r="AO330" i="7"/>
  <c r="AP330" i="7"/>
  <c r="AQ330" i="7"/>
  <c r="AR330" i="7"/>
  <c r="AS330" i="7"/>
  <c r="AT330" i="7"/>
  <c r="AU330" i="7"/>
  <c r="AV330" i="7"/>
  <c r="AW330" i="7"/>
  <c r="AX330" i="7"/>
  <c r="I331" i="7"/>
  <c r="P331" i="7"/>
  <c r="W331" i="7"/>
  <c r="AD331" i="7"/>
  <c r="AK331" i="7"/>
  <c r="AL331" i="7"/>
  <c r="AM331" i="7"/>
  <c r="AN331" i="7"/>
  <c r="AO331" i="7"/>
  <c r="AP331" i="7"/>
  <c r="AQ331" i="7"/>
  <c r="AR331" i="7"/>
  <c r="AS331" i="7"/>
  <c r="AT331" i="7"/>
  <c r="AU331" i="7"/>
  <c r="AV331" i="7"/>
  <c r="AW331" i="7"/>
  <c r="AX331" i="7"/>
  <c r="I332" i="7"/>
  <c r="P332" i="7"/>
  <c r="W332" i="7"/>
  <c r="AD332" i="7"/>
  <c r="AK332" i="7"/>
  <c r="AL332" i="7"/>
  <c r="AM332" i="7"/>
  <c r="AN332" i="7"/>
  <c r="AO332" i="7"/>
  <c r="AP332" i="7"/>
  <c r="AQ332" i="7"/>
  <c r="AR332" i="7"/>
  <c r="AS332" i="7"/>
  <c r="AT332" i="7"/>
  <c r="AU332" i="7"/>
  <c r="AV332" i="7"/>
  <c r="AW332" i="7"/>
  <c r="AX332" i="7"/>
  <c r="I333" i="7"/>
  <c r="P333" i="7"/>
  <c r="W333" i="7"/>
  <c r="AD333" i="7"/>
  <c r="AK333" i="7"/>
  <c r="AL333" i="7"/>
  <c r="AM333" i="7"/>
  <c r="AN333" i="7"/>
  <c r="AO333" i="7"/>
  <c r="AP333" i="7"/>
  <c r="AQ333" i="7"/>
  <c r="AR333" i="7"/>
  <c r="AS333" i="7"/>
  <c r="AT333" i="7"/>
  <c r="AU333" i="7"/>
  <c r="AV333" i="7"/>
  <c r="AW333" i="7"/>
  <c r="AX333" i="7"/>
  <c r="I334" i="7"/>
  <c r="P334" i="7"/>
  <c r="W334" i="7"/>
  <c r="AD334" i="7"/>
  <c r="AK334" i="7"/>
  <c r="AL334" i="7"/>
  <c r="AM334" i="7"/>
  <c r="AN334" i="7"/>
  <c r="AO334" i="7"/>
  <c r="AP334" i="7"/>
  <c r="AQ334" i="7"/>
  <c r="AR334" i="7"/>
  <c r="AS334" i="7"/>
  <c r="AT334" i="7"/>
  <c r="AU334" i="7"/>
  <c r="AV334" i="7"/>
  <c r="AW334" i="7"/>
  <c r="AX334" i="7"/>
  <c r="I335" i="7"/>
  <c r="P335" i="7"/>
  <c r="W335" i="7"/>
  <c r="AD335" i="7"/>
  <c r="AK335" i="7"/>
  <c r="AL335" i="7"/>
  <c r="AM335" i="7"/>
  <c r="AN335" i="7"/>
  <c r="AO335" i="7"/>
  <c r="AP335" i="7"/>
  <c r="AQ335" i="7"/>
  <c r="AR335" i="7"/>
  <c r="AS335" i="7"/>
  <c r="AT335" i="7"/>
  <c r="AU335" i="7"/>
  <c r="AV335" i="7"/>
  <c r="AW335" i="7"/>
  <c r="AX335" i="7"/>
  <c r="I336" i="7"/>
  <c r="P336" i="7"/>
  <c r="W336" i="7"/>
  <c r="AD336" i="7"/>
  <c r="AK336" i="7"/>
  <c r="AL336" i="7"/>
  <c r="AM336" i="7"/>
  <c r="AN336" i="7"/>
  <c r="AO336" i="7"/>
  <c r="AP336" i="7"/>
  <c r="AQ336" i="7"/>
  <c r="AR336" i="7"/>
  <c r="AS336" i="7"/>
  <c r="AT336" i="7"/>
  <c r="AU336" i="7"/>
  <c r="AV336" i="7"/>
  <c r="AW336" i="7"/>
  <c r="AX336" i="7"/>
  <c r="I337" i="7"/>
  <c r="P337" i="7"/>
  <c r="W337" i="7"/>
  <c r="AD337" i="7"/>
  <c r="AK337" i="7"/>
  <c r="AL337" i="7"/>
  <c r="AM337" i="7"/>
  <c r="AN337" i="7"/>
  <c r="AO337" i="7"/>
  <c r="AP337" i="7"/>
  <c r="AQ337" i="7"/>
  <c r="AR337" i="7"/>
  <c r="AS337" i="7"/>
  <c r="AT337" i="7"/>
  <c r="AU337" i="7"/>
  <c r="AV337" i="7"/>
  <c r="AW337" i="7"/>
  <c r="AX337" i="7"/>
  <c r="I338" i="7"/>
  <c r="P338" i="7"/>
  <c r="W338" i="7"/>
  <c r="AD338" i="7"/>
  <c r="AK338" i="7"/>
  <c r="AL338" i="7"/>
  <c r="AM338" i="7"/>
  <c r="AN338" i="7"/>
  <c r="AO338" i="7"/>
  <c r="AP338" i="7"/>
  <c r="AQ338" i="7"/>
  <c r="AR338" i="7"/>
  <c r="AS338" i="7"/>
  <c r="AT338" i="7"/>
  <c r="AU338" i="7"/>
  <c r="AV338" i="7"/>
  <c r="AW338" i="7"/>
  <c r="AX338" i="7"/>
  <c r="I339" i="7"/>
  <c r="P339" i="7"/>
  <c r="W339" i="7"/>
  <c r="AD339" i="7"/>
  <c r="AK339" i="7"/>
  <c r="AL339" i="7"/>
  <c r="AM339" i="7"/>
  <c r="AN339" i="7"/>
  <c r="AO339" i="7"/>
  <c r="AP339" i="7"/>
  <c r="AQ339" i="7"/>
  <c r="AR339" i="7"/>
  <c r="AS339" i="7"/>
  <c r="AT339" i="7"/>
  <c r="AU339" i="7"/>
  <c r="AV339" i="7"/>
  <c r="AW339" i="7"/>
  <c r="AX339" i="7"/>
  <c r="I340" i="7"/>
  <c r="P340" i="7"/>
  <c r="W340" i="7"/>
  <c r="AD340" i="7"/>
  <c r="AK340" i="7"/>
  <c r="AL340" i="7"/>
  <c r="AM340" i="7"/>
  <c r="AN340" i="7"/>
  <c r="AO340" i="7"/>
  <c r="AP340" i="7"/>
  <c r="AQ340" i="7"/>
  <c r="AR340" i="7"/>
  <c r="AS340" i="7"/>
  <c r="AT340" i="7"/>
  <c r="AV340" i="7"/>
  <c r="AW340" i="7"/>
  <c r="I341" i="7"/>
  <c r="P341" i="7"/>
  <c r="W341" i="7"/>
  <c r="AD341" i="7"/>
  <c r="AK341" i="7"/>
  <c r="AL341" i="7"/>
  <c r="AM341" i="7"/>
  <c r="AN341" i="7"/>
  <c r="AO341" i="7"/>
  <c r="AP341" i="7"/>
  <c r="AQ341" i="7"/>
  <c r="AR341" i="7"/>
  <c r="AS341" i="7"/>
  <c r="AT341" i="7"/>
  <c r="AV341" i="7"/>
  <c r="AW341" i="7"/>
  <c r="I342" i="7"/>
  <c r="P342" i="7"/>
  <c r="W342" i="7"/>
  <c r="AD342" i="7"/>
  <c r="AK342" i="7"/>
  <c r="AL342" i="7"/>
  <c r="AM342" i="7"/>
  <c r="AN342" i="7"/>
  <c r="AO342" i="7"/>
  <c r="AP342" i="7"/>
  <c r="AQ342" i="7"/>
  <c r="AR342" i="7"/>
  <c r="AS342" i="7"/>
  <c r="AT342" i="7"/>
  <c r="AU342" i="7"/>
  <c r="AV342" i="7"/>
  <c r="AW342" i="7"/>
  <c r="AX342" i="7"/>
  <c r="I343" i="7"/>
  <c r="P343" i="7"/>
  <c r="W343" i="7"/>
  <c r="AD343" i="7"/>
  <c r="AK343" i="7"/>
  <c r="AL343" i="7"/>
  <c r="AM343" i="7"/>
  <c r="AN343" i="7"/>
  <c r="AO343" i="7"/>
  <c r="AP343" i="7"/>
  <c r="AQ343" i="7"/>
  <c r="AR343" i="7"/>
  <c r="AS343" i="7"/>
  <c r="AT343" i="7"/>
  <c r="AU343" i="7"/>
  <c r="AV343" i="7"/>
  <c r="AW343" i="7"/>
  <c r="AX343" i="7"/>
  <c r="I344" i="7"/>
  <c r="P344" i="7"/>
  <c r="W344" i="7"/>
  <c r="AD344" i="7"/>
  <c r="AK344" i="7"/>
  <c r="AL344" i="7"/>
  <c r="AM344" i="7"/>
  <c r="AN344" i="7"/>
  <c r="AO344" i="7"/>
  <c r="AP344" i="7"/>
  <c r="AQ344" i="7"/>
  <c r="AR344" i="7"/>
  <c r="AS344" i="7"/>
  <c r="AT344" i="7"/>
  <c r="AU344" i="7"/>
  <c r="AV344" i="7"/>
  <c r="AW344" i="7"/>
  <c r="AX344" i="7"/>
  <c r="I345" i="7"/>
  <c r="P345" i="7"/>
  <c r="W345" i="7"/>
  <c r="AD345" i="7"/>
  <c r="AK345" i="7"/>
  <c r="AL345" i="7"/>
  <c r="AM345" i="7"/>
  <c r="AN345" i="7"/>
  <c r="AO345" i="7"/>
  <c r="AP345" i="7"/>
  <c r="AQ345" i="7"/>
  <c r="AR345" i="7"/>
  <c r="AS345" i="7"/>
  <c r="AT345" i="7"/>
  <c r="AU345" i="7"/>
  <c r="AV345" i="7"/>
  <c r="AW345" i="7"/>
  <c r="AX345" i="7"/>
  <c r="I346" i="7"/>
  <c r="P346" i="7"/>
  <c r="W346" i="7"/>
  <c r="AD346" i="7"/>
  <c r="AK346" i="7"/>
  <c r="AL346" i="7"/>
  <c r="AM346" i="7"/>
  <c r="AN346" i="7"/>
  <c r="AO346" i="7"/>
  <c r="AP346" i="7"/>
  <c r="AQ346" i="7"/>
  <c r="AR346" i="7"/>
  <c r="AS346" i="7"/>
  <c r="AT346" i="7"/>
  <c r="AU346" i="7"/>
  <c r="AV346" i="7"/>
  <c r="AW346" i="7"/>
  <c r="AX346" i="7"/>
  <c r="I347" i="7"/>
  <c r="P347" i="7"/>
  <c r="W347" i="7"/>
  <c r="AD347" i="7"/>
  <c r="AK347" i="7"/>
  <c r="AL347" i="7"/>
  <c r="AM347" i="7"/>
  <c r="AN347" i="7"/>
  <c r="AO347" i="7"/>
  <c r="AP347" i="7"/>
  <c r="AQ347" i="7"/>
  <c r="AR347" i="7"/>
  <c r="AS347" i="7"/>
  <c r="AT347" i="7"/>
  <c r="AU347" i="7"/>
  <c r="AV347" i="7"/>
  <c r="AW347" i="7"/>
  <c r="AX347" i="7"/>
  <c r="I348" i="7"/>
  <c r="P348" i="7"/>
  <c r="W348" i="7"/>
  <c r="AD348" i="7"/>
  <c r="AK348" i="7"/>
  <c r="AL348" i="7"/>
  <c r="AM348" i="7"/>
  <c r="AN348" i="7"/>
  <c r="AO348" i="7"/>
  <c r="AP348" i="7"/>
  <c r="AQ348" i="7"/>
  <c r="AR348" i="7"/>
  <c r="AS348" i="7"/>
  <c r="AT348" i="7"/>
  <c r="AU348" i="7"/>
  <c r="AV348" i="7"/>
  <c r="AW348" i="7"/>
  <c r="AX348" i="7"/>
  <c r="I349" i="7"/>
  <c r="P349" i="7"/>
  <c r="W349" i="7"/>
  <c r="AD349" i="7"/>
  <c r="AK349" i="7"/>
  <c r="AL349" i="7"/>
  <c r="AM349" i="7"/>
  <c r="AN349" i="7"/>
  <c r="AO349" i="7"/>
  <c r="AP349" i="7"/>
  <c r="AQ349" i="7"/>
  <c r="AR349" i="7"/>
  <c r="AS349" i="7"/>
  <c r="AT349" i="7"/>
  <c r="AU349" i="7"/>
  <c r="AV349" i="7"/>
  <c r="AW349" i="7"/>
  <c r="AX349" i="7"/>
  <c r="I350" i="7"/>
  <c r="P350" i="7"/>
  <c r="W350" i="7"/>
  <c r="AD350" i="7"/>
  <c r="AK350" i="7"/>
  <c r="AL350" i="7"/>
  <c r="AM350" i="7"/>
  <c r="AN350" i="7"/>
  <c r="AO350" i="7"/>
  <c r="AP350" i="7"/>
  <c r="AQ350" i="7"/>
  <c r="AR350" i="7"/>
  <c r="AS350" i="7"/>
  <c r="AT350" i="7"/>
  <c r="AU350" i="7"/>
  <c r="AV350" i="7"/>
  <c r="AW350" i="7"/>
  <c r="AX350" i="7"/>
  <c r="I351" i="7"/>
  <c r="P351" i="7"/>
  <c r="W351" i="7"/>
  <c r="AD351" i="7"/>
  <c r="AK351" i="7"/>
  <c r="AL351" i="7"/>
  <c r="AM351" i="7"/>
  <c r="AN351" i="7"/>
  <c r="AO351" i="7"/>
  <c r="AP351" i="7"/>
  <c r="AQ351" i="7"/>
  <c r="AR351" i="7"/>
  <c r="AS351" i="7"/>
  <c r="AT351" i="7"/>
  <c r="AU351" i="7"/>
  <c r="AV351" i="7"/>
  <c r="AW351" i="7"/>
  <c r="AX351" i="7"/>
  <c r="I352" i="7"/>
  <c r="P352" i="7"/>
  <c r="W352" i="7"/>
  <c r="AD352" i="7"/>
  <c r="AK352" i="7"/>
  <c r="AL352" i="7"/>
  <c r="AM352" i="7"/>
  <c r="AN352" i="7"/>
  <c r="AO352" i="7"/>
  <c r="AP352" i="7"/>
  <c r="AQ352" i="7"/>
  <c r="AR352" i="7"/>
  <c r="AS352" i="7"/>
  <c r="AT352" i="7"/>
  <c r="AU352" i="7"/>
  <c r="AV352" i="7"/>
  <c r="AW352" i="7"/>
  <c r="AX352" i="7"/>
  <c r="I353" i="7"/>
  <c r="P353" i="7"/>
  <c r="W353" i="7"/>
  <c r="AD353" i="7"/>
  <c r="AK353" i="7"/>
  <c r="AL353" i="7"/>
  <c r="AM353" i="7"/>
  <c r="AN353" i="7"/>
  <c r="AO353" i="7"/>
  <c r="AP353" i="7"/>
  <c r="AQ353" i="7"/>
  <c r="AR353" i="7"/>
  <c r="AS353" i="7"/>
  <c r="AT353" i="7"/>
  <c r="AU353" i="7"/>
  <c r="AV353" i="7"/>
  <c r="AW353" i="7"/>
  <c r="AX353" i="7"/>
  <c r="B302" i="7"/>
  <c r="B303" i="7"/>
  <c r="B304" i="7"/>
  <c r="B305" i="7"/>
  <c r="B306" i="7"/>
  <c r="B307" i="7"/>
  <c r="B308" i="7"/>
  <c r="B309" i="7"/>
  <c r="B310" i="7"/>
  <c r="B311" i="7"/>
  <c r="B312" i="7"/>
  <c r="B313" i="7"/>
  <c r="B314" i="7"/>
  <c r="B315" i="7"/>
  <c r="B316" i="7"/>
  <c r="B317" i="7"/>
  <c r="B319" i="7"/>
  <c r="B320" i="7"/>
  <c r="B321" i="7"/>
  <c r="B322" i="7"/>
  <c r="B323" i="7"/>
  <c r="B324" i="7"/>
  <c r="B325" i="7"/>
  <c r="B326" i="7"/>
  <c r="B327" i="7"/>
  <c r="B328" i="7"/>
  <c r="B329" i="7"/>
  <c r="B330" i="7"/>
  <c r="B331" i="7"/>
  <c r="B332" i="7"/>
  <c r="B333" i="7"/>
  <c r="B334" i="7"/>
  <c r="B335" i="7"/>
  <c r="B336" i="7"/>
  <c r="B337" i="7"/>
  <c r="B338" i="7"/>
  <c r="B339" i="7"/>
  <c r="B340" i="7"/>
  <c r="B341" i="7"/>
  <c r="B342" i="7"/>
  <c r="B343" i="7"/>
  <c r="B344" i="7"/>
  <c r="B345" i="7"/>
  <c r="B346" i="7"/>
  <c r="B347" i="7"/>
  <c r="B348" i="7"/>
  <c r="B349" i="7"/>
  <c r="B350" i="7"/>
  <c r="B351" i="7"/>
  <c r="B352" i="7"/>
  <c r="B353" i="7"/>
  <c r="B301" i="7"/>
  <c r="AR299" i="7"/>
  <c r="AS360" i="7" l="1"/>
  <c r="DB58" i="4"/>
  <c r="T48" i="1" s="1"/>
  <c r="W48" i="1" s="1"/>
  <c r="AI48" i="1" s="1"/>
  <c r="AU48" i="1" s="1"/>
  <c r="DB302" i="3"/>
  <c r="BL364" i="7" s="1"/>
  <c r="M48" i="1"/>
  <c r="P48" i="1" s="1"/>
  <c r="DB56" i="4"/>
  <c r="S48" i="1" s="1"/>
  <c r="V48" i="1" s="1"/>
  <c r="AW5" i="7"/>
  <c r="AR66" i="7"/>
  <c r="AR124" i="7" s="1"/>
  <c r="AR182" i="7" s="1"/>
  <c r="AR240" i="7" s="1"/>
  <c r="AT111" i="6"/>
  <c r="AT110" i="6"/>
  <c r="AH48" i="1" l="1"/>
  <c r="AQ48" i="1"/>
  <c r="AS48" i="1" s="1"/>
  <c r="AP48" i="1"/>
  <c r="AX267" i="7"/>
  <c r="AX260" i="7"/>
  <c r="AX319" i="7" s="1"/>
  <c r="AX203" i="7"/>
  <c r="AX261" i="7"/>
  <c r="AX30" i="7"/>
  <c r="AX322" i="7" s="1"/>
  <c r="AX34" i="7"/>
  <c r="AX87" i="7"/>
  <c r="CU264" i="3"/>
  <c r="CU258" i="3"/>
  <c r="CU259" i="3"/>
  <c r="CU260" i="3"/>
  <c r="CU257" i="3"/>
  <c r="CQ300" i="3" l="1"/>
  <c r="AX362" i="7" s="1"/>
  <c r="AX326" i="7"/>
  <c r="AX320" i="7"/>
  <c r="AT362" i="7" s="1"/>
  <c r="CP58" i="4"/>
  <c r="T46" i="1" s="1"/>
  <c r="W46" i="1" s="1"/>
  <c r="AT55" i="6" l="1"/>
  <c r="BF38" i="2" l="1"/>
  <c r="H46" i="1" s="1"/>
  <c r="BE36" i="2"/>
  <c r="E46" i="1" s="1"/>
  <c r="BE34" i="2"/>
  <c r="B46" i="1" s="1"/>
  <c r="BF32" i="2"/>
  <c r="BE32" i="2"/>
  <c r="BF31" i="2"/>
  <c r="BE31" i="2"/>
  <c r="DA292" i="3"/>
  <c r="CZ292" i="3"/>
  <c r="CY292" i="3"/>
  <c r="CX292" i="3"/>
  <c r="CW292" i="3"/>
  <c r="CV292" i="3"/>
  <c r="BF33" i="2" l="1"/>
  <c r="BE33" i="2"/>
  <c r="BE40" i="2"/>
  <c r="BD5" i="7" l="1"/>
  <c r="CW300" i="3"/>
  <c r="CV298" i="3"/>
  <c r="CV233" i="3"/>
  <c r="DA116" i="3"/>
  <c r="CZ116" i="3"/>
  <c r="CY116" i="3"/>
  <c r="CX116" i="3"/>
  <c r="CW116" i="3"/>
  <c r="CV116" i="3"/>
  <c r="N47" i="1" l="1"/>
  <c r="Q47" i="1" s="1"/>
  <c r="BE360" i="7"/>
  <c r="O47" i="1"/>
  <c r="R47" i="1" s="1"/>
  <c r="BE362" i="7"/>
  <c r="BB83" i="7"/>
  <c r="BB316" i="7" s="1"/>
  <c r="BE262" i="7"/>
  <c r="BE86" i="7"/>
  <c r="BE93" i="7"/>
  <c r="BE83" i="7"/>
  <c r="BE316" i="7" s="1"/>
  <c r="BB81" i="7"/>
  <c r="BB314" i="7" s="1"/>
  <c r="BE249" i="7"/>
  <c r="BE308" i="7" s="1"/>
  <c r="BE267" i="7"/>
  <c r="BE87" i="7"/>
  <c r="BE81" i="7"/>
  <c r="BE314" i="7" s="1"/>
  <c r="BB249" i="7"/>
  <c r="BB308" i="7" s="1"/>
  <c r="BE261" i="7"/>
  <c r="BE260" i="7"/>
  <c r="BE88" i="7"/>
  <c r="BE321" i="7" s="1"/>
  <c r="BE89" i="7"/>
  <c r="BE322" i="7" s="1"/>
  <c r="AX94" i="7"/>
  <c r="AX282" i="7"/>
  <c r="AX341" i="7" s="1"/>
  <c r="AX281" i="7"/>
  <c r="AX340" i="7" s="1"/>
  <c r="AU282" i="7"/>
  <c r="AU341" i="7" s="1"/>
  <c r="AU281" i="7"/>
  <c r="AU340" i="7" s="1"/>
  <c r="AU267" i="7"/>
  <c r="AU203" i="7"/>
  <c r="AU260" i="7"/>
  <c r="AU319" i="7" s="1"/>
  <c r="AX268" i="7"/>
  <c r="AU261" i="7"/>
  <c r="AU268" i="7"/>
  <c r="AU30" i="7"/>
  <c r="AU322" i="7" s="1"/>
  <c r="AU94" i="7"/>
  <c r="AU34" i="7"/>
  <c r="AU326" i="7" s="1"/>
  <c r="AU87" i="7"/>
  <c r="AX35" i="7"/>
  <c r="AU35" i="7"/>
  <c r="CR278" i="3"/>
  <c r="CR279" i="3"/>
  <c r="CR264" i="3"/>
  <c r="CR260" i="3"/>
  <c r="CR258" i="3"/>
  <c r="CR265" i="3"/>
  <c r="CR259" i="3"/>
  <c r="CZ62" i="4"/>
  <c r="CN21" i="4"/>
  <c r="CM21" i="4"/>
  <c r="CK21" i="4"/>
  <c r="CJ21" i="4"/>
  <c r="CN20" i="4"/>
  <c r="CM20" i="4"/>
  <c r="CK20" i="4"/>
  <c r="CJ20" i="4"/>
  <c r="CN19" i="4"/>
  <c r="CM19" i="4"/>
  <c r="CK19" i="4"/>
  <c r="CJ19" i="4"/>
  <c r="CN18" i="4"/>
  <c r="CM18" i="4"/>
  <c r="CK18" i="4"/>
  <c r="CJ18" i="4"/>
  <c r="CN17" i="4"/>
  <c r="CM17" i="4"/>
  <c r="CK17" i="4"/>
  <c r="CJ17" i="4"/>
  <c r="CN16" i="4"/>
  <c r="CM16" i="4"/>
  <c r="CK16" i="4"/>
  <c r="CJ16" i="4"/>
  <c r="CN15" i="4"/>
  <c r="CM15" i="4"/>
  <c r="CK15" i="4"/>
  <c r="CJ15" i="4"/>
  <c r="CN14" i="4"/>
  <c r="CM14" i="4"/>
  <c r="CK14" i="4"/>
  <c r="CJ14" i="4"/>
  <c r="CN13" i="4"/>
  <c r="CM13" i="4"/>
  <c r="CK13" i="4"/>
  <c r="CJ13" i="4"/>
  <c r="CN12" i="4"/>
  <c r="CM12" i="4"/>
  <c r="CK12" i="4"/>
  <c r="CJ12" i="4"/>
  <c r="CN11" i="4"/>
  <c r="CM11" i="4"/>
  <c r="CK11" i="4"/>
  <c r="CJ11" i="4"/>
  <c r="CN10" i="4"/>
  <c r="CM10" i="4"/>
  <c r="CK10" i="4"/>
  <c r="CJ10" i="4"/>
  <c r="CN9" i="4"/>
  <c r="CM9" i="4"/>
  <c r="CK9" i="4"/>
  <c r="CJ9" i="4"/>
  <c r="CN8" i="4"/>
  <c r="CM8" i="4"/>
  <c r="CK8" i="4"/>
  <c r="CJ8" i="4"/>
  <c r="AZ360" i="7" l="1"/>
  <c r="CR42" i="4"/>
  <c r="CR31" i="4"/>
  <c r="CU39" i="4"/>
  <c r="CU31" i="4"/>
  <c r="CU41" i="4"/>
  <c r="CR39" i="4"/>
  <c r="CU40" i="4"/>
  <c r="CR41" i="4"/>
  <c r="CU42" i="4"/>
  <c r="CR40" i="4"/>
  <c r="BE326" i="7"/>
  <c r="AX327" i="7"/>
  <c r="BE319" i="7"/>
  <c r="BE320" i="7"/>
  <c r="DA22" i="4"/>
  <c r="DC60" i="4"/>
  <c r="U48" i="1" s="1"/>
  <c r="DA27" i="4"/>
  <c r="DA26" i="4"/>
  <c r="DA14" i="4"/>
  <c r="DA18" i="4"/>
  <c r="CX15" i="4"/>
  <c r="CX19" i="4"/>
  <c r="DA11" i="4"/>
  <c r="CX18" i="4"/>
  <c r="DA15" i="4"/>
  <c r="DA19" i="4"/>
  <c r="CX16" i="4"/>
  <c r="CX20" i="4"/>
  <c r="CX11" i="4"/>
  <c r="DA17" i="4"/>
  <c r="DA16" i="4"/>
  <c r="DA20" i="4"/>
  <c r="CX17" i="4"/>
  <c r="DA13" i="4"/>
  <c r="CX14" i="4"/>
  <c r="CX13" i="4"/>
  <c r="AU320" i="7"/>
  <c r="AU327" i="7"/>
  <c r="CV296" i="3"/>
  <c r="BE358" i="7" s="1"/>
  <c r="CR29" i="4"/>
  <c r="CR26" i="4"/>
  <c r="CR27" i="4"/>
  <c r="CR28" i="4"/>
  <c r="O46" i="1"/>
  <c r="R46" i="1" s="1"/>
  <c r="AZ358" i="7" l="1"/>
  <c r="BA362" i="7"/>
  <c r="AZ364" i="7" s="1"/>
  <c r="X48" i="1"/>
  <c r="I59" i="6"/>
  <c r="AV31" i="6" s="1"/>
  <c r="CV56" i="4"/>
  <c r="S47" i="1" s="1"/>
  <c r="V47" i="1" s="1"/>
  <c r="CV58" i="4"/>
  <c r="T47" i="1" s="1"/>
  <c r="W47" i="1" s="1"/>
  <c r="AI47" i="1" s="1"/>
  <c r="CV302" i="3"/>
  <c r="BE364" i="7" s="1"/>
  <c r="M47" i="1"/>
  <c r="P47" i="1" s="1"/>
  <c r="CO258" i="3"/>
  <c r="CO259" i="3"/>
  <c r="CO257" i="3"/>
  <c r="AH47" i="1" l="1"/>
  <c r="AV56" i="6"/>
  <c r="AV62" i="6" s="1"/>
  <c r="AP47" i="1"/>
  <c r="AQ47" i="1"/>
  <c r="AS47" i="1" s="1"/>
  <c r="AU47" i="1"/>
  <c r="CI267" i="3"/>
  <c r="CI266" i="3"/>
  <c r="CI265" i="3"/>
  <c r="CI264" i="3"/>
  <c r="CI257" i="3"/>
  <c r="CI258" i="3"/>
  <c r="CI259" i="3"/>
  <c r="CF257" i="3"/>
  <c r="CF258" i="3"/>
  <c r="CF259" i="3"/>
  <c r="X9" i="7" l="1"/>
  <c r="Y9" i="7"/>
  <c r="AA9" i="7"/>
  <c r="AB9" i="7"/>
  <c r="X10" i="7"/>
  <c r="Y10" i="7"/>
  <c r="AA10" i="7"/>
  <c r="AB10" i="7"/>
  <c r="X11" i="7"/>
  <c r="Y11" i="7"/>
  <c r="AA11" i="7"/>
  <c r="AB11" i="7"/>
  <c r="X12" i="7"/>
  <c r="Y12" i="7"/>
  <c r="AA12" i="7"/>
  <c r="AB12" i="7"/>
  <c r="X13" i="7"/>
  <c r="Y13" i="7"/>
  <c r="AA13" i="7"/>
  <c r="AB13" i="7"/>
  <c r="X14" i="7"/>
  <c r="Y14" i="7"/>
  <c r="AA14" i="7"/>
  <c r="AB14" i="7"/>
  <c r="X15" i="7"/>
  <c r="Y15" i="7"/>
  <c r="AA15" i="7"/>
  <c r="AB15" i="7"/>
  <c r="X16" i="7"/>
  <c r="Y16" i="7"/>
  <c r="AA16" i="7"/>
  <c r="AB16" i="7"/>
  <c r="X17" i="7"/>
  <c r="Y17" i="7"/>
  <c r="AA17" i="7"/>
  <c r="AB17" i="7"/>
  <c r="X18" i="7"/>
  <c r="Y18" i="7"/>
  <c r="AA18" i="7"/>
  <c r="AB18" i="7"/>
  <c r="X19" i="7"/>
  <c r="Y19" i="7"/>
  <c r="AA19" i="7"/>
  <c r="AB19" i="7"/>
  <c r="X20" i="7"/>
  <c r="Y20" i="7"/>
  <c r="AA20" i="7"/>
  <c r="AB20" i="7"/>
  <c r="X21" i="7"/>
  <c r="Y21" i="7"/>
  <c r="AA21" i="7"/>
  <c r="AB21" i="7"/>
  <c r="X22" i="7"/>
  <c r="Y22" i="7"/>
  <c r="AA22" i="7"/>
  <c r="AB22" i="7"/>
  <c r="X23" i="7"/>
  <c r="Y23" i="7"/>
  <c r="AA23" i="7"/>
  <c r="AB23" i="7"/>
  <c r="X24" i="7"/>
  <c r="Y24" i="7"/>
  <c r="AA24" i="7"/>
  <c r="AB24" i="7"/>
  <c r="X25" i="7"/>
  <c r="Y25" i="7"/>
  <c r="AA25" i="7"/>
  <c r="AB25" i="7"/>
  <c r="X26" i="7"/>
  <c r="Y26" i="7"/>
  <c r="AA26" i="7"/>
  <c r="AB26" i="7"/>
  <c r="X27" i="7"/>
  <c r="Y27" i="7"/>
  <c r="AA27" i="7"/>
  <c r="AB27" i="7"/>
  <c r="X28" i="7"/>
  <c r="Y28" i="7"/>
  <c r="AA28" i="7"/>
  <c r="AB28" i="7"/>
  <c r="X29" i="7"/>
  <c r="Y29" i="7"/>
  <c r="AA29" i="7"/>
  <c r="AB29" i="7"/>
  <c r="X30" i="7"/>
  <c r="Y30" i="7"/>
  <c r="AA30" i="7"/>
  <c r="AB30" i="7"/>
  <c r="X31" i="7"/>
  <c r="Y31" i="7"/>
  <c r="AA31" i="7"/>
  <c r="AB31" i="7"/>
  <c r="X32" i="7"/>
  <c r="Y32" i="7"/>
  <c r="AA32" i="7"/>
  <c r="AB32" i="7"/>
  <c r="X33" i="7"/>
  <c r="Y33" i="7"/>
  <c r="AA33" i="7"/>
  <c r="AB33" i="7"/>
  <c r="X37" i="7"/>
  <c r="Y37" i="7"/>
  <c r="AA37" i="7"/>
  <c r="AB37" i="7"/>
  <c r="X38" i="7"/>
  <c r="Y38" i="7"/>
  <c r="AA38" i="7"/>
  <c r="AB38" i="7"/>
  <c r="X39" i="7"/>
  <c r="Y39" i="7"/>
  <c r="AA39" i="7"/>
  <c r="AB39" i="7"/>
  <c r="X40" i="7"/>
  <c r="Y40" i="7"/>
  <c r="AA40" i="7"/>
  <c r="AB40" i="7"/>
  <c r="X41" i="7"/>
  <c r="Y41" i="7"/>
  <c r="AA41" i="7"/>
  <c r="AB41" i="7"/>
  <c r="X42" i="7"/>
  <c r="Y42" i="7"/>
  <c r="AA42" i="7"/>
  <c r="AB42" i="7"/>
  <c r="X43" i="7"/>
  <c r="Y43" i="7"/>
  <c r="AA43" i="7"/>
  <c r="AB43" i="7"/>
  <c r="X44" i="7"/>
  <c r="Y44" i="7"/>
  <c r="AA44" i="7"/>
  <c r="AB44" i="7"/>
  <c r="X45" i="7"/>
  <c r="Y45" i="7"/>
  <c r="AA45" i="7"/>
  <c r="AB45" i="7"/>
  <c r="X46" i="7"/>
  <c r="Y46" i="7"/>
  <c r="AA46" i="7"/>
  <c r="AB46" i="7"/>
  <c r="X47" i="7"/>
  <c r="Y47" i="7"/>
  <c r="AA47" i="7"/>
  <c r="AB47" i="7"/>
  <c r="X48" i="7"/>
  <c r="Y48" i="7"/>
  <c r="AA48" i="7"/>
  <c r="AB48" i="7"/>
  <c r="X49" i="7"/>
  <c r="Y49" i="7"/>
  <c r="AA49" i="7"/>
  <c r="AB49" i="7"/>
  <c r="X50" i="7"/>
  <c r="Y50" i="7"/>
  <c r="AA50" i="7"/>
  <c r="AB50" i="7"/>
  <c r="X51" i="7"/>
  <c r="Y51" i="7"/>
  <c r="AA51" i="7"/>
  <c r="AB51" i="7"/>
  <c r="X52" i="7"/>
  <c r="Y52" i="7"/>
  <c r="AA52" i="7"/>
  <c r="AB52" i="7"/>
  <c r="X53" i="7"/>
  <c r="Y53" i="7"/>
  <c r="AA53" i="7"/>
  <c r="AB53" i="7"/>
  <c r="X54" i="7"/>
  <c r="Y54" i="7"/>
  <c r="AA54" i="7"/>
  <c r="AB54" i="7"/>
  <c r="X55" i="7"/>
  <c r="Y55" i="7"/>
  <c r="AA55" i="7"/>
  <c r="AB55" i="7"/>
  <c r="X56" i="7"/>
  <c r="Y56" i="7"/>
  <c r="AA56" i="7"/>
  <c r="AB56" i="7"/>
  <c r="X57" i="7"/>
  <c r="Y57" i="7"/>
  <c r="AA57" i="7"/>
  <c r="AB57" i="7"/>
  <c r="X58" i="7"/>
  <c r="Y58" i="7"/>
  <c r="AA58" i="7"/>
  <c r="AB58" i="7"/>
  <c r="X59" i="7"/>
  <c r="Y59" i="7"/>
  <c r="AA59" i="7"/>
  <c r="AB59" i="7"/>
  <c r="X60" i="7"/>
  <c r="Y60" i="7"/>
  <c r="AA60" i="7"/>
  <c r="AB60" i="7"/>
  <c r="X61" i="7"/>
  <c r="Y61" i="7"/>
  <c r="AA61" i="7"/>
  <c r="AB61" i="7"/>
  <c r="CN62" i="4" l="1"/>
  <c r="E60" i="4"/>
  <c r="G60" i="4"/>
  <c r="I60" i="4"/>
  <c r="K60" i="4"/>
  <c r="M60" i="4"/>
  <c r="O60" i="4"/>
  <c r="Q60" i="4"/>
  <c r="S60" i="4"/>
  <c r="U60" i="4"/>
  <c r="W60" i="4"/>
  <c r="Y60" i="4"/>
  <c r="AA60" i="4"/>
  <c r="AC60" i="4"/>
  <c r="AE60" i="4"/>
  <c r="AG60" i="4"/>
  <c r="AI60" i="4"/>
  <c r="AK60" i="4"/>
  <c r="AM60" i="4"/>
  <c r="AO60" i="4"/>
  <c r="AQ60" i="4"/>
  <c r="AS60" i="4"/>
  <c r="AU60" i="4"/>
  <c r="AW60" i="4"/>
  <c r="AY60" i="4"/>
  <c r="BA60" i="4"/>
  <c r="D58" i="4"/>
  <c r="F58" i="4"/>
  <c r="H58" i="4"/>
  <c r="J58" i="4"/>
  <c r="L58" i="4"/>
  <c r="N58" i="4"/>
  <c r="P58" i="4"/>
  <c r="R58" i="4"/>
  <c r="T58" i="4"/>
  <c r="V58" i="4"/>
  <c r="X58" i="4"/>
  <c r="Z58" i="4"/>
  <c r="AB58" i="4"/>
  <c r="AD58" i="4"/>
  <c r="AF58" i="4"/>
  <c r="AH58" i="4"/>
  <c r="AJ58" i="4"/>
  <c r="AL58" i="4"/>
  <c r="AN58" i="4"/>
  <c r="AP58" i="4"/>
  <c r="AR58" i="4"/>
  <c r="AT58" i="4"/>
  <c r="AV58" i="4"/>
  <c r="AX58" i="4"/>
  <c r="AZ58" i="4"/>
  <c r="BB58" i="4"/>
  <c r="BD58" i="4"/>
  <c r="BF58" i="4"/>
  <c r="BL58" i="4"/>
  <c r="BR58" i="4"/>
  <c r="BX58" i="4"/>
  <c r="CO27" i="4" l="1"/>
  <c r="CL17" i="4"/>
  <c r="CL13" i="4"/>
  <c r="CL12" i="4"/>
  <c r="CL14" i="4"/>
  <c r="CL21" i="4"/>
  <c r="CL15" i="4"/>
  <c r="CL19" i="4"/>
  <c r="CL18" i="4"/>
  <c r="CL10" i="4"/>
  <c r="CL20" i="4"/>
  <c r="CL9" i="4"/>
  <c r="CL11" i="4"/>
  <c r="CL16" i="4"/>
  <c r="CO26" i="4"/>
  <c r="CI37" i="4"/>
  <c r="CF38" i="4"/>
  <c r="CO11" i="4"/>
  <c r="CO15" i="4"/>
  <c r="CO19" i="4"/>
  <c r="CL8" i="4"/>
  <c r="CO13" i="4"/>
  <c r="CI38" i="4"/>
  <c r="CF41" i="4"/>
  <c r="CO8" i="4"/>
  <c r="CO12" i="4"/>
  <c r="CO16" i="4"/>
  <c r="CO20" i="4"/>
  <c r="CO9" i="4"/>
  <c r="CI41" i="4"/>
  <c r="CO21" i="4"/>
  <c r="CF37" i="4"/>
  <c r="CO10" i="4"/>
  <c r="CO14" i="4"/>
  <c r="CO18" i="4"/>
  <c r="CO17" i="4"/>
  <c r="CF43" i="4"/>
  <c r="CI43" i="4"/>
  <c r="CK60" i="4" l="1"/>
  <c r="CJ58" i="4"/>
  <c r="T45" i="1" s="1"/>
  <c r="W45" i="1" s="1"/>
  <c r="U45" i="1" l="1"/>
  <c r="X45" i="1" s="1"/>
  <c r="CP298" i="3"/>
  <c r="CU292" i="3"/>
  <c r="CT292" i="3"/>
  <c r="CS292" i="3"/>
  <c r="CR292" i="3"/>
  <c r="CQ292" i="3"/>
  <c r="CP292" i="3"/>
  <c r="CP233" i="3"/>
  <c r="CU116" i="3"/>
  <c r="CT116" i="3"/>
  <c r="CS116" i="3"/>
  <c r="CR116" i="3"/>
  <c r="CQ116" i="3"/>
  <c r="CP116" i="3"/>
  <c r="N46" i="1" l="1"/>
  <c r="Q46" i="1" s="1"/>
  <c r="AI46" i="1" s="1"/>
  <c r="AX360" i="7"/>
  <c r="AU46" i="1"/>
  <c r="AQ46" i="1"/>
  <c r="CT62" i="4"/>
  <c r="CO40" i="4" s="1"/>
  <c r="CL259" i="3"/>
  <c r="CL257" i="3"/>
  <c r="CL258" i="3"/>
  <c r="CP293" i="3"/>
  <c r="CL26" i="4" l="1"/>
  <c r="AS46" i="1"/>
  <c r="CO39" i="4"/>
  <c r="CL42" i="4"/>
  <c r="CL40" i="4"/>
  <c r="CL27" i="4"/>
  <c r="CL39" i="4"/>
  <c r="CO42" i="4"/>
  <c r="CU29" i="4"/>
  <c r="CU26" i="4"/>
  <c r="CU27" i="4"/>
  <c r="CU28" i="4"/>
  <c r="AS53" i="6"/>
  <c r="AS59" i="6" l="1"/>
  <c r="AS60" i="6"/>
  <c r="AS55" i="6"/>
  <c r="AS57" i="6"/>
  <c r="AS58" i="6"/>
  <c r="CQ60" i="4"/>
  <c r="U46" i="1" s="1"/>
  <c r="CP56" i="4"/>
  <c r="S46" i="1" s="1"/>
  <c r="V46" i="1" s="1"/>
  <c r="CW60" i="4"/>
  <c r="U47" i="1" s="1"/>
  <c r="X47" i="1" s="1"/>
  <c r="I57" i="6" l="1"/>
  <c r="AT31" i="6" s="1"/>
  <c r="X46" i="1"/>
  <c r="I58" i="6"/>
  <c r="AU31" i="6" s="1"/>
  <c r="AT56" i="6" l="1"/>
  <c r="AT62" i="6" s="1"/>
  <c r="AU56" i="6"/>
  <c r="AU62" i="6" s="1"/>
  <c r="BD38" i="2"/>
  <c r="H45" i="1" s="1"/>
  <c r="BC36" i="2"/>
  <c r="E45" i="1" s="1"/>
  <c r="BC34" i="2"/>
  <c r="BD32" i="2"/>
  <c r="BC32" i="2"/>
  <c r="BD31" i="2"/>
  <c r="BC31" i="2"/>
  <c r="AS61" i="6" l="1"/>
  <c r="BD33" i="2"/>
  <c r="BC33" i="2"/>
  <c r="BC40" i="2"/>
  <c r="B45" i="1"/>
  <c r="G9" i="8"/>
  <c r="C7" i="8" l="1"/>
  <c r="B7" i="8"/>
  <c r="C8" i="8" l="1"/>
  <c r="B8" i="8" l="1"/>
  <c r="AA36" i="1" l="1"/>
  <c r="AA37" i="1"/>
  <c r="AA38" i="1"/>
  <c r="AA39" i="1"/>
  <c r="AA40" i="1"/>
  <c r="AA41" i="1"/>
  <c r="AA42" i="1"/>
  <c r="AA43" i="1"/>
  <c r="AA44" i="1"/>
  <c r="AR54" i="6" l="1"/>
  <c r="AZ54" i="6" s="1"/>
  <c r="AR53" i="6"/>
  <c r="AO53" i="6"/>
  <c r="AO60" i="6" l="1"/>
  <c r="AO59" i="6"/>
  <c r="AR60" i="6"/>
  <c r="AR59" i="6"/>
  <c r="AR57" i="6"/>
  <c r="AR58" i="6"/>
  <c r="AR55" i="6"/>
  <c r="AO57" i="6"/>
  <c r="AO58" i="6"/>
  <c r="AO55" i="6"/>
  <c r="X104" i="7"/>
  <c r="Y104" i="7"/>
  <c r="AA104" i="7"/>
  <c r="AB104" i="7"/>
  <c r="X105" i="7"/>
  <c r="Y105" i="7"/>
  <c r="AA105" i="7"/>
  <c r="AB105" i="7"/>
  <c r="X107" i="7"/>
  <c r="Y107" i="7"/>
  <c r="AA107" i="7"/>
  <c r="AB107" i="7"/>
  <c r="X108" i="7"/>
  <c r="Y108" i="7"/>
  <c r="AA108" i="7"/>
  <c r="AB108" i="7"/>
  <c r="X109" i="7"/>
  <c r="Y109" i="7"/>
  <c r="AA109" i="7"/>
  <c r="AB109" i="7"/>
  <c r="X110" i="7"/>
  <c r="Y110" i="7"/>
  <c r="AA110" i="7"/>
  <c r="AB110" i="7"/>
  <c r="BX206" i="3"/>
  <c r="BX207" i="3"/>
  <c r="BX205" i="3"/>
  <c r="BX200" i="3"/>
  <c r="BX199" i="3"/>
  <c r="BX198" i="3"/>
  <c r="AO61" i="6" l="1"/>
  <c r="AE27" i="7"/>
  <c r="AF27" i="7"/>
  <c r="AE28" i="7"/>
  <c r="AF28" i="7"/>
  <c r="AE29" i="7"/>
  <c r="AF29" i="7"/>
  <c r="AE243" i="7" l="1"/>
  <c r="AF243" i="7"/>
  <c r="AH243" i="7"/>
  <c r="AI243" i="7"/>
  <c r="AE244" i="7"/>
  <c r="AF244" i="7"/>
  <c r="AH244" i="7"/>
  <c r="AI244" i="7"/>
  <c r="AE245" i="7"/>
  <c r="AF245" i="7"/>
  <c r="AH245" i="7"/>
  <c r="AI245" i="7"/>
  <c r="AE246" i="7"/>
  <c r="AF246" i="7"/>
  <c r="AH246" i="7"/>
  <c r="AI246" i="7"/>
  <c r="AE247" i="7"/>
  <c r="AF247" i="7"/>
  <c r="AH247" i="7"/>
  <c r="AI247" i="7"/>
  <c r="AE248" i="7"/>
  <c r="AF248" i="7"/>
  <c r="AH248" i="7"/>
  <c r="AI248" i="7"/>
  <c r="AE249" i="7"/>
  <c r="AF249" i="7"/>
  <c r="AH249" i="7"/>
  <c r="AI249" i="7"/>
  <c r="AE250" i="7"/>
  <c r="AF250" i="7"/>
  <c r="AH250" i="7"/>
  <c r="AI250" i="7"/>
  <c r="AE251" i="7"/>
  <c r="AF251" i="7"/>
  <c r="AH251" i="7"/>
  <c r="AI251" i="7"/>
  <c r="AE252" i="7"/>
  <c r="AF252" i="7"/>
  <c r="AH252" i="7"/>
  <c r="AI252" i="7"/>
  <c r="AE253" i="7"/>
  <c r="AF253" i="7"/>
  <c r="AH253" i="7"/>
  <c r="AI253" i="7"/>
  <c r="AE254" i="7"/>
  <c r="AF254" i="7"/>
  <c r="AH254" i="7"/>
  <c r="AI254" i="7"/>
  <c r="AE255" i="7"/>
  <c r="AF255" i="7"/>
  <c r="AH255" i="7"/>
  <c r="AI255" i="7"/>
  <c r="AE256" i="7"/>
  <c r="AF256" i="7"/>
  <c r="AH256" i="7"/>
  <c r="AI256" i="7"/>
  <c r="AE257" i="7"/>
  <c r="AF257" i="7"/>
  <c r="AH257" i="7"/>
  <c r="AI257" i="7"/>
  <c r="AE258" i="7"/>
  <c r="AF258" i="7"/>
  <c r="AH258" i="7"/>
  <c r="AI258" i="7"/>
  <c r="AE259" i="7"/>
  <c r="AF259" i="7"/>
  <c r="AH259" i="7"/>
  <c r="AI259" i="7"/>
  <c r="AE260" i="7"/>
  <c r="AF260" i="7"/>
  <c r="AH260" i="7"/>
  <c r="AI260" i="7"/>
  <c r="AE263" i="7"/>
  <c r="AF263" i="7"/>
  <c r="AH263" i="7"/>
  <c r="AI263" i="7"/>
  <c r="AE264" i="7"/>
  <c r="AF264" i="7"/>
  <c r="AH264" i="7"/>
  <c r="AI264" i="7"/>
  <c r="AE265" i="7"/>
  <c r="AF265" i="7"/>
  <c r="AH265" i="7"/>
  <c r="AI265" i="7"/>
  <c r="AE266" i="7"/>
  <c r="AF266" i="7"/>
  <c r="AH266" i="7"/>
  <c r="AI266" i="7"/>
  <c r="AE267" i="7"/>
  <c r="AF267" i="7"/>
  <c r="AH267" i="7"/>
  <c r="AI267" i="7"/>
  <c r="AE268" i="7"/>
  <c r="AF268" i="7"/>
  <c r="AH268" i="7"/>
  <c r="AI268" i="7"/>
  <c r="AE269" i="7"/>
  <c r="AF269" i="7"/>
  <c r="AH269" i="7"/>
  <c r="AI269" i="7"/>
  <c r="AE270" i="7"/>
  <c r="AF270" i="7"/>
  <c r="AH270" i="7"/>
  <c r="AI270" i="7"/>
  <c r="AE271" i="7"/>
  <c r="AF271" i="7"/>
  <c r="AH271" i="7"/>
  <c r="AI271" i="7"/>
  <c r="AE272" i="7"/>
  <c r="AF272" i="7"/>
  <c r="AH272" i="7"/>
  <c r="AI272" i="7"/>
  <c r="AE273" i="7"/>
  <c r="AF273" i="7"/>
  <c r="AH273" i="7"/>
  <c r="AI273" i="7"/>
  <c r="AE274" i="7"/>
  <c r="AF274" i="7"/>
  <c r="AH274" i="7"/>
  <c r="AI274" i="7"/>
  <c r="AE275" i="7"/>
  <c r="AF275" i="7"/>
  <c r="AH275" i="7"/>
  <c r="AI275" i="7"/>
  <c r="AE276" i="7"/>
  <c r="AF276" i="7"/>
  <c r="AH276" i="7"/>
  <c r="AI276" i="7"/>
  <c r="AE277" i="7"/>
  <c r="AF277" i="7"/>
  <c r="AH277" i="7"/>
  <c r="AI277" i="7"/>
  <c r="AE278" i="7"/>
  <c r="AF278" i="7"/>
  <c r="AH278" i="7"/>
  <c r="AI278" i="7"/>
  <c r="AE279" i="7"/>
  <c r="AF279" i="7"/>
  <c r="AH279" i="7"/>
  <c r="AI279" i="7"/>
  <c r="AE280" i="7"/>
  <c r="AF280" i="7"/>
  <c r="AH280" i="7"/>
  <c r="AI280" i="7"/>
  <c r="AE281" i="7"/>
  <c r="AF281" i="7"/>
  <c r="AH281" i="7"/>
  <c r="AI281" i="7"/>
  <c r="AE282" i="7"/>
  <c r="AF282" i="7"/>
  <c r="AH282" i="7"/>
  <c r="AI282" i="7"/>
  <c r="AE283" i="7"/>
  <c r="AF283" i="7"/>
  <c r="AH283" i="7"/>
  <c r="AI283" i="7"/>
  <c r="AE284" i="7"/>
  <c r="AF284" i="7"/>
  <c r="AH284" i="7"/>
  <c r="AI284" i="7"/>
  <c r="AE285" i="7"/>
  <c r="AF285" i="7"/>
  <c r="AH285" i="7"/>
  <c r="AI285" i="7"/>
  <c r="AE286" i="7"/>
  <c r="AF286" i="7"/>
  <c r="AH286" i="7"/>
  <c r="AI286" i="7"/>
  <c r="AE287" i="7"/>
  <c r="AF287" i="7"/>
  <c r="AH287" i="7"/>
  <c r="AI287" i="7"/>
  <c r="AE288" i="7"/>
  <c r="AF288" i="7"/>
  <c r="AH288" i="7"/>
  <c r="AI288" i="7"/>
  <c r="AE289" i="7"/>
  <c r="AF289" i="7"/>
  <c r="AH289" i="7"/>
  <c r="AI289" i="7"/>
  <c r="AE290" i="7"/>
  <c r="AF290" i="7"/>
  <c r="AH290" i="7"/>
  <c r="AI290" i="7"/>
  <c r="AE291" i="7"/>
  <c r="AF291" i="7"/>
  <c r="AH291" i="7"/>
  <c r="AI291" i="7"/>
  <c r="AE292" i="7"/>
  <c r="AF292" i="7"/>
  <c r="AH292" i="7"/>
  <c r="AI292" i="7"/>
  <c r="AE293" i="7"/>
  <c r="AF293" i="7"/>
  <c r="AH293" i="7"/>
  <c r="AI293" i="7"/>
  <c r="AE294" i="7"/>
  <c r="AF294" i="7"/>
  <c r="AH294" i="7"/>
  <c r="AI294" i="7"/>
  <c r="AI242" i="7"/>
  <c r="AH242" i="7"/>
  <c r="AF242" i="7"/>
  <c r="AE242" i="7"/>
  <c r="AE185" i="7"/>
  <c r="AF185" i="7"/>
  <c r="AH185" i="7"/>
  <c r="AI185" i="7"/>
  <c r="AE186" i="7"/>
  <c r="AF186" i="7"/>
  <c r="AH186" i="7"/>
  <c r="AI186" i="7"/>
  <c r="AE187" i="7"/>
  <c r="AF187" i="7"/>
  <c r="AH187" i="7"/>
  <c r="AI187" i="7"/>
  <c r="AE188" i="7"/>
  <c r="AF188" i="7"/>
  <c r="AH188" i="7"/>
  <c r="AI188" i="7"/>
  <c r="AE189" i="7"/>
  <c r="AF189" i="7"/>
  <c r="AH189" i="7"/>
  <c r="AI189" i="7"/>
  <c r="AE190" i="7"/>
  <c r="AF190" i="7"/>
  <c r="AH190" i="7"/>
  <c r="AI190" i="7"/>
  <c r="AE191" i="7"/>
  <c r="AF191" i="7"/>
  <c r="AH191" i="7"/>
  <c r="AI191" i="7"/>
  <c r="AE192" i="7"/>
  <c r="AF192" i="7"/>
  <c r="AH192" i="7"/>
  <c r="AI192" i="7"/>
  <c r="AE193" i="7"/>
  <c r="AF193" i="7"/>
  <c r="AH193" i="7"/>
  <c r="AI193" i="7"/>
  <c r="AE194" i="7"/>
  <c r="AF194" i="7"/>
  <c r="AH194" i="7"/>
  <c r="AI194" i="7"/>
  <c r="AE195" i="7"/>
  <c r="AF195" i="7"/>
  <c r="AH195" i="7"/>
  <c r="AI195" i="7"/>
  <c r="AE196" i="7"/>
  <c r="AF196" i="7"/>
  <c r="AH196" i="7"/>
  <c r="AI196" i="7"/>
  <c r="AE197" i="7"/>
  <c r="AF197" i="7"/>
  <c r="AH197" i="7"/>
  <c r="AI197" i="7"/>
  <c r="AE198" i="7"/>
  <c r="AF198" i="7"/>
  <c r="AH198" i="7"/>
  <c r="AI198" i="7"/>
  <c r="AE199" i="7"/>
  <c r="AF199" i="7"/>
  <c r="AH199" i="7"/>
  <c r="AI199" i="7"/>
  <c r="AE200" i="7"/>
  <c r="AF200" i="7"/>
  <c r="AH200" i="7"/>
  <c r="AI200" i="7"/>
  <c r="AE201" i="7"/>
  <c r="AF201" i="7"/>
  <c r="AH201" i="7"/>
  <c r="AI201" i="7"/>
  <c r="AE204" i="7"/>
  <c r="AF204" i="7"/>
  <c r="AH204" i="7"/>
  <c r="AI204" i="7"/>
  <c r="AE205" i="7"/>
  <c r="AF205" i="7"/>
  <c r="AH205" i="7"/>
  <c r="AI205" i="7"/>
  <c r="AE206" i="7"/>
  <c r="AF206" i="7"/>
  <c r="AH206" i="7"/>
  <c r="AI206" i="7"/>
  <c r="AE207" i="7"/>
  <c r="AF207" i="7"/>
  <c r="AH207" i="7"/>
  <c r="AI207" i="7"/>
  <c r="AE208" i="7"/>
  <c r="AF208" i="7"/>
  <c r="AH208" i="7"/>
  <c r="AI208" i="7"/>
  <c r="AE209" i="7"/>
  <c r="AF209" i="7"/>
  <c r="AH209" i="7"/>
  <c r="AI209" i="7"/>
  <c r="AE210" i="7"/>
  <c r="AF210" i="7"/>
  <c r="AH210" i="7"/>
  <c r="AI210" i="7"/>
  <c r="AE211" i="7"/>
  <c r="AF211" i="7"/>
  <c r="AH211" i="7"/>
  <c r="AI211" i="7"/>
  <c r="AE212" i="7"/>
  <c r="AF212" i="7"/>
  <c r="AH212" i="7"/>
  <c r="AI212" i="7"/>
  <c r="AE213" i="7"/>
  <c r="AF213" i="7"/>
  <c r="AH213" i="7"/>
  <c r="AI213" i="7"/>
  <c r="AE214" i="7"/>
  <c r="AF214" i="7"/>
  <c r="AH214" i="7"/>
  <c r="AI214" i="7"/>
  <c r="AE215" i="7"/>
  <c r="AF215" i="7"/>
  <c r="AH215" i="7"/>
  <c r="AI215" i="7"/>
  <c r="AE216" i="7"/>
  <c r="AF216" i="7"/>
  <c r="AH216" i="7"/>
  <c r="AI216" i="7"/>
  <c r="AE217" i="7"/>
  <c r="AF217" i="7"/>
  <c r="AH217" i="7"/>
  <c r="AI217" i="7"/>
  <c r="AE218" i="7"/>
  <c r="AF218" i="7"/>
  <c r="AH218" i="7"/>
  <c r="AI218" i="7"/>
  <c r="AE219" i="7"/>
  <c r="AF219" i="7"/>
  <c r="AH219" i="7"/>
  <c r="AI219" i="7"/>
  <c r="AE220" i="7"/>
  <c r="AF220" i="7"/>
  <c r="AH220" i="7"/>
  <c r="AI220" i="7"/>
  <c r="AE221" i="7"/>
  <c r="AF221" i="7"/>
  <c r="AH221" i="7"/>
  <c r="AI221" i="7"/>
  <c r="AE222" i="7"/>
  <c r="AF222" i="7"/>
  <c r="AH222" i="7"/>
  <c r="AI222" i="7"/>
  <c r="AE223" i="7"/>
  <c r="AF223" i="7"/>
  <c r="AH223" i="7"/>
  <c r="AI223" i="7"/>
  <c r="AE224" i="7"/>
  <c r="AF224" i="7"/>
  <c r="AH224" i="7"/>
  <c r="AI224" i="7"/>
  <c r="AE225" i="7"/>
  <c r="AF225" i="7"/>
  <c r="AH225" i="7"/>
  <c r="AI225" i="7"/>
  <c r="AE226" i="7"/>
  <c r="AF226" i="7"/>
  <c r="AH226" i="7"/>
  <c r="AI226" i="7"/>
  <c r="AE227" i="7"/>
  <c r="AF227" i="7"/>
  <c r="AH227" i="7"/>
  <c r="AI227" i="7"/>
  <c r="AE228" i="7"/>
  <c r="AF228" i="7"/>
  <c r="AH228" i="7"/>
  <c r="AI228" i="7"/>
  <c r="AE229" i="7"/>
  <c r="AF229" i="7"/>
  <c r="AH229" i="7"/>
  <c r="AI229" i="7"/>
  <c r="AE230" i="7"/>
  <c r="AF230" i="7"/>
  <c r="AH230" i="7"/>
  <c r="AI230" i="7"/>
  <c r="AE231" i="7"/>
  <c r="AF231" i="7"/>
  <c r="AH231" i="7"/>
  <c r="AI231" i="7"/>
  <c r="AE232" i="7"/>
  <c r="AF232" i="7"/>
  <c r="AH232" i="7"/>
  <c r="AI232" i="7"/>
  <c r="AE233" i="7"/>
  <c r="AF233" i="7"/>
  <c r="AH233" i="7"/>
  <c r="AI233" i="7"/>
  <c r="AE234" i="7"/>
  <c r="AF234" i="7"/>
  <c r="AH234" i="7"/>
  <c r="AI234" i="7"/>
  <c r="AE235" i="7"/>
  <c r="AF235" i="7"/>
  <c r="AH235" i="7"/>
  <c r="AI235" i="7"/>
  <c r="AE236" i="7"/>
  <c r="AF236" i="7"/>
  <c r="AH236" i="7"/>
  <c r="AI236" i="7"/>
  <c r="AI184" i="7"/>
  <c r="AH184" i="7"/>
  <c r="AF184" i="7"/>
  <c r="AE184" i="7"/>
  <c r="AE127" i="7"/>
  <c r="AF127" i="7"/>
  <c r="AH127" i="7"/>
  <c r="AI127" i="7"/>
  <c r="AE128" i="7"/>
  <c r="AF128" i="7"/>
  <c r="AH128" i="7"/>
  <c r="AI128" i="7"/>
  <c r="AE129" i="7"/>
  <c r="AF129" i="7"/>
  <c r="AH129" i="7"/>
  <c r="AI129" i="7"/>
  <c r="AE130" i="7"/>
  <c r="AF130" i="7"/>
  <c r="AH130" i="7"/>
  <c r="AI130" i="7"/>
  <c r="AE131" i="7"/>
  <c r="AF131" i="7"/>
  <c r="AH131" i="7"/>
  <c r="AI131" i="7"/>
  <c r="AE132" i="7"/>
  <c r="AF132" i="7"/>
  <c r="AH132" i="7"/>
  <c r="AI132" i="7"/>
  <c r="AE133" i="7"/>
  <c r="AF133" i="7"/>
  <c r="AH133" i="7"/>
  <c r="AI133" i="7"/>
  <c r="AE134" i="7"/>
  <c r="AF134" i="7"/>
  <c r="AH134" i="7"/>
  <c r="AI134" i="7"/>
  <c r="AE135" i="7"/>
  <c r="AF135" i="7"/>
  <c r="AH135" i="7"/>
  <c r="AI135" i="7"/>
  <c r="AE136" i="7"/>
  <c r="AF136" i="7"/>
  <c r="AH136" i="7"/>
  <c r="AI136" i="7"/>
  <c r="AE137" i="7"/>
  <c r="AF137" i="7"/>
  <c r="AH137" i="7"/>
  <c r="AI137" i="7"/>
  <c r="AE138" i="7"/>
  <c r="AF138" i="7"/>
  <c r="AH138" i="7"/>
  <c r="AI138" i="7"/>
  <c r="AE139" i="7"/>
  <c r="AF139" i="7"/>
  <c r="AH139" i="7"/>
  <c r="AI139" i="7"/>
  <c r="AE140" i="7"/>
  <c r="AF140" i="7"/>
  <c r="AH140" i="7"/>
  <c r="AI140" i="7"/>
  <c r="AE141" i="7"/>
  <c r="AF141" i="7"/>
  <c r="AH141" i="7"/>
  <c r="AI141" i="7"/>
  <c r="AE142" i="7"/>
  <c r="AF142" i="7"/>
  <c r="AH142" i="7"/>
  <c r="AI142" i="7"/>
  <c r="AE143" i="7"/>
  <c r="AF143" i="7"/>
  <c r="AH143" i="7"/>
  <c r="AI143" i="7"/>
  <c r="AE144" i="7"/>
  <c r="AE319" i="7" s="1"/>
  <c r="AF144" i="7"/>
  <c r="AF319" i="7" s="1"/>
  <c r="AH144" i="7"/>
  <c r="AI144" i="7"/>
  <c r="AE145" i="7"/>
  <c r="AE320" i="7" s="1"/>
  <c r="AF145" i="7"/>
  <c r="AF320" i="7" s="1"/>
  <c r="AH145" i="7"/>
  <c r="AI145" i="7"/>
  <c r="AE146" i="7"/>
  <c r="AE321" i="7" s="1"/>
  <c r="AF146" i="7"/>
  <c r="AF321" i="7" s="1"/>
  <c r="AH146" i="7"/>
  <c r="AI146" i="7"/>
  <c r="AE147" i="7"/>
  <c r="AF147" i="7"/>
  <c r="AH147" i="7"/>
  <c r="AI147" i="7"/>
  <c r="AE148" i="7"/>
  <c r="AF148" i="7"/>
  <c r="AH148" i="7"/>
  <c r="AI148" i="7"/>
  <c r="AE149" i="7"/>
  <c r="AF149" i="7"/>
  <c r="AH149" i="7"/>
  <c r="AI149" i="7"/>
  <c r="AE150" i="7"/>
  <c r="AF150" i="7"/>
  <c r="AH150" i="7"/>
  <c r="AI150" i="7"/>
  <c r="AE151" i="7"/>
  <c r="AE326" i="7" s="1"/>
  <c r="AF151" i="7"/>
  <c r="AF326" i="7" s="1"/>
  <c r="AH151" i="7"/>
  <c r="AH326" i="7" s="1"/>
  <c r="AI151" i="7"/>
  <c r="AE152" i="7"/>
  <c r="AE327" i="7" s="1"/>
  <c r="AF152" i="7"/>
  <c r="AF327" i="7" s="1"/>
  <c r="AH152" i="7"/>
  <c r="AI152" i="7"/>
  <c r="AI327" i="7" s="1"/>
  <c r="AE153" i="7"/>
  <c r="AE328" i="7" s="1"/>
  <c r="AF153" i="7"/>
  <c r="AF328" i="7" s="1"/>
  <c r="AH153" i="7"/>
  <c r="AI153" i="7"/>
  <c r="AE154" i="7"/>
  <c r="AF154" i="7"/>
  <c r="AH154" i="7"/>
  <c r="AI154" i="7"/>
  <c r="AE155" i="7"/>
  <c r="AF155" i="7"/>
  <c r="AH155" i="7"/>
  <c r="AI155" i="7"/>
  <c r="AE156" i="7"/>
  <c r="AF156" i="7"/>
  <c r="AH156" i="7"/>
  <c r="AI156" i="7"/>
  <c r="AE157" i="7"/>
  <c r="AF157" i="7"/>
  <c r="AH157" i="7"/>
  <c r="AI157" i="7"/>
  <c r="AE158" i="7"/>
  <c r="AF158" i="7"/>
  <c r="AH158" i="7"/>
  <c r="AI158" i="7"/>
  <c r="AE159" i="7"/>
  <c r="AF159" i="7"/>
  <c r="AH159" i="7"/>
  <c r="AI159" i="7"/>
  <c r="AE160" i="7"/>
  <c r="AF160" i="7"/>
  <c r="AH160" i="7"/>
  <c r="AI160" i="7"/>
  <c r="AE161" i="7"/>
  <c r="AF161" i="7"/>
  <c r="AH161" i="7"/>
  <c r="AI161" i="7"/>
  <c r="AE162" i="7"/>
  <c r="AF162" i="7"/>
  <c r="AH162" i="7"/>
  <c r="AI162" i="7"/>
  <c r="AE163" i="7"/>
  <c r="AF163" i="7"/>
  <c r="AH163" i="7"/>
  <c r="AI163" i="7"/>
  <c r="AE164" i="7"/>
  <c r="AF164" i="7"/>
  <c r="AH164" i="7"/>
  <c r="AI164" i="7"/>
  <c r="AE165" i="7"/>
  <c r="AF165" i="7"/>
  <c r="AH165" i="7"/>
  <c r="AI165" i="7"/>
  <c r="AE166" i="7"/>
  <c r="AF166" i="7"/>
  <c r="AH166" i="7"/>
  <c r="AI166" i="7"/>
  <c r="AE167" i="7"/>
  <c r="AF167" i="7"/>
  <c r="AH167" i="7"/>
  <c r="AI167" i="7"/>
  <c r="AE168" i="7"/>
  <c r="AF168" i="7"/>
  <c r="AH168" i="7"/>
  <c r="AI168" i="7"/>
  <c r="AE169" i="7"/>
  <c r="AF169" i="7"/>
  <c r="AH169" i="7"/>
  <c r="AI169" i="7"/>
  <c r="AE170" i="7"/>
  <c r="AF170" i="7"/>
  <c r="AH170" i="7"/>
  <c r="AI170" i="7"/>
  <c r="AE171" i="7"/>
  <c r="AF171" i="7"/>
  <c r="AH171" i="7"/>
  <c r="AI171" i="7"/>
  <c r="AE172" i="7"/>
  <c r="AF172" i="7"/>
  <c r="AH172" i="7"/>
  <c r="AI172" i="7"/>
  <c r="AE173" i="7"/>
  <c r="AF173" i="7"/>
  <c r="AH173" i="7"/>
  <c r="AI173" i="7"/>
  <c r="AE174" i="7"/>
  <c r="AF174" i="7"/>
  <c r="AH174" i="7"/>
  <c r="AI174" i="7"/>
  <c r="AE175" i="7"/>
  <c r="AF175" i="7"/>
  <c r="AH175" i="7"/>
  <c r="AI175" i="7"/>
  <c r="AE176" i="7"/>
  <c r="AF176" i="7"/>
  <c r="AH176" i="7"/>
  <c r="AI176" i="7"/>
  <c r="AE177" i="7"/>
  <c r="AF177" i="7"/>
  <c r="AH177" i="7"/>
  <c r="AI177" i="7"/>
  <c r="AE178" i="7"/>
  <c r="AF178" i="7"/>
  <c r="AH178" i="7"/>
  <c r="AI178" i="7"/>
  <c r="AI126" i="7"/>
  <c r="AH126" i="7"/>
  <c r="AF126" i="7"/>
  <c r="AE126" i="7"/>
  <c r="AH97" i="7"/>
  <c r="AI97" i="7"/>
  <c r="AH69" i="7"/>
  <c r="AI69" i="7"/>
  <c r="AH70" i="7"/>
  <c r="AI70" i="7"/>
  <c r="AH71" i="7"/>
  <c r="AI71" i="7"/>
  <c r="AH72" i="7"/>
  <c r="AI72" i="7"/>
  <c r="AH73" i="7"/>
  <c r="AI73" i="7"/>
  <c r="AH74" i="7"/>
  <c r="AI74" i="7"/>
  <c r="AH75" i="7"/>
  <c r="AI75" i="7"/>
  <c r="AH76" i="7"/>
  <c r="AI76" i="7"/>
  <c r="AH77" i="7"/>
  <c r="AI77" i="7"/>
  <c r="AH78" i="7"/>
  <c r="AI78" i="7"/>
  <c r="AH79" i="7"/>
  <c r="AI79" i="7"/>
  <c r="AH80" i="7"/>
  <c r="AI80" i="7"/>
  <c r="AH81" i="7"/>
  <c r="AI81" i="7"/>
  <c r="AH82" i="7"/>
  <c r="AI82" i="7"/>
  <c r="AH83" i="7"/>
  <c r="AI83" i="7"/>
  <c r="AH84" i="7"/>
  <c r="AI84" i="7"/>
  <c r="AH85" i="7"/>
  <c r="AI85" i="7"/>
  <c r="AH89" i="7"/>
  <c r="AI89" i="7"/>
  <c r="AH90" i="7"/>
  <c r="AI90" i="7"/>
  <c r="AH91" i="7"/>
  <c r="AI91" i="7"/>
  <c r="AH92" i="7"/>
  <c r="AI92" i="7"/>
  <c r="AH98" i="7"/>
  <c r="AI98" i="7"/>
  <c r="AH99" i="7"/>
  <c r="AI99" i="7"/>
  <c r="AH100" i="7"/>
  <c r="AI100" i="7"/>
  <c r="AH101" i="7"/>
  <c r="AI101" i="7"/>
  <c r="AH102" i="7"/>
  <c r="AI102" i="7"/>
  <c r="AH103" i="7"/>
  <c r="AI103" i="7"/>
  <c r="AH104" i="7"/>
  <c r="AI104" i="7"/>
  <c r="AH105" i="7"/>
  <c r="AI105" i="7"/>
  <c r="AH106" i="7"/>
  <c r="AI106" i="7"/>
  <c r="AH107" i="7"/>
  <c r="AI107" i="7"/>
  <c r="AH108" i="7"/>
  <c r="AI108" i="7"/>
  <c r="AH109" i="7"/>
  <c r="AI109" i="7"/>
  <c r="AH110" i="7"/>
  <c r="AI110" i="7"/>
  <c r="AH111" i="7"/>
  <c r="AI111" i="7"/>
  <c r="AH112" i="7"/>
  <c r="AI112" i="7"/>
  <c r="AH113" i="7"/>
  <c r="AI113" i="7"/>
  <c r="AH114" i="7"/>
  <c r="AI114" i="7"/>
  <c r="AH115" i="7"/>
  <c r="AI115" i="7"/>
  <c r="AH116" i="7"/>
  <c r="AI116" i="7"/>
  <c r="AH117" i="7"/>
  <c r="AI117" i="7"/>
  <c r="AH118" i="7"/>
  <c r="AI118" i="7"/>
  <c r="AH119" i="7"/>
  <c r="AI119" i="7"/>
  <c r="AH120" i="7"/>
  <c r="AI120" i="7"/>
  <c r="AI68" i="7"/>
  <c r="AH68" i="7"/>
  <c r="AE69" i="7"/>
  <c r="AF69" i="7"/>
  <c r="AE70" i="7"/>
  <c r="AF70" i="7"/>
  <c r="AE71" i="7"/>
  <c r="AF71" i="7"/>
  <c r="AE72" i="7"/>
  <c r="AF72" i="7"/>
  <c r="AE73" i="7"/>
  <c r="AF73" i="7"/>
  <c r="AE74" i="7"/>
  <c r="AF74" i="7"/>
  <c r="AE75" i="7"/>
  <c r="AF75" i="7"/>
  <c r="AE76" i="7"/>
  <c r="AF76" i="7"/>
  <c r="AE77" i="7"/>
  <c r="AF77" i="7"/>
  <c r="AE78" i="7"/>
  <c r="AF78" i="7"/>
  <c r="AE79" i="7"/>
  <c r="AF79" i="7"/>
  <c r="AE80" i="7"/>
  <c r="AF80" i="7"/>
  <c r="AE81" i="7"/>
  <c r="AF81" i="7"/>
  <c r="AE82" i="7"/>
  <c r="AF82" i="7"/>
  <c r="AE83" i="7"/>
  <c r="AF83" i="7"/>
  <c r="AE84" i="7"/>
  <c r="AF84" i="7"/>
  <c r="AE85" i="7"/>
  <c r="AF85" i="7"/>
  <c r="AE89" i="7"/>
  <c r="AF89" i="7"/>
  <c r="AE90" i="7"/>
  <c r="AF90" i="7"/>
  <c r="AE91" i="7"/>
  <c r="AF91" i="7"/>
  <c r="AE92" i="7"/>
  <c r="AF92" i="7"/>
  <c r="AE97" i="7"/>
  <c r="AF97" i="7"/>
  <c r="AE98" i="7"/>
  <c r="AF98" i="7"/>
  <c r="AE99" i="7"/>
  <c r="AF99" i="7"/>
  <c r="AE100" i="7"/>
  <c r="AF100" i="7"/>
  <c r="AE101" i="7"/>
  <c r="AF101" i="7"/>
  <c r="AE102" i="7"/>
  <c r="AF102" i="7"/>
  <c r="AE103" i="7"/>
  <c r="AF103" i="7"/>
  <c r="AE104" i="7"/>
  <c r="AF104" i="7"/>
  <c r="AE105" i="7"/>
  <c r="AF105" i="7"/>
  <c r="AE106" i="7"/>
  <c r="AF106" i="7"/>
  <c r="AE107" i="7"/>
  <c r="AF107" i="7"/>
  <c r="AE108" i="7"/>
  <c r="AF108" i="7"/>
  <c r="AE109" i="7"/>
  <c r="AF109" i="7"/>
  <c r="AE110" i="7"/>
  <c r="AF110" i="7"/>
  <c r="AE111" i="7"/>
  <c r="AF111" i="7"/>
  <c r="AE112" i="7"/>
  <c r="AF112" i="7"/>
  <c r="AE113" i="7"/>
  <c r="AF113" i="7"/>
  <c r="AE114" i="7"/>
  <c r="AF114" i="7"/>
  <c r="AE115" i="7"/>
  <c r="AF115" i="7"/>
  <c r="AE116" i="7"/>
  <c r="AF116" i="7"/>
  <c r="AE117" i="7"/>
  <c r="AF117" i="7"/>
  <c r="AE118" i="7"/>
  <c r="AF118" i="7"/>
  <c r="AE119" i="7"/>
  <c r="AF119" i="7"/>
  <c r="AE120" i="7"/>
  <c r="AF120" i="7"/>
  <c r="AF68" i="7"/>
  <c r="AE68" i="7"/>
  <c r="AH10" i="7"/>
  <c r="AI10" i="7"/>
  <c r="AH11" i="7"/>
  <c r="AI11" i="7"/>
  <c r="AH12" i="7"/>
  <c r="AI12" i="7"/>
  <c r="AH13" i="7"/>
  <c r="AI13" i="7"/>
  <c r="AH14" i="7"/>
  <c r="AI14" i="7"/>
  <c r="AH15" i="7"/>
  <c r="AI15" i="7"/>
  <c r="AH16" i="7"/>
  <c r="AI16" i="7"/>
  <c r="AH17" i="7"/>
  <c r="AI17" i="7"/>
  <c r="AH18" i="7"/>
  <c r="AI18" i="7"/>
  <c r="AH19" i="7"/>
  <c r="AI19" i="7"/>
  <c r="AH20" i="7"/>
  <c r="AI20" i="7"/>
  <c r="AH21" i="7"/>
  <c r="AI21" i="7"/>
  <c r="AH22" i="7"/>
  <c r="AI22" i="7"/>
  <c r="AH23" i="7"/>
  <c r="AI23" i="7"/>
  <c r="AH24" i="7"/>
  <c r="AI24" i="7"/>
  <c r="AH25" i="7"/>
  <c r="AI25" i="7"/>
  <c r="AH26" i="7"/>
  <c r="AI26" i="7"/>
  <c r="AH27" i="7"/>
  <c r="AI27" i="7"/>
  <c r="AH28" i="7"/>
  <c r="AI28" i="7"/>
  <c r="AH29" i="7"/>
  <c r="AI29" i="7"/>
  <c r="AH30" i="7"/>
  <c r="AI30" i="7"/>
  <c r="AH31" i="7"/>
  <c r="AI31" i="7"/>
  <c r="AI323" i="7" s="1"/>
  <c r="AH32" i="7"/>
  <c r="AI32" i="7"/>
  <c r="AH33" i="7"/>
  <c r="AH325" i="7" s="1"/>
  <c r="AI33" i="7"/>
  <c r="AH37" i="7"/>
  <c r="AI37" i="7"/>
  <c r="AH38" i="7"/>
  <c r="AI38" i="7"/>
  <c r="AH39" i="7"/>
  <c r="AI39" i="7"/>
  <c r="AH40" i="7"/>
  <c r="AI40" i="7"/>
  <c r="AH41" i="7"/>
  <c r="AI41" i="7"/>
  <c r="AH42" i="7"/>
  <c r="AH334" i="7" s="1"/>
  <c r="AI42" i="7"/>
  <c r="AI334" i="7" s="1"/>
  <c r="AH43" i="7"/>
  <c r="AI43" i="7"/>
  <c r="AH44" i="7"/>
  <c r="AI44" i="7"/>
  <c r="AH45" i="7"/>
  <c r="AI45" i="7"/>
  <c r="AH46" i="7"/>
  <c r="AH338" i="7" s="1"/>
  <c r="AI46" i="7"/>
  <c r="AI338" i="7" s="1"/>
  <c r="AH47" i="7"/>
  <c r="AI47" i="7"/>
  <c r="AH48" i="7"/>
  <c r="AI48" i="7"/>
  <c r="AH49" i="7"/>
  <c r="AI49" i="7"/>
  <c r="AH50" i="7"/>
  <c r="AI50" i="7"/>
  <c r="AI342" i="7" s="1"/>
  <c r="AH51" i="7"/>
  <c r="AI51" i="7"/>
  <c r="AH52" i="7"/>
  <c r="AI52" i="7"/>
  <c r="AH53" i="7"/>
  <c r="AI53" i="7"/>
  <c r="AH54" i="7"/>
  <c r="AH346" i="7" s="1"/>
  <c r="AI54" i="7"/>
  <c r="AI346" i="7" s="1"/>
  <c r="AH55" i="7"/>
  <c r="AI55" i="7"/>
  <c r="AH56" i="7"/>
  <c r="AI56" i="7"/>
  <c r="AH57" i="7"/>
  <c r="AI57" i="7"/>
  <c r="AH58" i="7"/>
  <c r="AH350" i="7" s="1"/>
  <c r="AI58" i="7"/>
  <c r="AI350" i="7" s="1"/>
  <c r="AH59" i="7"/>
  <c r="AI59" i="7"/>
  <c r="AH60" i="7"/>
  <c r="AI60" i="7"/>
  <c r="AH61" i="7"/>
  <c r="AI61" i="7"/>
  <c r="AE26" i="7"/>
  <c r="AF26" i="7"/>
  <c r="AE30" i="7"/>
  <c r="AF30" i="7"/>
  <c r="AE31" i="7"/>
  <c r="AF31" i="7"/>
  <c r="AE32" i="7"/>
  <c r="AF32" i="7"/>
  <c r="AE33" i="7"/>
  <c r="AF33" i="7"/>
  <c r="AE37" i="7"/>
  <c r="AE329" i="7" s="1"/>
  <c r="AF37" i="7"/>
  <c r="AF329" i="7" s="1"/>
  <c r="AE38" i="7"/>
  <c r="AF38" i="7"/>
  <c r="AE39" i="7"/>
  <c r="AE331" i="7" s="1"/>
  <c r="AF39" i="7"/>
  <c r="AF331" i="7" s="1"/>
  <c r="AE40" i="7"/>
  <c r="AF40" i="7"/>
  <c r="AE41" i="7"/>
  <c r="AE333" i="7" s="1"/>
  <c r="AF41" i="7"/>
  <c r="AF333" i="7" s="1"/>
  <c r="AE42" i="7"/>
  <c r="AF42" i="7"/>
  <c r="AE43" i="7"/>
  <c r="AE335" i="7" s="1"/>
  <c r="AF43" i="7"/>
  <c r="AF335" i="7" s="1"/>
  <c r="AE44" i="7"/>
  <c r="AF44" i="7"/>
  <c r="AE45" i="7"/>
  <c r="AE337" i="7" s="1"/>
  <c r="AF45" i="7"/>
  <c r="AF337" i="7" s="1"/>
  <c r="AE46" i="7"/>
  <c r="AF46" i="7"/>
  <c r="AE47" i="7"/>
  <c r="AE339" i="7" s="1"/>
  <c r="AF47" i="7"/>
  <c r="AF339" i="7" s="1"/>
  <c r="AE48" i="7"/>
  <c r="AF48" i="7"/>
  <c r="AE49" i="7"/>
  <c r="AE341" i="7" s="1"/>
  <c r="AF49" i="7"/>
  <c r="AF341" i="7" s="1"/>
  <c r="AE50" i="7"/>
  <c r="AF50" i="7"/>
  <c r="AE51" i="7"/>
  <c r="AE343" i="7" s="1"/>
  <c r="AF51" i="7"/>
  <c r="AF343" i="7" s="1"/>
  <c r="AE52" i="7"/>
  <c r="AF52" i="7"/>
  <c r="AE53" i="7"/>
  <c r="AE345" i="7" s="1"/>
  <c r="AF53" i="7"/>
  <c r="AF345" i="7" s="1"/>
  <c r="AE54" i="7"/>
  <c r="AF54" i="7"/>
  <c r="AE55" i="7"/>
  <c r="AE347" i="7" s="1"/>
  <c r="AF55" i="7"/>
  <c r="AF347" i="7" s="1"/>
  <c r="AE56" i="7"/>
  <c r="AF56" i="7"/>
  <c r="AE57" i="7"/>
  <c r="AE349" i="7" s="1"/>
  <c r="AF57" i="7"/>
  <c r="AE58" i="7"/>
  <c r="AF58" i="7"/>
  <c r="AE59" i="7"/>
  <c r="AE351" i="7" s="1"/>
  <c r="AF59" i="7"/>
  <c r="AF351" i="7" s="1"/>
  <c r="AE60" i="7"/>
  <c r="AF60" i="7"/>
  <c r="AE61" i="7"/>
  <c r="AE353" i="7" s="1"/>
  <c r="AF61" i="7"/>
  <c r="AF353" i="7" s="1"/>
  <c r="AE10" i="7"/>
  <c r="AF10" i="7"/>
  <c r="AE11" i="7"/>
  <c r="AF11" i="7"/>
  <c r="AE12" i="7"/>
  <c r="AF12" i="7"/>
  <c r="AE13" i="7"/>
  <c r="AF13" i="7"/>
  <c r="AE14" i="7"/>
  <c r="AF14" i="7"/>
  <c r="AE15" i="7"/>
  <c r="AF15" i="7"/>
  <c r="AE16" i="7"/>
  <c r="AF16" i="7"/>
  <c r="AE17" i="7"/>
  <c r="AF17" i="7"/>
  <c r="AE18" i="7"/>
  <c r="AF18" i="7"/>
  <c r="AE19" i="7"/>
  <c r="AF19" i="7"/>
  <c r="AE20" i="7"/>
  <c r="AF20" i="7"/>
  <c r="AE21" i="7"/>
  <c r="AF21" i="7"/>
  <c r="AE22" i="7"/>
  <c r="AF22" i="7"/>
  <c r="AE23" i="7"/>
  <c r="AF23" i="7"/>
  <c r="AE24" i="7"/>
  <c r="AF24" i="7"/>
  <c r="AE25" i="7"/>
  <c r="AF25" i="7"/>
  <c r="AI9" i="7"/>
  <c r="AH9" i="7"/>
  <c r="AF9" i="7"/>
  <c r="AE9" i="7"/>
  <c r="AH323" i="7" l="1"/>
  <c r="AH327" i="7"/>
  <c r="AH342" i="7"/>
  <c r="AH321" i="7"/>
  <c r="AI321" i="7"/>
  <c r="AI326" i="7"/>
  <c r="AH348" i="7"/>
  <c r="AH340" i="7"/>
  <c r="AH332" i="7"/>
  <c r="AH319" i="7"/>
  <c r="AI325" i="7"/>
  <c r="AH352" i="7"/>
  <c r="AH344" i="7"/>
  <c r="AH336" i="7"/>
  <c r="AH328" i="7"/>
  <c r="AI348" i="7"/>
  <c r="AI340" i="7"/>
  <c r="AI332" i="7"/>
  <c r="AI319" i="7"/>
  <c r="AI336" i="7"/>
  <c r="AI328" i="7"/>
  <c r="AI344" i="7"/>
  <c r="AI352" i="7"/>
  <c r="AF349" i="7"/>
  <c r="AF301" i="7"/>
  <c r="AE317" i="7"/>
  <c r="AE315" i="7"/>
  <c r="AE313" i="7"/>
  <c r="AE311" i="7"/>
  <c r="AE309" i="7"/>
  <c r="AE307" i="7"/>
  <c r="AE305" i="7"/>
  <c r="AE303" i="7"/>
  <c r="AE324" i="7"/>
  <c r="AE322" i="7"/>
  <c r="AH353" i="7"/>
  <c r="AH351" i="7"/>
  <c r="AH349" i="7"/>
  <c r="AH347" i="7"/>
  <c r="AH345" i="7"/>
  <c r="AH343" i="7"/>
  <c r="AH341" i="7"/>
  <c r="AH339" i="7"/>
  <c r="AH337" i="7"/>
  <c r="AH335" i="7"/>
  <c r="AH333" i="7"/>
  <c r="AH331" i="7"/>
  <c r="AH329" i="7"/>
  <c r="AH324" i="7"/>
  <c r="AH322" i="7"/>
  <c r="AH320" i="7"/>
  <c r="AH318" i="7"/>
  <c r="AH316" i="7"/>
  <c r="AH314" i="7"/>
  <c r="AH312" i="7"/>
  <c r="AH310" i="7"/>
  <c r="AH308" i="7"/>
  <c r="AH306" i="7"/>
  <c r="AH304" i="7"/>
  <c r="AH302" i="7"/>
  <c r="AE301" i="7"/>
  <c r="AF317" i="7"/>
  <c r="AF315" i="7"/>
  <c r="AF313" i="7"/>
  <c r="AF311" i="7"/>
  <c r="AF309" i="7"/>
  <c r="AF307" i="7"/>
  <c r="AF305" i="7"/>
  <c r="AF303" i="7"/>
  <c r="AF324" i="7"/>
  <c r="AF322" i="7"/>
  <c r="AI353" i="7"/>
  <c r="AI351" i="7"/>
  <c r="AI349" i="7"/>
  <c r="AI347" i="7"/>
  <c r="AI345" i="7"/>
  <c r="AI343" i="7"/>
  <c r="AI341" i="7"/>
  <c r="AI339" i="7"/>
  <c r="AI337" i="7"/>
  <c r="AI335" i="7"/>
  <c r="AI333" i="7"/>
  <c r="AI331" i="7"/>
  <c r="AI329" i="7"/>
  <c r="AI324" i="7"/>
  <c r="AI322" i="7"/>
  <c r="AI320" i="7"/>
  <c r="AI318" i="7"/>
  <c r="AI316" i="7"/>
  <c r="AI314" i="7"/>
  <c r="AI312" i="7"/>
  <c r="AI310" i="7"/>
  <c r="AI308" i="7"/>
  <c r="AI306" i="7"/>
  <c r="AI304" i="7"/>
  <c r="AI302" i="7"/>
  <c r="AF316" i="7"/>
  <c r="AF314" i="7"/>
  <c r="AF312" i="7"/>
  <c r="AF310" i="7"/>
  <c r="AF308" i="7"/>
  <c r="AF306" i="7"/>
  <c r="AF304" i="7"/>
  <c r="AF302" i="7"/>
  <c r="AF352" i="7"/>
  <c r="AF350" i="7"/>
  <c r="AF348" i="7"/>
  <c r="AF346" i="7"/>
  <c r="AF344" i="7"/>
  <c r="AF342" i="7"/>
  <c r="AF340" i="7"/>
  <c r="AF338" i="7"/>
  <c r="AF336" i="7"/>
  <c r="AF334" i="7"/>
  <c r="AF332" i="7"/>
  <c r="AF330" i="7"/>
  <c r="AF325" i="7"/>
  <c r="AF323" i="7"/>
  <c r="AF318" i="7"/>
  <c r="AI330" i="7"/>
  <c r="AI317" i="7"/>
  <c r="AI315" i="7"/>
  <c r="AI313" i="7"/>
  <c r="AI311" i="7"/>
  <c r="AI309" i="7"/>
  <c r="AI307" i="7"/>
  <c r="AI305" i="7"/>
  <c r="AI303" i="7"/>
  <c r="AH301" i="7"/>
  <c r="AI301" i="7"/>
  <c r="AE316" i="7"/>
  <c r="AE314" i="7"/>
  <c r="AE312" i="7"/>
  <c r="AE310" i="7"/>
  <c r="AE308" i="7"/>
  <c r="AE306" i="7"/>
  <c r="AE304" i="7"/>
  <c r="AE302" i="7"/>
  <c r="AE352" i="7"/>
  <c r="AE350" i="7"/>
  <c r="AE348" i="7"/>
  <c r="AE346" i="7"/>
  <c r="AE344" i="7"/>
  <c r="AE342" i="7"/>
  <c r="AE340" i="7"/>
  <c r="AE338" i="7"/>
  <c r="AE336" i="7"/>
  <c r="AE334" i="7"/>
  <c r="AE332" i="7"/>
  <c r="AE330" i="7"/>
  <c r="AE325" i="7"/>
  <c r="AE323" i="7"/>
  <c r="AE318" i="7"/>
  <c r="AH330" i="7"/>
  <c r="AH317" i="7"/>
  <c r="AH315" i="7"/>
  <c r="AH313" i="7"/>
  <c r="AH311" i="7"/>
  <c r="AH309" i="7"/>
  <c r="AH307" i="7"/>
  <c r="AH305" i="7"/>
  <c r="AH303" i="7"/>
  <c r="CD123" i="3"/>
  <c r="CE123" i="3"/>
  <c r="CF123" i="3"/>
  <c r="CG123" i="3"/>
  <c r="CH123" i="3"/>
  <c r="CI123" i="3"/>
  <c r="CD124" i="3"/>
  <c r="CE124" i="3"/>
  <c r="CF124" i="3"/>
  <c r="CG124" i="3"/>
  <c r="CH124" i="3"/>
  <c r="CI124" i="3"/>
  <c r="CD125" i="3"/>
  <c r="CE125" i="3"/>
  <c r="CF125" i="3"/>
  <c r="CG125" i="3"/>
  <c r="CH125" i="3"/>
  <c r="CI125" i="3"/>
  <c r="CD126" i="3"/>
  <c r="CE126" i="3"/>
  <c r="CF126" i="3"/>
  <c r="CG126" i="3"/>
  <c r="CH126" i="3"/>
  <c r="CI126" i="3"/>
  <c r="CD127" i="3"/>
  <c r="CE127" i="3"/>
  <c r="CF127" i="3"/>
  <c r="CG127" i="3"/>
  <c r="CH127" i="3"/>
  <c r="CI127" i="3"/>
  <c r="CD128" i="3"/>
  <c r="CE128" i="3"/>
  <c r="CF128" i="3"/>
  <c r="CG128" i="3"/>
  <c r="CH128" i="3"/>
  <c r="CI128" i="3"/>
  <c r="CD129" i="3"/>
  <c r="CE129" i="3"/>
  <c r="CF129" i="3"/>
  <c r="CG129" i="3"/>
  <c r="CH129" i="3"/>
  <c r="CI129" i="3"/>
  <c r="CD130" i="3"/>
  <c r="CD247" i="3" s="1"/>
  <c r="CE130" i="3"/>
  <c r="CE247" i="3" s="1"/>
  <c r="CF130" i="3"/>
  <c r="CG130" i="3"/>
  <c r="CH130" i="3"/>
  <c r="CI130" i="3"/>
  <c r="CD131" i="3"/>
  <c r="CE131" i="3"/>
  <c r="CF131" i="3"/>
  <c r="CG131" i="3"/>
  <c r="CH131" i="3"/>
  <c r="CI131" i="3"/>
  <c r="CD132" i="3"/>
  <c r="CE132" i="3"/>
  <c r="CF132" i="3"/>
  <c r="CG132" i="3"/>
  <c r="CH132" i="3"/>
  <c r="CI132" i="3"/>
  <c r="CD133" i="3"/>
  <c r="CD250" i="3" s="1"/>
  <c r="CE133" i="3"/>
  <c r="CE250" i="3" s="1"/>
  <c r="CF133" i="3"/>
  <c r="CG133" i="3"/>
  <c r="CH133" i="3"/>
  <c r="CI133" i="3"/>
  <c r="CD134" i="3"/>
  <c r="CD251" i="3" s="1"/>
  <c r="CE134" i="3"/>
  <c r="CE251" i="3" s="1"/>
  <c r="CF134" i="3"/>
  <c r="CG134" i="3"/>
  <c r="CH134" i="3"/>
  <c r="CI134" i="3"/>
  <c r="CD135" i="3"/>
  <c r="CD252" i="3" s="1"/>
  <c r="CE135" i="3"/>
  <c r="CE252" i="3" s="1"/>
  <c r="CF135" i="3"/>
  <c r="CG135" i="3"/>
  <c r="CH135" i="3"/>
  <c r="CI135" i="3"/>
  <c r="CD136" i="3"/>
  <c r="CD253" i="3" s="1"/>
  <c r="CE136" i="3"/>
  <c r="CE253" i="3" s="1"/>
  <c r="CF136" i="3"/>
  <c r="CG136" i="3"/>
  <c r="CH136" i="3"/>
  <c r="CI136" i="3"/>
  <c r="CD137" i="3"/>
  <c r="CD254" i="3" s="1"/>
  <c r="CE137" i="3"/>
  <c r="CE254" i="3" s="1"/>
  <c r="CF137" i="3"/>
  <c r="CG137" i="3"/>
  <c r="CH137" i="3"/>
  <c r="CI137" i="3"/>
  <c r="CD138" i="3"/>
  <c r="CD255" i="3" s="1"/>
  <c r="CE138" i="3"/>
  <c r="CE255" i="3" s="1"/>
  <c r="CF138" i="3"/>
  <c r="CG138" i="3"/>
  <c r="CH138" i="3"/>
  <c r="CI138" i="3"/>
  <c r="CD139" i="3"/>
  <c r="CD256" i="3" s="1"/>
  <c r="CE139" i="3"/>
  <c r="CE256" i="3" s="1"/>
  <c r="CF139" i="3"/>
  <c r="CG139" i="3"/>
  <c r="CH139" i="3"/>
  <c r="CI139" i="3"/>
  <c r="CD140" i="3"/>
  <c r="CE140" i="3"/>
  <c r="CF140" i="3"/>
  <c r="CG140" i="3"/>
  <c r="CH140" i="3"/>
  <c r="CI140" i="3"/>
  <c r="CD141" i="3"/>
  <c r="CE141" i="3"/>
  <c r="CF141" i="3"/>
  <c r="CG141" i="3"/>
  <c r="CH141" i="3"/>
  <c r="CI141" i="3"/>
  <c r="CD142" i="3"/>
  <c r="CE142" i="3"/>
  <c r="CF142" i="3"/>
  <c r="CG142" i="3"/>
  <c r="CH142" i="3"/>
  <c r="CI142" i="3"/>
  <c r="CD143" i="3"/>
  <c r="CE143" i="3"/>
  <c r="CF143" i="3"/>
  <c r="CG143" i="3"/>
  <c r="CH143" i="3"/>
  <c r="CI143" i="3"/>
  <c r="CD144" i="3"/>
  <c r="CE144" i="3"/>
  <c r="CF144" i="3"/>
  <c r="CG144" i="3"/>
  <c r="CH144" i="3"/>
  <c r="CI144" i="3"/>
  <c r="CD145" i="3"/>
  <c r="CE145" i="3"/>
  <c r="CF145" i="3"/>
  <c r="CG145" i="3"/>
  <c r="CH145" i="3"/>
  <c r="CI145" i="3"/>
  <c r="CD146" i="3"/>
  <c r="CE146" i="3"/>
  <c r="CF146" i="3"/>
  <c r="CG146" i="3"/>
  <c r="CH146" i="3"/>
  <c r="CI146" i="3"/>
  <c r="CD147" i="3"/>
  <c r="CE147" i="3"/>
  <c r="CF147" i="3"/>
  <c r="CG147" i="3"/>
  <c r="CH147" i="3"/>
  <c r="CI147" i="3"/>
  <c r="CD148" i="3"/>
  <c r="CE148" i="3"/>
  <c r="CF148" i="3"/>
  <c r="CG148" i="3"/>
  <c r="CH148" i="3"/>
  <c r="CI148" i="3"/>
  <c r="CD149" i="3"/>
  <c r="CE149" i="3"/>
  <c r="CF149" i="3"/>
  <c r="CG149" i="3"/>
  <c r="CH149" i="3"/>
  <c r="CI149" i="3"/>
  <c r="CD150" i="3"/>
  <c r="CE150" i="3"/>
  <c r="CF150" i="3"/>
  <c r="CG150" i="3"/>
  <c r="CH150" i="3"/>
  <c r="CI150" i="3"/>
  <c r="CD151" i="3"/>
  <c r="CE151" i="3"/>
  <c r="CF151" i="3"/>
  <c r="CG151" i="3"/>
  <c r="CH151" i="3"/>
  <c r="CI151" i="3"/>
  <c r="CD152" i="3"/>
  <c r="CE152" i="3"/>
  <c r="CF152" i="3"/>
  <c r="CG152" i="3"/>
  <c r="CH152" i="3"/>
  <c r="CI152" i="3"/>
  <c r="CD153" i="3"/>
  <c r="CE153" i="3"/>
  <c r="CF153" i="3"/>
  <c r="CG153" i="3"/>
  <c r="CH153" i="3"/>
  <c r="CI153" i="3"/>
  <c r="CD154" i="3"/>
  <c r="CE154" i="3"/>
  <c r="CF154" i="3"/>
  <c r="CG154" i="3"/>
  <c r="CH154" i="3"/>
  <c r="CI154" i="3"/>
  <c r="CD155" i="3"/>
  <c r="CE155" i="3"/>
  <c r="CF155" i="3"/>
  <c r="CG155" i="3"/>
  <c r="CH155" i="3"/>
  <c r="CI155" i="3"/>
  <c r="CD156" i="3"/>
  <c r="CE156" i="3"/>
  <c r="CF156" i="3"/>
  <c r="CG156" i="3"/>
  <c r="CH156" i="3"/>
  <c r="CI156" i="3"/>
  <c r="CD157" i="3"/>
  <c r="CE157" i="3"/>
  <c r="CF157" i="3"/>
  <c r="CG157" i="3"/>
  <c r="CH157" i="3"/>
  <c r="CI157" i="3"/>
  <c r="CD158" i="3"/>
  <c r="CE158" i="3"/>
  <c r="CF158" i="3"/>
  <c r="CG158" i="3"/>
  <c r="CH158" i="3"/>
  <c r="CI158" i="3"/>
  <c r="CD159" i="3"/>
  <c r="CE159" i="3"/>
  <c r="CF159" i="3"/>
  <c r="CG159" i="3"/>
  <c r="CH159" i="3"/>
  <c r="CI159" i="3"/>
  <c r="CD160" i="3"/>
  <c r="CE160" i="3"/>
  <c r="CF160" i="3"/>
  <c r="CG160" i="3"/>
  <c r="CH160" i="3"/>
  <c r="CI160" i="3"/>
  <c r="CD161" i="3"/>
  <c r="CE161" i="3"/>
  <c r="CF161" i="3"/>
  <c r="CG161" i="3"/>
  <c r="CH161" i="3"/>
  <c r="CI161" i="3"/>
  <c r="CD162" i="3"/>
  <c r="CE162" i="3"/>
  <c r="CF162" i="3"/>
  <c r="CG162" i="3"/>
  <c r="CH162" i="3"/>
  <c r="CI162" i="3"/>
  <c r="CD163" i="3"/>
  <c r="CE163" i="3"/>
  <c r="CF163" i="3"/>
  <c r="CG163" i="3"/>
  <c r="CH163" i="3"/>
  <c r="CI163" i="3"/>
  <c r="CD164" i="3"/>
  <c r="CE164" i="3"/>
  <c r="CF164" i="3"/>
  <c r="CG164" i="3"/>
  <c r="CH164" i="3"/>
  <c r="CI164" i="3"/>
  <c r="CD165" i="3"/>
  <c r="CE165" i="3"/>
  <c r="CF165" i="3"/>
  <c r="CG165" i="3"/>
  <c r="CH165" i="3"/>
  <c r="CI165" i="3"/>
  <c r="CD166" i="3"/>
  <c r="CE166" i="3"/>
  <c r="CF166" i="3"/>
  <c r="CG166" i="3"/>
  <c r="CH166" i="3"/>
  <c r="CI166" i="3"/>
  <c r="CD167" i="3"/>
  <c r="CE167" i="3"/>
  <c r="CF167" i="3"/>
  <c r="CG167" i="3"/>
  <c r="CH167" i="3"/>
  <c r="CI167" i="3"/>
  <c r="CD168" i="3"/>
  <c r="CE168" i="3"/>
  <c r="CF168" i="3"/>
  <c r="CG168" i="3"/>
  <c r="CH168" i="3"/>
  <c r="CI168" i="3"/>
  <c r="CD169" i="3"/>
  <c r="CE169" i="3"/>
  <c r="CF169" i="3"/>
  <c r="CG169" i="3"/>
  <c r="CH169" i="3"/>
  <c r="CI169" i="3"/>
  <c r="CD170" i="3"/>
  <c r="CE170" i="3"/>
  <c r="CF170" i="3"/>
  <c r="CG170" i="3"/>
  <c r="CH170" i="3"/>
  <c r="CI170" i="3"/>
  <c r="CD171" i="3"/>
  <c r="CE171" i="3"/>
  <c r="CF171" i="3"/>
  <c r="CG171" i="3"/>
  <c r="CH171" i="3"/>
  <c r="CI171" i="3"/>
  <c r="CD172" i="3"/>
  <c r="CE172" i="3"/>
  <c r="CF172" i="3"/>
  <c r="CG172" i="3"/>
  <c r="CH172" i="3"/>
  <c r="CI172" i="3"/>
  <c r="CD173" i="3"/>
  <c r="CE173" i="3"/>
  <c r="CF173" i="3"/>
  <c r="CG173" i="3"/>
  <c r="CH173" i="3"/>
  <c r="CI173" i="3"/>
  <c r="CD174" i="3"/>
  <c r="CE174" i="3"/>
  <c r="CF174" i="3"/>
  <c r="CG174" i="3"/>
  <c r="CH174" i="3"/>
  <c r="CI174" i="3"/>
  <c r="CE122" i="3"/>
  <c r="CF122" i="3"/>
  <c r="CG122" i="3"/>
  <c r="CH122" i="3"/>
  <c r="CI122" i="3"/>
  <c r="CD122" i="3"/>
  <c r="CH256" i="3" l="1"/>
  <c r="CH254" i="3"/>
  <c r="CF254" i="3"/>
  <c r="CH252" i="3"/>
  <c r="CH255" i="3"/>
  <c r="CF255" i="3"/>
  <c r="CH253" i="3"/>
  <c r="CF253" i="3"/>
  <c r="CH251" i="3"/>
  <c r="CF251" i="3"/>
  <c r="CH247" i="3"/>
  <c r="CG256" i="3"/>
  <c r="CG254" i="3"/>
  <c r="CG252" i="3"/>
  <c r="CG250" i="3"/>
  <c r="CG255" i="3"/>
  <c r="CG253" i="3"/>
  <c r="CG251" i="3"/>
  <c r="CG247" i="3"/>
  <c r="CF252" i="3"/>
  <c r="CH250" i="3"/>
  <c r="CF250" i="3"/>
  <c r="CF247" i="3"/>
  <c r="CI247" i="3" l="1"/>
  <c r="CI251" i="3"/>
  <c r="CI254" i="3"/>
  <c r="CI252" i="3"/>
  <c r="CI253" i="3"/>
  <c r="CI255" i="3"/>
  <c r="CI256" i="3"/>
  <c r="CI250" i="3"/>
  <c r="CC156" i="3"/>
  <c r="CB156" i="3"/>
  <c r="CB273" i="3" s="1"/>
  <c r="CA156" i="3"/>
  <c r="CA273" i="3" s="1"/>
  <c r="BZ156" i="3"/>
  <c r="BY156" i="3"/>
  <c r="BX156" i="3"/>
  <c r="CC171" i="3"/>
  <c r="CB171" i="3"/>
  <c r="CB288" i="3" s="1"/>
  <c r="CA171" i="3"/>
  <c r="CA288" i="3" s="1"/>
  <c r="BZ171" i="3"/>
  <c r="BY171" i="3"/>
  <c r="BX171" i="3"/>
  <c r="CC170" i="3"/>
  <c r="CB170" i="3"/>
  <c r="CB287" i="3" s="1"/>
  <c r="CA170" i="3"/>
  <c r="CA287" i="3" s="1"/>
  <c r="BZ170" i="3"/>
  <c r="BY170" i="3"/>
  <c r="BX170" i="3"/>
  <c r="CC166" i="3"/>
  <c r="CB166" i="3"/>
  <c r="CA166" i="3"/>
  <c r="BZ166" i="3"/>
  <c r="BY166" i="3"/>
  <c r="BX166" i="3"/>
  <c r="CC163" i="3"/>
  <c r="CB163" i="3"/>
  <c r="CA163" i="3"/>
  <c r="BZ163" i="3"/>
  <c r="BY163" i="3"/>
  <c r="BX163" i="3"/>
  <c r="BX140" i="3"/>
  <c r="BY140" i="3"/>
  <c r="BZ140" i="3"/>
  <c r="CA140" i="3"/>
  <c r="CB140" i="3"/>
  <c r="CC140" i="3"/>
  <c r="BX142" i="3"/>
  <c r="BY142" i="3"/>
  <c r="BZ142" i="3"/>
  <c r="CA142" i="3"/>
  <c r="CB142" i="3"/>
  <c r="CC142" i="3"/>
  <c r="BX145" i="3"/>
  <c r="BY145" i="3"/>
  <c r="BZ145" i="3"/>
  <c r="CA145" i="3"/>
  <c r="CB145" i="3"/>
  <c r="CC145" i="3"/>
  <c r="BX147" i="3"/>
  <c r="BY147" i="3"/>
  <c r="BZ147" i="3"/>
  <c r="CA147" i="3"/>
  <c r="CB147" i="3"/>
  <c r="CC147" i="3"/>
  <c r="BX148" i="3"/>
  <c r="BY148" i="3"/>
  <c r="BZ148" i="3"/>
  <c r="CA148" i="3"/>
  <c r="CB148" i="3"/>
  <c r="CC148" i="3"/>
  <c r="BX149" i="3"/>
  <c r="BY149" i="3"/>
  <c r="BZ149" i="3"/>
  <c r="CA149" i="3"/>
  <c r="CB149" i="3"/>
  <c r="CC149" i="3"/>
  <c r="BX155" i="3"/>
  <c r="BY155" i="3"/>
  <c r="BZ155" i="3"/>
  <c r="CA155" i="3"/>
  <c r="CB155" i="3"/>
  <c r="CC155" i="3"/>
  <c r="BX157" i="3"/>
  <c r="BY157" i="3"/>
  <c r="BZ157" i="3"/>
  <c r="CA157" i="3"/>
  <c r="CB157" i="3"/>
  <c r="CC157" i="3"/>
  <c r="BX287" i="3" l="1"/>
  <c r="BX273" i="3"/>
  <c r="BY287" i="3"/>
  <c r="CC288" i="3"/>
  <c r="BY273" i="3"/>
  <c r="AB102" i="7" s="1"/>
  <c r="BX288" i="3"/>
  <c r="BY277" i="3"/>
  <c r="BY280" i="3"/>
  <c r="BY278" i="3"/>
  <c r="CA278" i="3"/>
  <c r="CA277" i="3"/>
  <c r="CA280" i="3"/>
  <c r="CC287" i="3"/>
  <c r="BY288" i="3"/>
  <c r="CC273" i="3"/>
  <c r="BX280" i="3"/>
  <c r="BX278" i="3"/>
  <c r="BX277" i="3"/>
  <c r="CB278" i="3"/>
  <c r="CB280" i="3"/>
  <c r="CB277" i="3"/>
  <c r="CF29" i="4"/>
  <c r="CF28" i="4"/>
  <c r="CF27" i="4"/>
  <c r="CF26" i="4"/>
  <c r="CF25" i="4"/>
  <c r="CF22" i="4"/>
  <c r="BZ288" i="3" l="1"/>
  <c r="AA102" i="7"/>
  <c r="AB106" i="7"/>
  <c r="BZ287" i="3"/>
  <c r="X102" i="7"/>
  <c r="Y102" i="7"/>
  <c r="BZ273" i="3"/>
  <c r="BZ278" i="3"/>
  <c r="CC278" i="3"/>
  <c r="CC280" i="3"/>
  <c r="BZ280" i="3"/>
  <c r="CJ56" i="4"/>
  <c r="S45" i="1" s="1"/>
  <c r="V45" i="1" s="1"/>
  <c r="BZ277" i="3"/>
  <c r="X106" i="7"/>
  <c r="CC277" i="3"/>
  <c r="AA106" i="7"/>
  <c r="Y106" i="7"/>
  <c r="CJ298" i="3"/>
  <c r="CN292" i="3"/>
  <c r="CM292" i="3"/>
  <c r="CK292" i="3"/>
  <c r="CJ292" i="3"/>
  <c r="CJ233" i="3"/>
  <c r="CO116" i="3"/>
  <c r="CN116" i="3"/>
  <c r="CM116" i="3"/>
  <c r="CL116" i="3"/>
  <c r="CK116" i="3"/>
  <c r="CJ116" i="3"/>
  <c r="BB38" i="2"/>
  <c r="H44" i="1" s="1"/>
  <c r="BA36" i="2"/>
  <c r="E44" i="1" s="1"/>
  <c r="BA34" i="2"/>
  <c r="BA31" i="2"/>
  <c r="BB31" i="2"/>
  <c r="BA32" i="2"/>
  <c r="BB32" i="2"/>
  <c r="N45" i="1" l="1"/>
  <c r="Q45" i="1" s="1"/>
  <c r="AI45" i="1" s="1"/>
  <c r="AU45" i="1" s="1"/>
  <c r="AQ360" i="7"/>
  <c r="BA33" i="2"/>
  <c r="AQ45" i="1"/>
  <c r="CJ293" i="3"/>
  <c r="BA40" i="2"/>
  <c r="B44" i="1"/>
  <c r="BB33" i="2"/>
  <c r="AP5" i="7"/>
  <c r="CF256" i="3"/>
  <c r="J65" i="6"/>
  <c r="AR61" i="6" l="1"/>
  <c r="AS45" i="1"/>
  <c r="AQ260" i="7"/>
  <c r="AQ261" i="7"/>
  <c r="AQ202" i="7"/>
  <c r="AQ88" i="7"/>
  <c r="AQ321" i="7" s="1"/>
  <c r="AQ87" i="7"/>
  <c r="AQ86" i="7"/>
  <c r="AG261" i="7"/>
  <c r="AG262" i="7"/>
  <c r="AJ269" i="7"/>
  <c r="AJ273" i="7"/>
  <c r="AJ277" i="7"/>
  <c r="AJ281" i="7"/>
  <c r="AJ285" i="7"/>
  <c r="AJ289" i="7"/>
  <c r="AJ293" i="7"/>
  <c r="AG263" i="7"/>
  <c r="AG267" i="7"/>
  <c r="AG271" i="7"/>
  <c r="AG275" i="7"/>
  <c r="AG279" i="7"/>
  <c r="AG283" i="7"/>
  <c r="AG287" i="7"/>
  <c r="AG291" i="7"/>
  <c r="AG259" i="7"/>
  <c r="AJ226" i="7"/>
  <c r="AJ230" i="7"/>
  <c r="AJ234" i="7"/>
  <c r="AG209" i="7"/>
  <c r="AG224" i="7"/>
  <c r="AG228" i="7"/>
  <c r="AG232" i="7"/>
  <c r="AG236" i="7"/>
  <c r="AG203" i="7"/>
  <c r="AJ156" i="7"/>
  <c r="AJ160" i="7"/>
  <c r="AJ164" i="7"/>
  <c r="AJ168" i="7"/>
  <c r="AJ172" i="7"/>
  <c r="AJ176" i="7"/>
  <c r="AG144" i="7"/>
  <c r="AG148" i="7"/>
  <c r="AG152" i="7"/>
  <c r="AG156" i="7"/>
  <c r="AG160" i="7"/>
  <c r="AG164" i="7"/>
  <c r="AG168" i="7"/>
  <c r="AG172" i="7"/>
  <c r="AG176" i="7"/>
  <c r="AJ270" i="7"/>
  <c r="AJ274" i="7"/>
  <c r="AJ278" i="7"/>
  <c r="AJ282" i="7"/>
  <c r="AJ286" i="7"/>
  <c r="AJ290" i="7"/>
  <c r="AJ294" i="7"/>
  <c r="AG264" i="7"/>
  <c r="AG268" i="7"/>
  <c r="AG272" i="7"/>
  <c r="AG276" i="7"/>
  <c r="AG280" i="7"/>
  <c r="AG284" i="7"/>
  <c r="AG288" i="7"/>
  <c r="AG292" i="7"/>
  <c r="AJ227" i="7"/>
  <c r="AJ231" i="7"/>
  <c r="AJ235" i="7"/>
  <c r="AG213" i="7"/>
  <c r="AG225" i="7"/>
  <c r="AG229" i="7"/>
  <c r="AG233" i="7"/>
  <c r="AG201" i="7"/>
  <c r="AJ153" i="7"/>
  <c r="AJ157" i="7"/>
  <c r="AJ161" i="7"/>
  <c r="AJ165" i="7"/>
  <c r="AJ169" i="7"/>
  <c r="AJ173" i="7"/>
  <c r="AJ177" i="7"/>
  <c r="AG145" i="7"/>
  <c r="AG149" i="7"/>
  <c r="AG153" i="7"/>
  <c r="AG157" i="7"/>
  <c r="AG161" i="7"/>
  <c r="AG165" i="7"/>
  <c r="AG169" i="7"/>
  <c r="AG173" i="7"/>
  <c r="AG177" i="7"/>
  <c r="AJ272" i="7"/>
  <c r="AJ276" i="7"/>
  <c r="AJ280" i="7"/>
  <c r="AJ284" i="7"/>
  <c r="AJ288" i="7"/>
  <c r="AJ292" i="7"/>
  <c r="AG260" i="7"/>
  <c r="AG266" i="7"/>
  <c r="AG270" i="7"/>
  <c r="AG274" i="7"/>
  <c r="AG278" i="7"/>
  <c r="AG282" i="7"/>
  <c r="AG286" i="7"/>
  <c r="AG290" i="7"/>
  <c r="AG294" i="7"/>
  <c r="AJ225" i="7"/>
  <c r="AJ229" i="7"/>
  <c r="AJ233" i="7"/>
  <c r="AG208" i="7"/>
  <c r="AG221" i="7"/>
  <c r="AG227" i="7"/>
  <c r="AG231" i="7"/>
  <c r="AG235" i="7"/>
  <c r="AJ155" i="7"/>
  <c r="AJ159" i="7"/>
  <c r="AJ163" i="7"/>
  <c r="AJ167" i="7"/>
  <c r="AJ171" i="7"/>
  <c r="AJ175" i="7"/>
  <c r="AJ152" i="7"/>
  <c r="AG147" i="7"/>
  <c r="AG151" i="7"/>
  <c r="AG155" i="7"/>
  <c r="AG159" i="7"/>
  <c r="AG163" i="7"/>
  <c r="AG167" i="7"/>
  <c r="AG171" i="7"/>
  <c r="AG175" i="7"/>
  <c r="AG143" i="7"/>
  <c r="AJ271" i="7"/>
  <c r="AJ287" i="7"/>
  <c r="AG269" i="7"/>
  <c r="AG285" i="7"/>
  <c r="AJ236" i="7"/>
  <c r="AG234" i="7"/>
  <c r="AJ158" i="7"/>
  <c r="AJ174" i="7"/>
  <c r="AG154" i="7"/>
  <c r="AG170" i="7"/>
  <c r="AJ98" i="7"/>
  <c r="AJ102" i="7"/>
  <c r="AJ106" i="7"/>
  <c r="AJ110" i="7"/>
  <c r="AJ114" i="7"/>
  <c r="AJ118" i="7"/>
  <c r="AG89" i="7"/>
  <c r="AG93" i="7"/>
  <c r="AG97" i="7"/>
  <c r="AG101" i="7"/>
  <c r="AG105" i="7"/>
  <c r="AG109" i="7"/>
  <c r="AG113" i="7"/>
  <c r="AG117" i="7"/>
  <c r="AG85" i="7"/>
  <c r="AG29" i="7"/>
  <c r="AG33" i="7"/>
  <c r="AG37" i="7"/>
  <c r="AG41" i="7"/>
  <c r="AG45" i="7"/>
  <c r="AG49" i="7"/>
  <c r="AG53" i="7"/>
  <c r="AG57" i="7"/>
  <c r="AG61" i="7"/>
  <c r="AJ36" i="7"/>
  <c r="AJ48" i="7"/>
  <c r="AJ275" i="7"/>
  <c r="AJ291" i="7"/>
  <c r="AG273" i="7"/>
  <c r="AG289" i="7"/>
  <c r="AJ224" i="7"/>
  <c r="AG217" i="7"/>
  <c r="AG202" i="7"/>
  <c r="AJ162" i="7"/>
  <c r="AJ178" i="7"/>
  <c r="AG158" i="7"/>
  <c r="AG174" i="7"/>
  <c r="AJ99" i="7"/>
  <c r="AJ103" i="7"/>
  <c r="AJ107" i="7"/>
  <c r="AJ111" i="7"/>
  <c r="AJ115" i="7"/>
  <c r="AJ119" i="7"/>
  <c r="AG86" i="7"/>
  <c r="AG90" i="7"/>
  <c r="AG94" i="7"/>
  <c r="AG98" i="7"/>
  <c r="AG102" i="7"/>
  <c r="AG106" i="7"/>
  <c r="AG110" i="7"/>
  <c r="AG114" i="7"/>
  <c r="AG118" i="7"/>
  <c r="AG30" i="7"/>
  <c r="AG34" i="7"/>
  <c r="AG38" i="7"/>
  <c r="AG42" i="7"/>
  <c r="AG46" i="7"/>
  <c r="AG50" i="7"/>
  <c r="AG54" i="7"/>
  <c r="AG58" i="7"/>
  <c r="AG26" i="7"/>
  <c r="AJ283" i="7"/>
  <c r="AG265" i="7"/>
  <c r="AG281" i="7"/>
  <c r="AJ232" i="7"/>
  <c r="AG230" i="7"/>
  <c r="AJ154" i="7"/>
  <c r="AJ170" i="7"/>
  <c r="AG150" i="7"/>
  <c r="AG166" i="7"/>
  <c r="AJ96" i="7"/>
  <c r="AJ101" i="7"/>
  <c r="AJ105" i="7"/>
  <c r="AJ109" i="7"/>
  <c r="AJ113" i="7"/>
  <c r="AJ117" i="7"/>
  <c r="AG88" i="7"/>
  <c r="AG92" i="7"/>
  <c r="AG96" i="7"/>
  <c r="AG100" i="7"/>
  <c r="AG104" i="7"/>
  <c r="AG108" i="7"/>
  <c r="AG112" i="7"/>
  <c r="AG116" i="7"/>
  <c r="AG120" i="7"/>
  <c r="AG28" i="7"/>
  <c r="AG32" i="7"/>
  <c r="AG36" i="7"/>
  <c r="AG40" i="7"/>
  <c r="AG44" i="7"/>
  <c r="AG48" i="7"/>
  <c r="AG52" i="7"/>
  <c r="AG56" i="7"/>
  <c r="AG60" i="7"/>
  <c r="AJ47" i="7"/>
  <c r="AJ59" i="7"/>
  <c r="AG47" i="7"/>
  <c r="AJ44" i="7"/>
  <c r="AG277" i="7"/>
  <c r="AG119" i="7"/>
  <c r="AG55" i="7"/>
  <c r="AJ39" i="7"/>
  <c r="AJ268" i="7"/>
  <c r="AJ228" i="7"/>
  <c r="AJ166" i="7"/>
  <c r="AJ104" i="7"/>
  <c r="AJ120" i="7"/>
  <c r="AG115" i="7"/>
  <c r="AG51" i="7"/>
  <c r="AG293" i="7"/>
  <c r="AG162" i="7"/>
  <c r="AJ112" i="7"/>
  <c r="AG91" i="7"/>
  <c r="AG107" i="7"/>
  <c r="AG27" i="7"/>
  <c r="AG43" i="7"/>
  <c r="AG59" i="7"/>
  <c r="AJ53" i="7"/>
  <c r="AJ279" i="7"/>
  <c r="AG178" i="7"/>
  <c r="AJ95" i="7"/>
  <c r="AJ100" i="7"/>
  <c r="AJ116" i="7"/>
  <c r="AG95" i="7"/>
  <c r="AG111" i="7"/>
  <c r="AG31" i="7"/>
  <c r="AJ57" i="7"/>
  <c r="AG99" i="7"/>
  <c r="AG35" i="7"/>
  <c r="AJ46" i="7"/>
  <c r="AG226" i="7"/>
  <c r="AG146" i="7"/>
  <c r="AJ108" i="7"/>
  <c r="AG87" i="7"/>
  <c r="AG103" i="7"/>
  <c r="AG39" i="7"/>
  <c r="AJ60" i="7"/>
  <c r="AJ43" i="7"/>
  <c r="AG204" i="7"/>
  <c r="AJ61" i="7"/>
  <c r="AJ52" i="7"/>
  <c r="AJ38" i="7"/>
  <c r="AJ221" i="7"/>
  <c r="AJ217" i="7"/>
  <c r="AJ213" i="7"/>
  <c r="AG207" i="7"/>
  <c r="AG222" i="7"/>
  <c r="AG214" i="7"/>
  <c r="AG206" i="7"/>
  <c r="AG220" i="7"/>
  <c r="AG211" i="7"/>
  <c r="AJ55" i="7"/>
  <c r="AJ56" i="7"/>
  <c r="AJ45" i="7"/>
  <c r="AJ215" i="7"/>
  <c r="AG205" i="7"/>
  <c r="AG218" i="7"/>
  <c r="AJ37" i="7"/>
  <c r="AJ58" i="7"/>
  <c r="AJ50" i="7"/>
  <c r="AJ220" i="7"/>
  <c r="AJ216" i="7"/>
  <c r="AJ212" i="7"/>
  <c r="AG219" i="7"/>
  <c r="AJ42" i="7"/>
  <c r="AJ97" i="7"/>
  <c r="AJ223" i="7"/>
  <c r="AJ211" i="7"/>
  <c r="AG216" i="7"/>
  <c r="AJ51" i="7"/>
  <c r="AJ49" i="7"/>
  <c r="AJ54" i="7"/>
  <c r="AJ40" i="7"/>
  <c r="AJ41" i="7"/>
  <c r="AJ222" i="7"/>
  <c r="AJ218" i="7"/>
  <c r="AJ214" i="7"/>
  <c r="AJ210" i="7"/>
  <c r="AG212" i="7"/>
  <c r="AG223" i="7"/>
  <c r="AG215" i="7"/>
  <c r="AJ219" i="7"/>
  <c r="AG210" i="7"/>
  <c r="AJ350" i="7" l="1"/>
  <c r="AJ344" i="7"/>
  <c r="AG330" i="7"/>
  <c r="AJ341" i="7"/>
  <c r="AJ349" i="7"/>
  <c r="AG319" i="7"/>
  <c r="AG346" i="7"/>
  <c r="AJ333" i="7"/>
  <c r="AJ345" i="7"/>
  <c r="AG340" i="7"/>
  <c r="AG324" i="7"/>
  <c r="AG349" i="7"/>
  <c r="AG333" i="7"/>
  <c r="AG323" i="7"/>
  <c r="AJ331" i="7"/>
  <c r="AJ339" i="7"/>
  <c r="AJ343" i="7"/>
  <c r="AJ329" i="7"/>
  <c r="AJ330" i="7"/>
  <c r="AJ336" i="7"/>
  <c r="AG336" i="7"/>
  <c r="AG342" i="7"/>
  <c r="AG345" i="7"/>
  <c r="AQ319" i="7"/>
  <c r="AJ332" i="7"/>
  <c r="AJ334" i="7"/>
  <c r="AJ348" i="7"/>
  <c r="AJ352" i="7"/>
  <c r="AG327" i="7"/>
  <c r="AG351" i="7"/>
  <c r="AG343" i="7"/>
  <c r="AG347" i="7"/>
  <c r="AG339" i="7"/>
  <c r="AG348" i="7"/>
  <c r="AG332" i="7"/>
  <c r="AG318" i="7"/>
  <c r="AG338" i="7"/>
  <c r="AG322" i="7"/>
  <c r="AJ328" i="7"/>
  <c r="AG341" i="7"/>
  <c r="AG325" i="7"/>
  <c r="AQ320" i="7"/>
  <c r="AJ337" i="7"/>
  <c r="AJ335" i="7"/>
  <c r="AJ338" i="7"/>
  <c r="AG352" i="7"/>
  <c r="AG320" i="7"/>
  <c r="AG326" i="7"/>
  <c r="AJ340" i="7"/>
  <c r="AG329" i="7"/>
  <c r="AJ346" i="7"/>
  <c r="AJ342" i="7"/>
  <c r="AJ347" i="7"/>
  <c r="AJ353" i="7"/>
  <c r="AG331" i="7"/>
  <c r="AG335" i="7"/>
  <c r="AJ351" i="7"/>
  <c r="AG344" i="7"/>
  <c r="AG328" i="7"/>
  <c r="AG350" i="7"/>
  <c r="AG334" i="7"/>
  <c r="AG353" i="7"/>
  <c r="AG337" i="7"/>
  <c r="AG321" i="7"/>
  <c r="AN260" i="7"/>
  <c r="AN261" i="7"/>
  <c r="AN202" i="7"/>
  <c r="AN88" i="7"/>
  <c r="AN321" i="7" s="1"/>
  <c r="AN87" i="7"/>
  <c r="AN86" i="7"/>
  <c r="CO292" i="3"/>
  <c r="F45" i="6"/>
  <c r="F47" i="6" s="1"/>
  <c r="AL360" i="7" l="1"/>
  <c r="AL358" i="7"/>
  <c r="AN320" i="7"/>
  <c r="AN319" i="7"/>
  <c r="AS358" i="7" s="1"/>
  <c r="AS364" i="7" s="1"/>
  <c r="CJ296" i="3"/>
  <c r="CK300" i="3"/>
  <c r="CP296" i="3"/>
  <c r="AX358" i="7" s="1"/>
  <c r="CL292" i="3"/>
  <c r="AB268" i="7"/>
  <c r="AA268" i="7"/>
  <c r="X268" i="7"/>
  <c r="O45" i="1" l="1"/>
  <c r="AQ362" i="7"/>
  <c r="M45" i="1"/>
  <c r="P45" i="1" s="1"/>
  <c r="AH45" i="1" s="1"/>
  <c r="AQ358" i="7"/>
  <c r="I56" i="6"/>
  <c r="AS31" i="6" s="1"/>
  <c r="R45" i="1"/>
  <c r="CP302" i="3"/>
  <c r="AX364" i="7" s="1"/>
  <c r="M46" i="1"/>
  <c r="P46" i="1" s="1"/>
  <c r="AH46" i="1" s="1"/>
  <c r="CJ302" i="3"/>
  <c r="AQ364" i="7" s="1"/>
  <c r="AP45" i="1"/>
  <c r="BX257" i="3"/>
  <c r="BX265" i="3"/>
  <c r="CB266" i="3"/>
  <c r="CA266" i="3"/>
  <c r="BY266" i="3"/>
  <c r="BX266" i="3"/>
  <c r="CB265" i="3"/>
  <c r="CA265" i="3"/>
  <c r="BY265" i="3"/>
  <c r="AS56" i="6" l="1"/>
  <c r="AS62" i="6" s="1"/>
  <c r="AP46" i="1"/>
  <c r="AB36" i="7"/>
  <c r="Y36" i="7"/>
  <c r="BY259" i="3"/>
  <c r="BX259" i="3"/>
  <c r="CB259" i="3"/>
  <c r="CA259" i="3"/>
  <c r="BY258" i="3"/>
  <c r="BX258" i="3"/>
  <c r="CB258" i="3"/>
  <c r="BY257" i="3"/>
  <c r="CA258" i="3"/>
  <c r="CB257" i="3"/>
  <c r="CA257" i="3"/>
  <c r="AA243" i="7" l="1"/>
  <c r="AB243" i="7"/>
  <c r="AA248" i="7"/>
  <c r="AB248" i="7"/>
  <c r="AA249" i="7"/>
  <c r="AB249" i="7"/>
  <c r="AA250" i="7"/>
  <c r="AB250" i="7"/>
  <c r="AA251" i="7"/>
  <c r="AB251" i="7"/>
  <c r="AA252" i="7"/>
  <c r="AB252" i="7"/>
  <c r="AA253" i="7"/>
  <c r="AB253" i="7"/>
  <c r="AA254" i="7"/>
  <c r="AB254" i="7"/>
  <c r="AA255" i="7"/>
  <c r="AB255" i="7"/>
  <c r="AA256" i="7"/>
  <c r="AB256" i="7"/>
  <c r="AA257" i="7"/>
  <c r="AB257" i="7"/>
  <c r="AA258" i="7"/>
  <c r="AB258" i="7"/>
  <c r="AA259" i="7"/>
  <c r="AB259" i="7"/>
  <c r="AA260" i="7"/>
  <c r="AB260" i="7"/>
  <c r="AA263" i="7"/>
  <c r="AB263" i="7"/>
  <c r="AA264" i="7"/>
  <c r="AB264" i="7"/>
  <c r="AA265" i="7"/>
  <c r="AB265" i="7"/>
  <c r="AA266" i="7"/>
  <c r="AB266" i="7"/>
  <c r="AA267" i="7"/>
  <c r="AB267" i="7"/>
  <c r="AA269" i="7"/>
  <c r="AB269" i="7"/>
  <c r="AA270" i="7"/>
  <c r="AB270" i="7"/>
  <c r="AA271" i="7"/>
  <c r="AB271" i="7"/>
  <c r="AA272" i="7"/>
  <c r="AB272" i="7"/>
  <c r="AA273" i="7"/>
  <c r="AB273" i="7"/>
  <c r="AA274" i="7"/>
  <c r="AB274" i="7"/>
  <c r="AA275" i="7"/>
  <c r="AB275" i="7"/>
  <c r="AA276" i="7"/>
  <c r="AB276" i="7"/>
  <c r="AA277" i="7"/>
  <c r="AB277" i="7"/>
  <c r="AA278" i="7"/>
  <c r="AB278" i="7"/>
  <c r="AA279" i="7"/>
  <c r="AB279" i="7"/>
  <c r="AA280" i="7"/>
  <c r="AB280" i="7"/>
  <c r="AA281" i="7"/>
  <c r="AB281" i="7"/>
  <c r="AA282" i="7"/>
  <c r="AB282" i="7"/>
  <c r="AA283" i="7"/>
  <c r="AB283" i="7"/>
  <c r="AA284" i="7"/>
  <c r="AB284" i="7"/>
  <c r="AA285" i="7"/>
  <c r="AB285" i="7"/>
  <c r="AA286" i="7"/>
  <c r="AB286" i="7"/>
  <c r="AA287" i="7"/>
  <c r="AB287" i="7"/>
  <c r="AA288" i="7"/>
  <c r="AB288" i="7"/>
  <c r="AA289" i="7"/>
  <c r="AB289" i="7"/>
  <c r="AA290" i="7"/>
  <c r="AB290" i="7"/>
  <c r="AA291" i="7"/>
  <c r="AB291" i="7"/>
  <c r="AA292" i="7"/>
  <c r="AB292" i="7"/>
  <c r="AA293" i="7"/>
  <c r="AB293" i="7"/>
  <c r="AA294" i="7"/>
  <c r="AB294" i="7"/>
  <c r="AB242" i="7"/>
  <c r="AA242" i="7"/>
  <c r="X243" i="7"/>
  <c r="Y243" i="7"/>
  <c r="X248" i="7"/>
  <c r="Y248" i="7"/>
  <c r="X249" i="7"/>
  <c r="Y249" i="7"/>
  <c r="X250" i="7"/>
  <c r="Y250" i="7"/>
  <c r="X251" i="7"/>
  <c r="Y251" i="7"/>
  <c r="X252" i="7"/>
  <c r="Y252" i="7"/>
  <c r="X253" i="7"/>
  <c r="Y253" i="7"/>
  <c r="X254" i="7"/>
  <c r="Y254" i="7"/>
  <c r="X255" i="7"/>
  <c r="Y255" i="7"/>
  <c r="X256" i="7"/>
  <c r="Y256" i="7"/>
  <c r="X257" i="7"/>
  <c r="Y257" i="7"/>
  <c r="X258" i="7"/>
  <c r="Y258" i="7"/>
  <c r="X259" i="7"/>
  <c r="Z259" i="7" s="1"/>
  <c r="Y259" i="7"/>
  <c r="X260" i="7"/>
  <c r="Z260" i="7" s="1"/>
  <c r="Y260" i="7"/>
  <c r="Z261" i="7"/>
  <c r="Z262" i="7"/>
  <c r="X263" i="7"/>
  <c r="Z263" i="7" s="1"/>
  <c r="Y263" i="7"/>
  <c r="X264" i="7"/>
  <c r="Z264" i="7" s="1"/>
  <c r="Y264" i="7"/>
  <c r="X265" i="7"/>
  <c r="Z265" i="7" s="1"/>
  <c r="Y265" i="7"/>
  <c r="X266" i="7"/>
  <c r="Z266" i="7" s="1"/>
  <c r="Y266" i="7"/>
  <c r="X267" i="7"/>
  <c r="Z267" i="7" s="1"/>
  <c r="Y267" i="7"/>
  <c r="X269" i="7"/>
  <c r="Z269" i="7" s="1"/>
  <c r="Y269" i="7"/>
  <c r="X270" i="7"/>
  <c r="Z270" i="7" s="1"/>
  <c r="Y270" i="7"/>
  <c r="X271" i="7"/>
  <c r="Z271" i="7" s="1"/>
  <c r="Y271" i="7"/>
  <c r="X272" i="7"/>
  <c r="Z272" i="7" s="1"/>
  <c r="Y272" i="7"/>
  <c r="X273" i="7"/>
  <c r="Y273" i="7"/>
  <c r="X274" i="7"/>
  <c r="Z274" i="7" s="1"/>
  <c r="Y274" i="7"/>
  <c r="X275" i="7"/>
  <c r="Z275" i="7" s="1"/>
  <c r="Y275" i="7"/>
  <c r="X276" i="7"/>
  <c r="Z276" i="7" s="1"/>
  <c r="Y276" i="7"/>
  <c r="X277" i="7"/>
  <c r="Z277" i="7" s="1"/>
  <c r="Y277" i="7"/>
  <c r="X278" i="7"/>
  <c r="Z278" i="7" s="1"/>
  <c r="Y278" i="7"/>
  <c r="X279" i="7"/>
  <c r="Z279" i="7" s="1"/>
  <c r="Y279" i="7"/>
  <c r="X280" i="7"/>
  <c r="Z280" i="7" s="1"/>
  <c r="Y280" i="7"/>
  <c r="X281" i="7"/>
  <c r="Z281" i="7" s="1"/>
  <c r="Y281" i="7"/>
  <c r="X282" i="7"/>
  <c r="Z282" i="7" s="1"/>
  <c r="Y282" i="7"/>
  <c r="X283" i="7"/>
  <c r="Y283" i="7"/>
  <c r="X284" i="7"/>
  <c r="Z284" i="7" s="1"/>
  <c r="Y284" i="7"/>
  <c r="X285" i="7"/>
  <c r="Z285" i="7" s="1"/>
  <c r="Y285" i="7"/>
  <c r="X286" i="7"/>
  <c r="Z286" i="7" s="1"/>
  <c r="Y286" i="7"/>
  <c r="X287" i="7"/>
  <c r="Z287" i="7" s="1"/>
  <c r="Y287" i="7"/>
  <c r="X288" i="7"/>
  <c r="Z288" i="7" s="1"/>
  <c r="Y288" i="7"/>
  <c r="X289" i="7"/>
  <c r="Y289" i="7"/>
  <c r="X290" i="7"/>
  <c r="Z290" i="7" s="1"/>
  <c r="Y290" i="7"/>
  <c r="X291" i="7"/>
  <c r="Z291" i="7" s="1"/>
  <c r="Y291" i="7"/>
  <c r="X292" i="7"/>
  <c r="Z292" i="7" s="1"/>
  <c r="Y292" i="7"/>
  <c r="X293" i="7"/>
  <c r="Z293" i="7" s="1"/>
  <c r="Y293" i="7"/>
  <c r="X294" i="7"/>
  <c r="Z294" i="7" s="1"/>
  <c r="Y294" i="7"/>
  <c r="Z268" i="7"/>
  <c r="Y242" i="7"/>
  <c r="X242" i="7"/>
  <c r="AA185" i="7"/>
  <c r="AB185" i="7"/>
  <c r="AA186" i="7"/>
  <c r="AB186" i="7"/>
  <c r="AA187" i="7"/>
  <c r="AB187" i="7"/>
  <c r="AA188" i="7"/>
  <c r="AB188" i="7"/>
  <c r="AA189" i="7"/>
  <c r="AB189" i="7"/>
  <c r="AA190" i="7"/>
  <c r="AB190" i="7"/>
  <c r="AA191" i="7"/>
  <c r="AB191" i="7"/>
  <c r="AA192" i="7"/>
  <c r="AB192" i="7"/>
  <c r="AA193" i="7"/>
  <c r="AB193" i="7"/>
  <c r="AA194" i="7"/>
  <c r="AB194" i="7"/>
  <c r="AA195" i="7"/>
  <c r="AB195" i="7"/>
  <c r="AA196" i="7"/>
  <c r="AB196" i="7"/>
  <c r="AA197" i="7"/>
  <c r="AB197" i="7"/>
  <c r="AA198" i="7"/>
  <c r="AB198" i="7"/>
  <c r="AA199" i="7"/>
  <c r="AB199" i="7"/>
  <c r="AA200" i="7"/>
  <c r="AB200" i="7"/>
  <c r="AA201" i="7"/>
  <c r="AB201" i="7"/>
  <c r="AA204" i="7"/>
  <c r="AB204" i="7"/>
  <c r="AA205" i="7"/>
  <c r="AB205" i="7"/>
  <c r="AA206" i="7"/>
  <c r="AB206" i="7"/>
  <c r="AA207" i="7"/>
  <c r="AB207" i="7"/>
  <c r="AA208" i="7"/>
  <c r="AB208" i="7"/>
  <c r="AA209" i="7"/>
  <c r="AB209" i="7"/>
  <c r="AA211" i="7"/>
  <c r="AB211" i="7"/>
  <c r="AA212" i="7"/>
  <c r="AB212" i="7"/>
  <c r="AA213" i="7"/>
  <c r="AB213" i="7"/>
  <c r="AA214" i="7"/>
  <c r="AB214" i="7"/>
  <c r="AA215" i="7"/>
  <c r="AB215" i="7"/>
  <c r="AA216" i="7"/>
  <c r="AB216" i="7"/>
  <c r="AA217" i="7"/>
  <c r="AB217" i="7"/>
  <c r="AA218" i="7"/>
  <c r="AB218" i="7"/>
  <c r="AA220" i="7"/>
  <c r="AB220" i="7"/>
  <c r="AA221" i="7"/>
  <c r="AB221" i="7"/>
  <c r="AA222" i="7"/>
  <c r="AB222" i="7"/>
  <c r="AA223" i="7"/>
  <c r="AB223" i="7"/>
  <c r="AA224" i="7"/>
  <c r="AB224" i="7"/>
  <c r="AA225" i="7"/>
  <c r="AB225" i="7"/>
  <c r="AA226" i="7"/>
  <c r="AB226" i="7"/>
  <c r="AA227" i="7"/>
  <c r="AB227" i="7"/>
  <c r="AA228" i="7"/>
  <c r="AB228" i="7"/>
  <c r="AA229" i="7"/>
  <c r="AB229" i="7"/>
  <c r="AA230" i="7"/>
  <c r="AB230" i="7"/>
  <c r="AA231" i="7"/>
  <c r="AB231" i="7"/>
  <c r="AA232" i="7"/>
  <c r="AB232" i="7"/>
  <c r="AA233" i="7"/>
  <c r="AB233" i="7"/>
  <c r="AA234" i="7"/>
  <c r="AB234" i="7"/>
  <c r="AA235" i="7"/>
  <c r="AB235" i="7"/>
  <c r="AA236" i="7"/>
  <c r="AB236" i="7"/>
  <c r="AB184" i="7"/>
  <c r="AA184" i="7"/>
  <c r="X185" i="7"/>
  <c r="Y185" i="7"/>
  <c r="X186" i="7"/>
  <c r="Y186" i="7"/>
  <c r="X187" i="7"/>
  <c r="Y187" i="7"/>
  <c r="X188" i="7"/>
  <c r="Y188" i="7"/>
  <c r="X189" i="7"/>
  <c r="Y189" i="7"/>
  <c r="X190" i="7"/>
  <c r="Y190" i="7"/>
  <c r="X191" i="7"/>
  <c r="Y191" i="7"/>
  <c r="X192" i="7"/>
  <c r="Y192" i="7"/>
  <c r="X193" i="7"/>
  <c r="Y193" i="7"/>
  <c r="X194" i="7"/>
  <c r="Y194" i="7"/>
  <c r="X195" i="7"/>
  <c r="Y195" i="7"/>
  <c r="X196" i="7"/>
  <c r="Y196" i="7"/>
  <c r="X197" i="7"/>
  <c r="Y197" i="7"/>
  <c r="X198" i="7"/>
  <c r="Y198" i="7"/>
  <c r="X199" i="7"/>
  <c r="Y199" i="7"/>
  <c r="X200" i="7"/>
  <c r="Y200" i="7"/>
  <c r="X201" i="7"/>
  <c r="Y201" i="7"/>
  <c r="X204" i="7"/>
  <c r="Y204" i="7"/>
  <c r="X205" i="7"/>
  <c r="Y205" i="7"/>
  <c r="X206" i="7"/>
  <c r="Y206" i="7"/>
  <c r="X207" i="7"/>
  <c r="Y207" i="7"/>
  <c r="X208" i="7"/>
  <c r="Y208" i="7"/>
  <c r="X209" i="7"/>
  <c r="Y209" i="7"/>
  <c r="X211" i="7"/>
  <c r="Y211" i="7"/>
  <c r="X212" i="7"/>
  <c r="Y212" i="7"/>
  <c r="X213" i="7"/>
  <c r="Y213" i="7"/>
  <c r="X214" i="7"/>
  <c r="Y214" i="7"/>
  <c r="X215" i="7"/>
  <c r="Y215" i="7"/>
  <c r="X216" i="7"/>
  <c r="Y216" i="7"/>
  <c r="X217" i="7"/>
  <c r="Y217" i="7"/>
  <c r="X218" i="7"/>
  <c r="Y218" i="7"/>
  <c r="X220" i="7"/>
  <c r="Y220" i="7"/>
  <c r="X221" i="7"/>
  <c r="Y221" i="7"/>
  <c r="X222" i="7"/>
  <c r="Y222" i="7"/>
  <c r="X223" i="7"/>
  <c r="Y223" i="7"/>
  <c r="X224" i="7"/>
  <c r="Y224" i="7"/>
  <c r="X225" i="7"/>
  <c r="Y225" i="7"/>
  <c r="X226" i="7"/>
  <c r="Y226" i="7"/>
  <c r="X227" i="7"/>
  <c r="Y227" i="7"/>
  <c r="X228" i="7"/>
  <c r="Y228" i="7"/>
  <c r="X229" i="7"/>
  <c r="Y229" i="7"/>
  <c r="X230" i="7"/>
  <c r="Y230" i="7"/>
  <c r="X231" i="7"/>
  <c r="Y231" i="7"/>
  <c r="X232" i="7"/>
  <c r="Y232" i="7"/>
  <c r="X233" i="7"/>
  <c r="Y233" i="7"/>
  <c r="X234" i="7"/>
  <c r="Y234" i="7"/>
  <c r="X235" i="7"/>
  <c r="Y235" i="7"/>
  <c r="X236" i="7"/>
  <c r="Y236" i="7"/>
  <c r="Y184" i="7"/>
  <c r="X184" i="7"/>
  <c r="AA127" i="7"/>
  <c r="AB127" i="7"/>
  <c r="AA128" i="7"/>
  <c r="AB128" i="7"/>
  <c r="AA129" i="7"/>
  <c r="AB129" i="7"/>
  <c r="AA130" i="7"/>
  <c r="AB130" i="7"/>
  <c r="AA131" i="7"/>
  <c r="AB131" i="7"/>
  <c r="AA132" i="7"/>
  <c r="AB132" i="7"/>
  <c r="AA133" i="7"/>
  <c r="AB133" i="7"/>
  <c r="AA134" i="7"/>
  <c r="AB134" i="7"/>
  <c r="AA135" i="7"/>
  <c r="AB135" i="7"/>
  <c r="AA136" i="7"/>
  <c r="AB136" i="7"/>
  <c r="AA137" i="7"/>
  <c r="AB137" i="7"/>
  <c r="AA138" i="7"/>
  <c r="AB138" i="7"/>
  <c r="AA139" i="7"/>
  <c r="AB139" i="7"/>
  <c r="AA140" i="7"/>
  <c r="AB140" i="7"/>
  <c r="AA141" i="7"/>
  <c r="AB141" i="7"/>
  <c r="AA142" i="7"/>
  <c r="AB142" i="7"/>
  <c r="AA143" i="7"/>
  <c r="AB143" i="7"/>
  <c r="AA144" i="7"/>
  <c r="AA319" i="7" s="1"/>
  <c r="AB144" i="7"/>
  <c r="AB319" i="7" s="1"/>
  <c r="AA145" i="7"/>
  <c r="AA320" i="7" s="1"/>
  <c r="AB145" i="7"/>
  <c r="AB320" i="7" s="1"/>
  <c r="AA146" i="7"/>
  <c r="AB146" i="7"/>
  <c r="AA147" i="7"/>
  <c r="AB147" i="7"/>
  <c r="AA148" i="7"/>
  <c r="AB148" i="7"/>
  <c r="AA149" i="7"/>
  <c r="AB149" i="7"/>
  <c r="AA150" i="7"/>
  <c r="AB150" i="7"/>
  <c r="AA151" i="7"/>
  <c r="AB151" i="7"/>
  <c r="AA152" i="7"/>
  <c r="AA327" i="7" s="1"/>
  <c r="AB152" i="7"/>
  <c r="AB327" i="7" s="1"/>
  <c r="AA153" i="7"/>
  <c r="AB153" i="7"/>
  <c r="AA154" i="7"/>
  <c r="AB154" i="7"/>
  <c r="AA155" i="7"/>
  <c r="AB155" i="7"/>
  <c r="AA156" i="7"/>
  <c r="AB156" i="7"/>
  <c r="AA157" i="7"/>
  <c r="AB157" i="7"/>
  <c r="AA158" i="7"/>
  <c r="AB158" i="7"/>
  <c r="AA159" i="7"/>
  <c r="AB159" i="7"/>
  <c r="AA160" i="7"/>
  <c r="AB160" i="7"/>
  <c r="AA161" i="7"/>
  <c r="AB161" i="7"/>
  <c r="AA162" i="7"/>
  <c r="AB162" i="7"/>
  <c r="AA163" i="7"/>
  <c r="AB163" i="7"/>
  <c r="AA164" i="7"/>
  <c r="AB164" i="7"/>
  <c r="AA165" i="7"/>
  <c r="AB165" i="7"/>
  <c r="AA166" i="7"/>
  <c r="AB166" i="7"/>
  <c r="AA167" i="7"/>
  <c r="AB167" i="7"/>
  <c r="AA168" i="7"/>
  <c r="AB168" i="7"/>
  <c r="AA169" i="7"/>
  <c r="AB169" i="7"/>
  <c r="AA170" i="7"/>
  <c r="AB170" i="7"/>
  <c r="AA171" i="7"/>
  <c r="AB171" i="7"/>
  <c r="AA172" i="7"/>
  <c r="AB172" i="7"/>
  <c r="AA173" i="7"/>
  <c r="AB173" i="7"/>
  <c r="AA174" i="7"/>
  <c r="AB174" i="7"/>
  <c r="AA175" i="7"/>
  <c r="AB175" i="7"/>
  <c r="AA176" i="7"/>
  <c r="AB176" i="7"/>
  <c r="AA177" i="7"/>
  <c r="AB177" i="7"/>
  <c r="AA178" i="7"/>
  <c r="AB178" i="7"/>
  <c r="AB126" i="7"/>
  <c r="AA126" i="7"/>
  <c r="X127" i="7"/>
  <c r="Y127" i="7"/>
  <c r="X128" i="7"/>
  <c r="Y128" i="7"/>
  <c r="X129" i="7"/>
  <c r="Y129" i="7"/>
  <c r="X130" i="7"/>
  <c r="Y130" i="7"/>
  <c r="X131" i="7"/>
  <c r="Y131" i="7"/>
  <c r="X132" i="7"/>
  <c r="Y132" i="7"/>
  <c r="X133" i="7"/>
  <c r="Y133" i="7"/>
  <c r="X134" i="7"/>
  <c r="Y134" i="7"/>
  <c r="X135" i="7"/>
  <c r="Y135" i="7"/>
  <c r="X136" i="7"/>
  <c r="Y136" i="7"/>
  <c r="X137" i="7"/>
  <c r="Y137" i="7"/>
  <c r="X138" i="7"/>
  <c r="Y138" i="7"/>
  <c r="X139" i="7"/>
  <c r="Y139" i="7"/>
  <c r="X140" i="7"/>
  <c r="Y140" i="7"/>
  <c r="X141" i="7"/>
  <c r="Y141" i="7"/>
  <c r="X142" i="7"/>
  <c r="Y142" i="7"/>
  <c r="X143" i="7"/>
  <c r="Y143" i="7"/>
  <c r="X144" i="7"/>
  <c r="Y144" i="7"/>
  <c r="X145" i="7"/>
  <c r="X320" i="7" s="1"/>
  <c r="Y145" i="7"/>
  <c r="Y320" i="7" s="1"/>
  <c r="X146" i="7"/>
  <c r="X321" i="7" s="1"/>
  <c r="Y146" i="7"/>
  <c r="Y321" i="7" s="1"/>
  <c r="X147" i="7"/>
  <c r="Y147" i="7"/>
  <c r="X148" i="7"/>
  <c r="Y148" i="7"/>
  <c r="X149" i="7"/>
  <c r="Y149" i="7"/>
  <c r="X150" i="7"/>
  <c r="Y150" i="7"/>
  <c r="X151" i="7"/>
  <c r="Y151" i="7"/>
  <c r="X152" i="7"/>
  <c r="X327" i="7" s="1"/>
  <c r="Y152" i="7"/>
  <c r="Y327" i="7" s="1"/>
  <c r="X153" i="7"/>
  <c r="Y153" i="7"/>
  <c r="X154" i="7"/>
  <c r="Y154" i="7"/>
  <c r="X155" i="7"/>
  <c r="Y155" i="7"/>
  <c r="X156" i="7"/>
  <c r="Y156" i="7"/>
  <c r="X157" i="7"/>
  <c r="Y157" i="7"/>
  <c r="X158" i="7"/>
  <c r="Y158" i="7"/>
  <c r="X159" i="7"/>
  <c r="Y159" i="7"/>
  <c r="X160" i="7"/>
  <c r="Y160" i="7"/>
  <c r="X161" i="7"/>
  <c r="Y161" i="7"/>
  <c r="X162" i="7"/>
  <c r="Y162" i="7"/>
  <c r="X163" i="7"/>
  <c r="Y163" i="7"/>
  <c r="X164" i="7"/>
  <c r="Y164" i="7"/>
  <c r="X165" i="7"/>
  <c r="Y165" i="7"/>
  <c r="X166" i="7"/>
  <c r="Y166" i="7"/>
  <c r="X167" i="7"/>
  <c r="Y167" i="7"/>
  <c r="X168" i="7"/>
  <c r="Y168" i="7"/>
  <c r="X169" i="7"/>
  <c r="Y169" i="7"/>
  <c r="X170" i="7"/>
  <c r="Y170" i="7"/>
  <c r="X171" i="7"/>
  <c r="Y171" i="7"/>
  <c r="X172" i="7"/>
  <c r="Y172" i="7"/>
  <c r="X173" i="7"/>
  <c r="Y173" i="7"/>
  <c r="X174" i="7"/>
  <c r="Y174" i="7"/>
  <c r="X175" i="7"/>
  <c r="Y175" i="7"/>
  <c r="X176" i="7"/>
  <c r="Y176" i="7"/>
  <c r="X177" i="7"/>
  <c r="Y177" i="7"/>
  <c r="X178" i="7"/>
  <c r="Y178" i="7"/>
  <c r="Y126" i="7"/>
  <c r="X126" i="7"/>
  <c r="AA69" i="7"/>
  <c r="AA302" i="7" s="1"/>
  <c r="AB69" i="7"/>
  <c r="AB302" i="7" s="1"/>
  <c r="AA70" i="7"/>
  <c r="AB70" i="7"/>
  <c r="AA71" i="7"/>
  <c r="AB71" i="7"/>
  <c r="AA72" i="7"/>
  <c r="AB72" i="7"/>
  <c r="AA73" i="7"/>
  <c r="AB73" i="7"/>
  <c r="AA74" i="7"/>
  <c r="AA307" i="7" s="1"/>
  <c r="AB74" i="7"/>
  <c r="AA75" i="7"/>
  <c r="AA308" i="7" s="1"/>
  <c r="AB75" i="7"/>
  <c r="AA76" i="7"/>
  <c r="AA309" i="7" s="1"/>
  <c r="AB76" i="7"/>
  <c r="AA77" i="7"/>
  <c r="AA310" i="7" s="1"/>
  <c r="AB77" i="7"/>
  <c r="AB310" i="7" s="1"/>
  <c r="AA78" i="7"/>
  <c r="AB78" i="7"/>
  <c r="AA79" i="7"/>
  <c r="AB79" i="7"/>
  <c r="AB312" i="7" s="1"/>
  <c r="AA80" i="7"/>
  <c r="AA313" i="7" s="1"/>
  <c r="AB80" i="7"/>
  <c r="AA81" i="7"/>
  <c r="AB81" i="7"/>
  <c r="AB314" i="7" s="1"/>
  <c r="AA82" i="7"/>
  <c r="AA315" i="7" s="1"/>
  <c r="AB82" i="7"/>
  <c r="AB315" i="7" s="1"/>
  <c r="AA83" i="7"/>
  <c r="AA316" i="7" s="1"/>
  <c r="AB83" i="7"/>
  <c r="AA84" i="7"/>
  <c r="AB84" i="7"/>
  <c r="AA85" i="7"/>
  <c r="AA318" i="7" s="1"/>
  <c r="AB85" i="7"/>
  <c r="AB318" i="7" s="1"/>
  <c r="AA89" i="7"/>
  <c r="AB89" i="7"/>
  <c r="AA90" i="7"/>
  <c r="AB90" i="7"/>
  <c r="AA91" i="7"/>
  <c r="AB91" i="7"/>
  <c r="AA92" i="7"/>
  <c r="AB92" i="7"/>
  <c r="AA93" i="7"/>
  <c r="AB93" i="7"/>
  <c r="AA96" i="7"/>
  <c r="AB96" i="7"/>
  <c r="AA97" i="7"/>
  <c r="AB97" i="7"/>
  <c r="AA98" i="7"/>
  <c r="AB98" i="7"/>
  <c r="AA99" i="7"/>
  <c r="AB99" i="7"/>
  <c r="AA100" i="7"/>
  <c r="AB100" i="7"/>
  <c r="AA101" i="7"/>
  <c r="AB101" i="7"/>
  <c r="AA111" i="7"/>
  <c r="AB111" i="7"/>
  <c r="AA112" i="7"/>
  <c r="AB112" i="7"/>
  <c r="AA113" i="7"/>
  <c r="AB113" i="7"/>
  <c r="AA114" i="7"/>
  <c r="AA347" i="7" s="1"/>
  <c r="AB114" i="7"/>
  <c r="AA115" i="7"/>
  <c r="AB115" i="7"/>
  <c r="AA116" i="7"/>
  <c r="AB116" i="7"/>
  <c r="AA117" i="7"/>
  <c r="AB117" i="7"/>
  <c r="AA118" i="7"/>
  <c r="AB118" i="7"/>
  <c r="AA119" i="7"/>
  <c r="AB119" i="7"/>
  <c r="AA120" i="7"/>
  <c r="AB120" i="7"/>
  <c r="AB68" i="7"/>
  <c r="AA68" i="7"/>
  <c r="X69" i="7"/>
  <c r="Y69" i="7"/>
  <c r="X70" i="7"/>
  <c r="Y70" i="7"/>
  <c r="X71" i="7"/>
  <c r="Y71" i="7"/>
  <c r="X72" i="7"/>
  <c r="Y72" i="7"/>
  <c r="X73" i="7"/>
  <c r="Y73" i="7"/>
  <c r="X74" i="7"/>
  <c r="Y74" i="7"/>
  <c r="X75" i="7"/>
  <c r="Y75" i="7"/>
  <c r="X76" i="7"/>
  <c r="Y76" i="7"/>
  <c r="X77" i="7"/>
  <c r="X310" i="7" s="1"/>
  <c r="Y77" i="7"/>
  <c r="X78" i="7"/>
  <c r="Y78" i="7"/>
  <c r="X79" i="7"/>
  <c r="X312" i="7" s="1"/>
  <c r="Y79" i="7"/>
  <c r="X80" i="7"/>
  <c r="Y80" i="7"/>
  <c r="X81" i="7"/>
  <c r="X314" i="7" s="1"/>
  <c r="Y81" i="7"/>
  <c r="X82" i="7"/>
  <c r="Y82" i="7"/>
  <c r="X83" i="7"/>
  <c r="Y83" i="7"/>
  <c r="X84" i="7"/>
  <c r="Y84" i="7"/>
  <c r="X85" i="7"/>
  <c r="X318" i="7" s="1"/>
  <c r="Y85" i="7"/>
  <c r="X89" i="7"/>
  <c r="Y89" i="7"/>
  <c r="X90" i="7"/>
  <c r="Y90" i="7"/>
  <c r="X91" i="7"/>
  <c r="Y91" i="7"/>
  <c r="X92" i="7"/>
  <c r="Y92" i="7"/>
  <c r="X93" i="7"/>
  <c r="Y93" i="7"/>
  <c r="X96" i="7"/>
  <c r="Y96" i="7"/>
  <c r="X97" i="7"/>
  <c r="Y97" i="7"/>
  <c r="X98" i="7"/>
  <c r="Y98" i="7"/>
  <c r="X99" i="7"/>
  <c r="Y99" i="7"/>
  <c r="X100" i="7"/>
  <c r="Y100" i="7"/>
  <c r="X101" i="7"/>
  <c r="Y101" i="7"/>
  <c r="X111" i="7"/>
  <c r="Y111" i="7"/>
  <c r="X112" i="7"/>
  <c r="Y112" i="7"/>
  <c r="X113" i="7"/>
  <c r="Y113" i="7"/>
  <c r="X114" i="7"/>
  <c r="Y114" i="7"/>
  <c r="X115" i="7"/>
  <c r="Y115" i="7"/>
  <c r="X116" i="7"/>
  <c r="Y116" i="7"/>
  <c r="X117" i="7"/>
  <c r="Y117" i="7"/>
  <c r="X118" i="7"/>
  <c r="Y118" i="7"/>
  <c r="X119" i="7"/>
  <c r="Y119" i="7"/>
  <c r="X120" i="7"/>
  <c r="Y120" i="7"/>
  <c r="Y68" i="7"/>
  <c r="X68" i="7"/>
  <c r="Z289" i="7"/>
  <c r="Z283" i="7"/>
  <c r="Z273" i="7"/>
  <c r="BR158" i="3"/>
  <c r="BR160" i="3"/>
  <c r="BT160" i="3"/>
  <c r="BT158" i="3"/>
  <c r="BU157" i="3"/>
  <c r="BV157" i="3"/>
  <c r="BW157" i="3"/>
  <c r="CB274" i="3"/>
  <c r="CA274" i="3"/>
  <c r="BY274" i="3"/>
  <c r="CB264" i="3"/>
  <c r="CA264" i="3"/>
  <c r="BY264" i="3"/>
  <c r="BR172" i="3"/>
  <c r="BS172" i="3"/>
  <c r="BT172" i="3"/>
  <c r="BU172" i="3"/>
  <c r="BV172" i="3"/>
  <c r="BW172" i="3"/>
  <c r="BR173" i="3"/>
  <c r="BS173" i="3"/>
  <c r="BT173" i="3"/>
  <c r="BU173" i="3"/>
  <c r="BV173" i="3"/>
  <c r="BW173" i="3"/>
  <c r="BR174" i="3"/>
  <c r="BS174" i="3"/>
  <c r="BT174" i="3"/>
  <c r="BU174" i="3"/>
  <c r="BU291" i="3" s="1"/>
  <c r="BV174" i="3"/>
  <c r="BV291" i="3" s="1"/>
  <c r="BW174" i="3"/>
  <c r="BW171" i="3"/>
  <c r="BV171" i="3"/>
  <c r="BV288" i="3" s="1"/>
  <c r="BU171" i="3"/>
  <c r="BU288" i="3" s="1"/>
  <c r="BT171" i="3"/>
  <c r="BS171" i="3"/>
  <c r="BR171" i="3"/>
  <c r="BX125" i="3"/>
  <c r="BY125" i="3"/>
  <c r="BZ125" i="3"/>
  <c r="CA125" i="3"/>
  <c r="CB125" i="3"/>
  <c r="CC125" i="3"/>
  <c r="BX126" i="3"/>
  <c r="BY126" i="3"/>
  <c r="BZ126" i="3"/>
  <c r="CA126" i="3"/>
  <c r="CB126" i="3"/>
  <c r="CC126" i="3"/>
  <c r="CC124" i="3"/>
  <c r="CB124" i="3"/>
  <c r="CA124" i="3"/>
  <c r="BZ124" i="3"/>
  <c r="BY124" i="3"/>
  <c r="BX124" i="3"/>
  <c r="AB307" i="7" l="1"/>
  <c r="X301" i="7"/>
  <c r="X302" i="7"/>
  <c r="AA349" i="7"/>
  <c r="AA317" i="7"/>
  <c r="AA311" i="7"/>
  <c r="AA351" i="7"/>
  <c r="AA321" i="7"/>
  <c r="AA345" i="7"/>
  <c r="X308" i="7"/>
  <c r="Y301" i="7"/>
  <c r="AA353" i="7"/>
  <c r="AA314" i="7"/>
  <c r="X316" i="7"/>
  <c r="AB313" i="7"/>
  <c r="AA312" i="7"/>
  <c r="AB311" i="7"/>
  <c r="AB321" i="7"/>
  <c r="AB309" i="7"/>
  <c r="AB317" i="7"/>
  <c r="AB316" i="7"/>
  <c r="AB308" i="7"/>
  <c r="Y328" i="7"/>
  <c r="X353" i="7"/>
  <c r="X351" i="7"/>
  <c r="X349" i="7"/>
  <c r="X347" i="7"/>
  <c r="X345" i="7"/>
  <c r="X334" i="7"/>
  <c r="X332" i="7"/>
  <c r="X330" i="7"/>
  <c r="X326" i="7"/>
  <c r="X324" i="7"/>
  <c r="X322" i="7"/>
  <c r="X317" i="7"/>
  <c r="X315" i="7"/>
  <c r="X313" i="7"/>
  <c r="X311" i="7"/>
  <c r="X309" i="7"/>
  <c r="X307" i="7"/>
  <c r="AB301" i="7"/>
  <c r="AA352" i="7"/>
  <c r="AA350" i="7"/>
  <c r="AA348" i="7"/>
  <c r="AA346" i="7"/>
  <c r="AA344" i="7"/>
  <c r="AA333" i="7"/>
  <c r="AA331" i="7"/>
  <c r="AA329" i="7"/>
  <c r="AA325" i="7"/>
  <c r="AA323" i="7"/>
  <c r="X343" i="7"/>
  <c r="X341" i="7"/>
  <c r="X339" i="7"/>
  <c r="X337" i="7"/>
  <c r="X335" i="7"/>
  <c r="X319" i="7"/>
  <c r="AA342" i="7"/>
  <c r="AA340" i="7"/>
  <c r="AA338" i="7"/>
  <c r="AA328" i="7"/>
  <c r="Y353" i="7"/>
  <c r="Y351" i="7"/>
  <c r="Y349" i="7"/>
  <c r="Y347" i="7"/>
  <c r="Y345" i="7"/>
  <c r="Y334" i="7"/>
  <c r="Y332" i="7"/>
  <c r="Y330" i="7"/>
  <c r="Y326" i="7"/>
  <c r="Y324" i="7"/>
  <c r="Y322" i="7"/>
  <c r="Y317" i="7"/>
  <c r="Y315" i="7"/>
  <c r="Y313" i="7"/>
  <c r="Y311" i="7"/>
  <c r="Y309" i="7"/>
  <c r="Y307" i="7"/>
  <c r="AA301" i="7"/>
  <c r="AB352" i="7"/>
  <c r="AB350" i="7"/>
  <c r="AB348" i="7"/>
  <c r="AB346" i="7"/>
  <c r="AB344" i="7"/>
  <c r="AB333" i="7"/>
  <c r="AB331" i="7"/>
  <c r="AB329" i="7"/>
  <c r="AB325" i="7"/>
  <c r="AB323" i="7"/>
  <c r="Y343" i="7"/>
  <c r="Y341" i="7"/>
  <c r="Y339" i="7"/>
  <c r="Y337" i="7"/>
  <c r="Y335" i="7"/>
  <c r="Y319" i="7"/>
  <c r="AB342" i="7"/>
  <c r="AB340" i="7"/>
  <c r="AB338" i="7"/>
  <c r="AB328" i="7"/>
  <c r="Y352" i="7"/>
  <c r="Y350" i="7"/>
  <c r="Y348" i="7"/>
  <c r="Y346" i="7"/>
  <c r="Y344" i="7"/>
  <c r="Y333" i="7"/>
  <c r="Y331" i="7"/>
  <c r="Y329" i="7"/>
  <c r="Y325" i="7"/>
  <c r="Y323" i="7"/>
  <c r="Y318" i="7"/>
  <c r="Y316" i="7"/>
  <c r="Y314" i="7"/>
  <c r="Y312" i="7"/>
  <c r="Y310" i="7"/>
  <c r="Y308" i="7"/>
  <c r="Y302" i="7"/>
  <c r="AB353" i="7"/>
  <c r="AB351" i="7"/>
  <c r="AB349" i="7"/>
  <c r="AB347" i="7"/>
  <c r="AB345" i="7"/>
  <c r="AB334" i="7"/>
  <c r="AB332" i="7"/>
  <c r="AB330" i="7"/>
  <c r="AB326" i="7"/>
  <c r="AB324" i="7"/>
  <c r="AB322" i="7"/>
  <c r="Y342" i="7"/>
  <c r="Y340" i="7"/>
  <c r="Y338" i="7"/>
  <c r="AB343" i="7"/>
  <c r="AB341" i="7"/>
  <c r="AB339" i="7"/>
  <c r="AB337" i="7"/>
  <c r="AB335" i="7"/>
  <c r="CA241" i="3"/>
  <c r="BS288" i="3"/>
  <c r="X352" i="7"/>
  <c r="X350" i="7"/>
  <c r="X348" i="7"/>
  <c r="X346" i="7"/>
  <c r="X344" i="7"/>
  <c r="X333" i="7"/>
  <c r="X331" i="7"/>
  <c r="X329" i="7"/>
  <c r="X325" i="7"/>
  <c r="X323" i="7"/>
  <c r="AA334" i="7"/>
  <c r="AA332" i="7"/>
  <c r="AA330" i="7"/>
  <c r="AA326" i="7"/>
  <c r="AA324" i="7"/>
  <c r="AA322" i="7"/>
  <c r="X342" i="7"/>
  <c r="X340" i="7"/>
  <c r="X338" i="7"/>
  <c r="X328" i="7"/>
  <c r="AA343" i="7"/>
  <c r="AA341" i="7"/>
  <c r="AA339" i="7"/>
  <c r="AA337" i="7"/>
  <c r="AA335" i="7"/>
  <c r="BX241" i="3"/>
  <c r="CB241" i="3"/>
  <c r="BX242" i="3"/>
  <c r="BY242" i="3"/>
  <c r="BY241" i="3"/>
  <c r="BY243" i="3"/>
  <c r="BS290" i="3"/>
  <c r="CA244" i="3"/>
  <c r="CA242" i="3"/>
  <c r="BR288" i="3"/>
  <c r="BU290" i="3"/>
  <c r="BU289" i="3"/>
  <c r="CB243" i="3"/>
  <c r="BX244" i="3"/>
  <c r="BS291" i="3"/>
  <c r="BV290" i="3"/>
  <c r="BR290" i="3"/>
  <c r="BS289" i="3"/>
  <c r="BR279" i="3"/>
  <c r="CB242" i="3"/>
  <c r="BR291" i="3"/>
  <c r="BV289" i="3"/>
  <c r="BR289" i="3"/>
  <c r="CA243" i="3"/>
  <c r="BX264" i="3"/>
  <c r="BX243" i="3"/>
  <c r="CB244" i="3"/>
  <c r="BR280" i="3"/>
  <c r="BY244" i="3"/>
  <c r="BX274" i="3"/>
  <c r="Y103" i="7" s="1"/>
  <c r="BR276" i="3"/>
  <c r="BR278" i="3"/>
  <c r="BW291" i="3"/>
  <c r="CC259" i="3"/>
  <c r="CC257" i="3"/>
  <c r="CC258" i="3"/>
  <c r="BW288" i="3"/>
  <c r="CC264" i="3"/>
  <c r="BR277" i="3"/>
  <c r="BW160" i="3"/>
  <c r="BV160" i="3"/>
  <c r="BU160" i="3"/>
  <c r="BS160" i="3"/>
  <c r="BW158" i="3"/>
  <c r="BV158" i="3"/>
  <c r="BU158" i="3"/>
  <c r="BS158" i="3"/>
  <c r="BT157" i="3"/>
  <c r="BS157" i="3"/>
  <c r="BR157" i="3"/>
  <c r="BR152" i="3"/>
  <c r="BS152" i="3"/>
  <c r="BT152" i="3"/>
  <c r="BU152" i="3"/>
  <c r="BU269" i="3" s="1"/>
  <c r="BV152" i="3"/>
  <c r="BV269" i="3" s="1"/>
  <c r="BW152" i="3"/>
  <c r="BY129" i="3"/>
  <c r="BZ129" i="3"/>
  <c r="CA129" i="3"/>
  <c r="CB129" i="3"/>
  <c r="CC129" i="3"/>
  <c r="BY130" i="3"/>
  <c r="BZ130" i="3"/>
  <c r="CA130" i="3"/>
  <c r="CB130" i="3"/>
  <c r="CC130" i="3"/>
  <c r="BY131" i="3"/>
  <c r="BY248" i="3" s="1"/>
  <c r="BZ131" i="3"/>
  <c r="CA131" i="3"/>
  <c r="CB131" i="3"/>
  <c r="CC131" i="3"/>
  <c r="BY132" i="3"/>
  <c r="BZ132" i="3"/>
  <c r="CA132" i="3"/>
  <c r="CB132" i="3"/>
  <c r="CC132" i="3"/>
  <c r="BY133" i="3"/>
  <c r="BY250" i="3" s="1"/>
  <c r="BZ133" i="3"/>
  <c r="CA133" i="3"/>
  <c r="CB133" i="3"/>
  <c r="CC133" i="3"/>
  <c r="BY134" i="3"/>
  <c r="BY251" i="3" s="1"/>
  <c r="BZ134" i="3"/>
  <c r="CA134" i="3"/>
  <c r="CB134" i="3"/>
  <c r="CC134" i="3"/>
  <c r="BY135" i="3"/>
  <c r="BY252" i="3" s="1"/>
  <c r="BZ135" i="3"/>
  <c r="CA135" i="3"/>
  <c r="CB135" i="3"/>
  <c r="CC135" i="3"/>
  <c r="BY136" i="3"/>
  <c r="BY253" i="3" s="1"/>
  <c r="BZ136" i="3"/>
  <c r="CA136" i="3"/>
  <c r="CB136" i="3"/>
  <c r="CC136" i="3"/>
  <c r="BY137" i="3"/>
  <c r="BY254" i="3" s="1"/>
  <c r="BZ137" i="3"/>
  <c r="CA137" i="3"/>
  <c r="CB137" i="3"/>
  <c r="CC137" i="3"/>
  <c r="BY138" i="3"/>
  <c r="BY255" i="3" s="1"/>
  <c r="BZ138" i="3"/>
  <c r="CA138" i="3"/>
  <c r="CB138" i="3"/>
  <c r="CC138" i="3"/>
  <c r="BY139" i="3"/>
  <c r="BY256" i="3" s="1"/>
  <c r="BZ139" i="3"/>
  <c r="CA139" i="3"/>
  <c r="CB139" i="3"/>
  <c r="CC139" i="3"/>
  <c r="BX130" i="3"/>
  <c r="BX131" i="3"/>
  <c r="BX248" i="3" s="1"/>
  <c r="BX132" i="3"/>
  <c r="BX133" i="3"/>
  <c r="BX250" i="3" s="1"/>
  <c r="BX134" i="3"/>
  <c r="BX251" i="3" s="1"/>
  <c r="BX135" i="3"/>
  <c r="BX252" i="3" s="1"/>
  <c r="BX136" i="3"/>
  <c r="BX253" i="3" s="1"/>
  <c r="BX137" i="3"/>
  <c r="BX254" i="3" s="1"/>
  <c r="BX138" i="3"/>
  <c r="BX255" i="3" s="1"/>
  <c r="BX139" i="3"/>
  <c r="BX256" i="3" s="1"/>
  <c r="BX129" i="3"/>
  <c r="BX246" i="3" s="1"/>
  <c r="BZ243" i="3" l="1"/>
  <c r="CC241" i="3"/>
  <c r="Y244" i="7"/>
  <c r="Y303" i="7" s="1"/>
  <c r="BZ255" i="3"/>
  <c r="BZ251" i="3"/>
  <c r="BT288" i="3"/>
  <c r="BW290" i="3"/>
  <c r="BT290" i="3"/>
  <c r="BZ242" i="3"/>
  <c r="BT291" i="3"/>
  <c r="AB245" i="7"/>
  <c r="AB304" i="7" s="1"/>
  <c r="CC244" i="3"/>
  <c r="X245" i="7"/>
  <c r="X304" i="7" s="1"/>
  <c r="AB103" i="7"/>
  <c r="Y245" i="7"/>
  <c r="Y304" i="7" s="1"/>
  <c r="BZ250" i="3"/>
  <c r="CA254" i="3"/>
  <c r="CA250" i="3"/>
  <c r="CA246" i="3"/>
  <c r="BW289" i="3"/>
  <c r="BT289" i="3"/>
  <c r="BZ254" i="3"/>
  <c r="AA244" i="7"/>
  <c r="AA303" i="7" s="1"/>
  <c r="BX249" i="3"/>
  <c r="X244" i="7"/>
  <c r="X303" i="7" s="1"/>
  <c r="CC243" i="3"/>
  <c r="AA245" i="7"/>
  <c r="AA304" i="7" s="1"/>
  <c r="AA103" i="7"/>
  <c r="BZ241" i="3"/>
  <c r="X219" i="7"/>
  <c r="X103" i="7"/>
  <c r="Y246" i="7"/>
  <c r="Y305" i="7" s="1"/>
  <c r="BR269" i="3"/>
  <c r="CB254" i="3"/>
  <c r="CB250" i="3"/>
  <c r="BY249" i="3"/>
  <c r="AB244" i="7"/>
  <c r="AB303" i="7" s="1"/>
  <c r="CB249" i="3"/>
  <c r="BZ253" i="3"/>
  <c r="CA253" i="3"/>
  <c r="CA249" i="3"/>
  <c r="CC249" i="3" s="1"/>
  <c r="AA219" i="7"/>
  <c r="Y247" i="7"/>
  <c r="Y306" i="7" s="1"/>
  <c r="Y219" i="7"/>
  <c r="Y336" i="7" s="1"/>
  <c r="CB253" i="3"/>
  <c r="BZ252" i="3"/>
  <c r="BZ248" i="3"/>
  <c r="CC242" i="3"/>
  <c r="AA246" i="7"/>
  <c r="AA305" i="7" s="1"/>
  <c r="CA256" i="3"/>
  <c r="CB255" i="3"/>
  <c r="CA252" i="3"/>
  <c r="CB251" i="3"/>
  <c r="CA248" i="3"/>
  <c r="CB247" i="3"/>
  <c r="BY246" i="3"/>
  <c r="BZ246" i="3" s="1"/>
  <c r="BS269" i="3"/>
  <c r="AB247" i="7"/>
  <c r="AB306" i="7" s="1"/>
  <c r="BX247" i="3"/>
  <c r="CA255" i="3"/>
  <c r="CA251" i="3"/>
  <c r="CC251" i="3" s="1"/>
  <c r="CA247" i="3"/>
  <c r="CB246" i="3"/>
  <c r="BS277" i="3"/>
  <c r="BT277" i="3" s="1"/>
  <c r="BS279" i="3"/>
  <c r="BT279" i="3" s="1"/>
  <c r="BS280" i="3"/>
  <c r="BT280" i="3" s="1"/>
  <c r="BS278" i="3"/>
  <c r="BT278" i="3" s="1"/>
  <c r="BS276" i="3"/>
  <c r="BT276" i="3" s="1"/>
  <c r="BZ244" i="3"/>
  <c r="X246" i="7"/>
  <c r="X305" i="7" s="1"/>
  <c r="AB219" i="7"/>
  <c r="BU277" i="3"/>
  <c r="BU278" i="3"/>
  <c r="BU279" i="3"/>
  <c r="BU276" i="3"/>
  <c r="BU280" i="3"/>
  <c r="CB256" i="3"/>
  <c r="CB252" i="3"/>
  <c r="CB248" i="3"/>
  <c r="BY247" i="3"/>
  <c r="BV277" i="3"/>
  <c r="BV280" i="3"/>
  <c r="BV278" i="3"/>
  <c r="BV276" i="3"/>
  <c r="BV279" i="3"/>
  <c r="AA247" i="7"/>
  <c r="AA306" i="7" s="1"/>
  <c r="X247" i="7"/>
  <c r="X306" i="7" s="1"/>
  <c r="AB246" i="7"/>
  <c r="AB305" i="7" s="1"/>
  <c r="BZ249" i="3" l="1"/>
  <c r="CC254" i="3"/>
  <c r="AB336" i="7"/>
  <c r="AA336" i="7"/>
  <c r="X336" i="7"/>
  <c r="BW277" i="3"/>
  <c r="CC250" i="3"/>
  <c r="CC246" i="3"/>
  <c r="CC253" i="3"/>
  <c r="BW276" i="3"/>
  <c r="BZ247" i="3"/>
  <c r="BX298" i="3" s="1"/>
  <c r="AC360" i="7" s="1"/>
  <c r="BW279" i="3"/>
  <c r="CC247" i="3"/>
  <c r="CC248" i="3"/>
  <c r="CC256" i="3"/>
  <c r="BW278" i="3"/>
  <c r="BW280" i="3"/>
  <c r="CC255" i="3"/>
  <c r="CC252" i="3"/>
  <c r="AQ55" i="6"/>
  <c r="AZ38" i="2" l="1"/>
  <c r="H43" i="1" s="1"/>
  <c r="AY36" i="2"/>
  <c r="AY34" i="2"/>
  <c r="AZ32" i="2"/>
  <c r="AY32" i="2"/>
  <c r="AZ31" i="2"/>
  <c r="AY31" i="2"/>
  <c r="CD298" i="3"/>
  <c r="CH292" i="3"/>
  <c r="CG292" i="3"/>
  <c r="CF292" i="3"/>
  <c r="CE292" i="3"/>
  <c r="CD292" i="3"/>
  <c r="CD233" i="3"/>
  <c r="CD294" i="3" s="1"/>
  <c r="CI116" i="3"/>
  <c r="CH116" i="3"/>
  <c r="CG116" i="3"/>
  <c r="CF116" i="3"/>
  <c r="CE116" i="3"/>
  <c r="CD116" i="3"/>
  <c r="AQ61" i="6" l="1"/>
  <c r="N44" i="1"/>
  <c r="Q44" i="1" s="1"/>
  <c r="AJ360" i="7"/>
  <c r="AZ33" i="2"/>
  <c r="CD293" i="3"/>
  <c r="E43" i="1"/>
  <c r="B43" i="1"/>
  <c r="AY40" i="2"/>
  <c r="AY33" i="2"/>
  <c r="AK32" i="6"/>
  <c r="AK34" i="6" s="1"/>
  <c r="AK33" i="6"/>
  <c r="AK35" i="6" s="1"/>
  <c r="AK30" i="6"/>
  <c r="AK36" i="6" l="1"/>
  <c r="B20" i="1"/>
  <c r="B16" i="1"/>
  <c r="B17" i="1"/>
  <c r="B18" i="1"/>
  <c r="B19" i="1"/>
  <c r="B15" i="1"/>
  <c r="E16" i="1"/>
  <c r="E17" i="1"/>
  <c r="E18" i="1"/>
  <c r="E19" i="1"/>
  <c r="E20" i="1"/>
  <c r="E15" i="1"/>
  <c r="E7" i="1"/>
  <c r="AI7" i="1" s="1"/>
  <c r="E8" i="1"/>
  <c r="AI8" i="1" s="1"/>
  <c r="E9" i="1"/>
  <c r="AI9" i="1" s="1"/>
  <c r="E10" i="1"/>
  <c r="AI10" i="1" s="1"/>
  <c r="E11" i="1"/>
  <c r="AI11" i="1" s="1"/>
  <c r="E12" i="1"/>
  <c r="AI12" i="1" s="1"/>
  <c r="E13" i="1"/>
  <c r="E14" i="1"/>
  <c r="E6" i="1"/>
  <c r="AI6" i="1" s="1"/>
  <c r="H7" i="1"/>
  <c r="H8" i="1"/>
  <c r="H9" i="1"/>
  <c r="H10" i="1"/>
  <c r="H11" i="1"/>
  <c r="H12" i="1"/>
  <c r="H13" i="1"/>
  <c r="H14" i="1"/>
  <c r="H6" i="1"/>
  <c r="AR12" i="1" l="1"/>
  <c r="AJ12" i="1"/>
  <c r="AR8" i="1"/>
  <c r="AJ8" i="1"/>
  <c r="AV8" i="1" s="1"/>
  <c r="AR6" i="1"/>
  <c r="AJ6" i="1"/>
  <c r="AV6" i="1" s="1"/>
  <c r="AR7" i="1"/>
  <c r="AJ7" i="1"/>
  <c r="AV7" i="1" s="1"/>
  <c r="AR10" i="1"/>
  <c r="AJ10" i="1"/>
  <c r="AV10" i="1" s="1"/>
  <c r="AR11" i="1"/>
  <c r="AJ11" i="1"/>
  <c r="AV11" i="1" s="1"/>
  <c r="AR9" i="1"/>
  <c r="AJ9" i="1"/>
  <c r="AV9" i="1" s="1"/>
  <c r="AV12" i="1"/>
  <c r="K15" i="1"/>
  <c r="H15" i="1" s="1"/>
  <c r="AW10" i="1" l="1"/>
  <c r="AW8" i="1"/>
  <c r="AW6" i="1"/>
  <c r="AW12" i="1"/>
  <c r="AW11" i="1"/>
  <c r="AW9" i="1"/>
  <c r="AW7" i="1"/>
  <c r="J15" i="1"/>
  <c r="K30" i="1"/>
  <c r="K29" i="1"/>
  <c r="K28" i="1"/>
  <c r="K27" i="1"/>
  <c r="K26" i="1"/>
  <c r="K25" i="1"/>
  <c r="K24" i="1"/>
  <c r="K23" i="1"/>
  <c r="K22" i="1"/>
  <c r="K21" i="1"/>
  <c r="K20" i="1"/>
  <c r="H20" i="1" s="1"/>
  <c r="K19" i="1"/>
  <c r="H19" i="1" s="1"/>
  <c r="K18" i="1"/>
  <c r="H18" i="1" s="1"/>
  <c r="K17" i="1"/>
  <c r="H17" i="1" s="1"/>
  <c r="K16" i="1"/>
  <c r="H16" i="1" s="1"/>
  <c r="AW35" i="2" l="1"/>
  <c r="AU35" i="2"/>
  <c r="AS35" i="2"/>
  <c r="AQ35" i="2"/>
  <c r="AO35" i="2"/>
  <c r="AM35" i="2"/>
  <c r="AK35" i="2"/>
  <c r="AI35" i="2"/>
  <c r="AG35" i="2"/>
  <c r="AE35" i="2"/>
  <c r="AC35" i="2"/>
  <c r="AA35" i="2"/>
  <c r="Y35" i="2"/>
  <c r="W35" i="2"/>
  <c r="U35" i="2"/>
  <c r="S35" i="2"/>
  <c r="Q35" i="2"/>
  <c r="O35" i="2"/>
  <c r="M35" i="2"/>
  <c r="K35" i="2"/>
  <c r="I35" i="2"/>
  <c r="G35" i="2"/>
  <c r="E35" i="2"/>
  <c r="T244" i="7" l="1"/>
  <c r="U244" i="7"/>
  <c r="T249" i="7"/>
  <c r="U249" i="7"/>
  <c r="T250" i="7"/>
  <c r="U250" i="7"/>
  <c r="T251" i="7"/>
  <c r="U251" i="7"/>
  <c r="T252" i="7"/>
  <c r="U252" i="7"/>
  <c r="T253" i="7"/>
  <c r="U253" i="7"/>
  <c r="T254" i="7"/>
  <c r="U254" i="7"/>
  <c r="T255" i="7"/>
  <c r="U255" i="7"/>
  <c r="T256" i="7"/>
  <c r="U256" i="7"/>
  <c r="T257" i="7"/>
  <c r="U257" i="7"/>
  <c r="T258" i="7"/>
  <c r="U258" i="7"/>
  <c r="T259" i="7"/>
  <c r="U259" i="7"/>
  <c r="T260" i="7"/>
  <c r="U260" i="7"/>
  <c r="T264" i="7"/>
  <c r="U264" i="7"/>
  <c r="T265" i="7"/>
  <c r="U265" i="7"/>
  <c r="T266" i="7"/>
  <c r="U266" i="7"/>
  <c r="T267" i="7"/>
  <c r="U267" i="7"/>
  <c r="T268" i="7"/>
  <c r="U268" i="7"/>
  <c r="T269" i="7"/>
  <c r="U269" i="7"/>
  <c r="T270" i="7"/>
  <c r="U270" i="7"/>
  <c r="T271" i="7"/>
  <c r="U271" i="7"/>
  <c r="T272" i="7"/>
  <c r="U272" i="7"/>
  <c r="T273" i="7"/>
  <c r="U273" i="7"/>
  <c r="T274" i="7"/>
  <c r="U274" i="7"/>
  <c r="T275" i="7"/>
  <c r="U275" i="7"/>
  <c r="T276" i="7"/>
  <c r="U276" i="7"/>
  <c r="T277" i="7"/>
  <c r="U277" i="7"/>
  <c r="T278" i="7"/>
  <c r="U278" i="7"/>
  <c r="T279" i="7"/>
  <c r="U279" i="7"/>
  <c r="T280" i="7"/>
  <c r="U280" i="7"/>
  <c r="T281" i="7"/>
  <c r="U281" i="7"/>
  <c r="T282" i="7"/>
  <c r="U282" i="7"/>
  <c r="T283" i="7"/>
  <c r="U283" i="7"/>
  <c r="T284" i="7"/>
  <c r="U284" i="7"/>
  <c r="T285" i="7"/>
  <c r="U285" i="7"/>
  <c r="T286" i="7"/>
  <c r="U286" i="7"/>
  <c r="T287" i="7"/>
  <c r="U287" i="7"/>
  <c r="T288" i="7"/>
  <c r="U288" i="7"/>
  <c r="T289" i="7"/>
  <c r="U289" i="7"/>
  <c r="T290" i="7"/>
  <c r="U290" i="7"/>
  <c r="T291" i="7"/>
  <c r="U291" i="7"/>
  <c r="T292" i="7"/>
  <c r="U292" i="7"/>
  <c r="T293" i="7"/>
  <c r="U293" i="7"/>
  <c r="T294" i="7"/>
  <c r="U294" i="7"/>
  <c r="Q244" i="7"/>
  <c r="R244" i="7"/>
  <c r="Q249" i="7"/>
  <c r="R249" i="7"/>
  <c r="Q250" i="7"/>
  <c r="R250" i="7"/>
  <c r="Q251" i="7"/>
  <c r="R251" i="7"/>
  <c r="Q252" i="7"/>
  <c r="R252" i="7"/>
  <c r="Q253" i="7"/>
  <c r="R253" i="7"/>
  <c r="Q254" i="7"/>
  <c r="R254" i="7"/>
  <c r="Q255" i="7"/>
  <c r="R255" i="7"/>
  <c r="Q256" i="7"/>
  <c r="R256" i="7"/>
  <c r="Q257" i="7"/>
  <c r="R257" i="7"/>
  <c r="Q258" i="7"/>
  <c r="R258" i="7"/>
  <c r="Q259" i="7"/>
  <c r="R259" i="7"/>
  <c r="Q260" i="7"/>
  <c r="R260" i="7"/>
  <c r="Q264" i="7"/>
  <c r="R264" i="7"/>
  <c r="Q265" i="7"/>
  <c r="R265" i="7"/>
  <c r="Q266" i="7"/>
  <c r="R266" i="7"/>
  <c r="Q267" i="7"/>
  <c r="R267" i="7"/>
  <c r="Q268" i="7"/>
  <c r="R268" i="7"/>
  <c r="Q269" i="7"/>
  <c r="R269" i="7"/>
  <c r="Q270" i="7"/>
  <c r="R270" i="7"/>
  <c r="Q271" i="7"/>
  <c r="R271" i="7"/>
  <c r="Q272" i="7"/>
  <c r="R272" i="7"/>
  <c r="Q273" i="7"/>
  <c r="R273" i="7"/>
  <c r="Q274" i="7"/>
  <c r="R274" i="7"/>
  <c r="Q275" i="7"/>
  <c r="R275" i="7"/>
  <c r="Q276" i="7"/>
  <c r="R276" i="7"/>
  <c r="Q277" i="7"/>
  <c r="R277" i="7"/>
  <c r="Q278" i="7"/>
  <c r="R278" i="7"/>
  <c r="Q279" i="7"/>
  <c r="R279" i="7"/>
  <c r="Q280" i="7"/>
  <c r="R280" i="7"/>
  <c r="Q281" i="7"/>
  <c r="R281" i="7"/>
  <c r="Q282" i="7"/>
  <c r="R282" i="7"/>
  <c r="Q283" i="7"/>
  <c r="R283" i="7"/>
  <c r="Q284" i="7"/>
  <c r="R284" i="7"/>
  <c r="Q285" i="7"/>
  <c r="R285" i="7"/>
  <c r="Q286" i="7"/>
  <c r="R286" i="7"/>
  <c r="Q287" i="7"/>
  <c r="R287" i="7"/>
  <c r="Q288" i="7"/>
  <c r="R288" i="7"/>
  <c r="Q289" i="7"/>
  <c r="R289" i="7"/>
  <c r="Q290" i="7"/>
  <c r="R290" i="7"/>
  <c r="Q291" i="7"/>
  <c r="R291" i="7"/>
  <c r="Q292" i="7"/>
  <c r="R292" i="7"/>
  <c r="Q293" i="7"/>
  <c r="R293" i="7"/>
  <c r="Q294" i="7"/>
  <c r="R294" i="7"/>
  <c r="T185" i="7"/>
  <c r="U185" i="7"/>
  <c r="T186" i="7"/>
  <c r="U186" i="7"/>
  <c r="T187" i="7"/>
  <c r="U187" i="7"/>
  <c r="T188" i="7"/>
  <c r="U188" i="7"/>
  <c r="T189" i="7"/>
  <c r="U189" i="7"/>
  <c r="T190" i="7"/>
  <c r="U190" i="7"/>
  <c r="T191" i="7"/>
  <c r="U191" i="7"/>
  <c r="T192" i="7"/>
  <c r="U192" i="7"/>
  <c r="T193" i="7"/>
  <c r="U193" i="7"/>
  <c r="T194" i="7"/>
  <c r="U194" i="7"/>
  <c r="T195" i="7"/>
  <c r="U195" i="7"/>
  <c r="T196" i="7"/>
  <c r="U196" i="7"/>
  <c r="T197" i="7"/>
  <c r="U197" i="7"/>
  <c r="T198" i="7"/>
  <c r="U198" i="7"/>
  <c r="T199" i="7"/>
  <c r="U199" i="7"/>
  <c r="T200" i="7"/>
  <c r="U200" i="7"/>
  <c r="T201" i="7"/>
  <c r="U201" i="7"/>
  <c r="T202" i="7"/>
  <c r="U202" i="7"/>
  <c r="T203" i="7"/>
  <c r="U203" i="7"/>
  <c r="T205" i="7"/>
  <c r="U205" i="7"/>
  <c r="T206" i="7"/>
  <c r="U206" i="7"/>
  <c r="T207" i="7"/>
  <c r="U207" i="7"/>
  <c r="T209" i="7"/>
  <c r="U209" i="7"/>
  <c r="T210" i="7"/>
  <c r="U210" i="7"/>
  <c r="T211" i="7"/>
  <c r="U211" i="7"/>
  <c r="T212" i="7"/>
  <c r="U212" i="7"/>
  <c r="T213" i="7"/>
  <c r="U213" i="7"/>
  <c r="T214" i="7"/>
  <c r="U214" i="7"/>
  <c r="T215" i="7"/>
  <c r="U215" i="7"/>
  <c r="T216" i="7"/>
  <c r="U216" i="7"/>
  <c r="T217" i="7"/>
  <c r="U217" i="7"/>
  <c r="T218" i="7"/>
  <c r="U218" i="7"/>
  <c r="T219" i="7"/>
  <c r="U219" i="7"/>
  <c r="T220" i="7"/>
  <c r="U220" i="7"/>
  <c r="T221" i="7"/>
  <c r="U221" i="7"/>
  <c r="T222" i="7"/>
  <c r="U222" i="7"/>
  <c r="T223" i="7"/>
  <c r="U223" i="7"/>
  <c r="T224" i="7"/>
  <c r="U224" i="7"/>
  <c r="T225" i="7"/>
  <c r="U225" i="7"/>
  <c r="T226" i="7"/>
  <c r="U226" i="7"/>
  <c r="T227" i="7"/>
  <c r="U227" i="7"/>
  <c r="T228" i="7"/>
  <c r="U228" i="7"/>
  <c r="T229" i="7"/>
  <c r="U229" i="7"/>
  <c r="T230" i="7"/>
  <c r="U230" i="7"/>
  <c r="T231" i="7"/>
  <c r="U231" i="7"/>
  <c r="T232" i="7"/>
  <c r="U232" i="7"/>
  <c r="T233" i="7"/>
  <c r="U233" i="7"/>
  <c r="T234" i="7"/>
  <c r="U234" i="7"/>
  <c r="T235" i="7"/>
  <c r="U235" i="7"/>
  <c r="T236" i="7"/>
  <c r="U236" i="7"/>
  <c r="U184" i="7"/>
  <c r="T184" i="7"/>
  <c r="Q201" i="7"/>
  <c r="R201" i="7"/>
  <c r="Q202" i="7"/>
  <c r="R202" i="7"/>
  <c r="Q203" i="7"/>
  <c r="R203" i="7"/>
  <c r="Q205" i="7"/>
  <c r="R205" i="7"/>
  <c r="Q206" i="7"/>
  <c r="R206" i="7"/>
  <c r="Q207" i="7"/>
  <c r="R207" i="7"/>
  <c r="Q209" i="7"/>
  <c r="R209" i="7"/>
  <c r="Q210" i="7"/>
  <c r="R210" i="7"/>
  <c r="Q211" i="7"/>
  <c r="R211" i="7"/>
  <c r="Q212" i="7"/>
  <c r="R212" i="7"/>
  <c r="Q213" i="7"/>
  <c r="R213" i="7"/>
  <c r="Q214" i="7"/>
  <c r="R214" i="7"/>
  <c r="Q215" i="7"/>
  <c r="R215" i="7"/>
  <c r="Q216" i="7"/>
  <c r="R216" i="7"/>
  <c r="Q217" i="7"/>
  <c r="R217" i="7"/>
  <c r="Q218" i="7"/>
  <c r="R218" i="7"/>
  <c r="Q219" i="7"/>
  <c r="R219" i="7"/>
  <c r="Q220" i="7"/>
  <c r="R220" i="7"/>
  <c r="Q221" i="7"/>
  <c r="R221" i="7"/>
  <c r="Q222" i="7"/>
  <c r="R222" i="7"/>
  <c r="Q223" i="7"/>
  <c r="R223" i="7"/>
  <c r="Q224" i="7"/>
  <c r="R224" i="7"/>
  <c r="Q225" i="7"/>
  <c r="R225" i="7"/>
  <c r="Q226" i="7"/>
  <c r="R226" i="7"/>
  <c r="Q227" i="7"/>
  <c r="R227" i="7"/>
  <c r="Q228" i="7"/>
  <c r="R228" i="7"/>
  <c r="Q229" i="7"/>
  <c r="R229" i="7"/>
  <c r="Q230" i="7"/>
  <c r="R230" i="7"/>
  <c r="Q231" i="7"/>
  <c r="R231" i="7"/>
  <c r="Q232" i="7"/>
  <c r="R232" i="7"/>
  <c r="Q233" i="7"/>
  <c r="R233" i="7"/>
  <c r="Q234" i="7"/>
  <c r="R234" i="7"/>
  <c r="Q235" i="7"/>
  <c r="R235" i="7"/>
  <c r="Q236" i="7"/>
  <c r="R236" i="7"/>
  <c r="Q185" i="7"/>
  <c r="R185" i="7"/>
  <c r="Q186" i="7"/>
  <c r="R186" i="7"/>
  <c r="Q187" i="7"/>
  <c r="R187" i="7"/>
  <c r="Q188" i="7"/>
  <c r="R188" i="7"/>
  <c r="Q189" i="7"/>
  <c r="R189" i="7"/>
  <c r="Q190" i="7"/>
  <c r="R190" i="7"/>
  <c r="Q191" i="7"/>
  <c r="R191" i="7"/>
  <c r="Q192" i="7"/>
  <c r="R192" i="7"/>
  <c r="Q193" i="7"/>
  <c r="R193" i="7"/>
  <c r="Q194" i="7"/>
  <c r="R194" i="7"/>
  <c r="Q195" i="7"/>
  <c r="R195" i="7"/>
  <c r="Q196" i="7"/>
  <c r="R196" i="7"/>
  <c r="Q197" i="7"/>
  <c r="R197" i="7"/>
  <c r="Q198" i="7"/>
  <c r="R198" i="7"/>
  <c r="Q199" i="7"/>
  <c r="R199" i="7"/>
  <c r="Q200" i="7"/>
  <c r="R200" i="7"/>
  <c r="R184" i="7"/>
  <c r="Q184" i="7"/>
  <c r="BV62" i="4" l="1"/>
  <c r="U5" i="7"/>
  <c r="BR196" i="3"/>
  <c r="BR195" i="3" l="1"/>
  <c r="BR194" i="3"/>
  <c r="BR193" i="3"/>
  <c r="BR192" i="3"/>
  <c r="BR191" i="3"/>
  <c r="BR190" i="3"/>
  <c r="BR189" i="3"/>
  <c r="BR188" i="3"/>
  <c r="BR187" i="3"/>
  <c r="BR149" i="3"/>
  <c r="BR266" i="3" s="1"/>
  <c r="BS149" i="3"/>
  <c r="BS266" i="3" s="1"/>
  <c r="BT149" i="3"/>
  <c r="BU149" i="3"/>
  <c r="BV149" i="3"/>
  <c r="BW149" i="3"/>
  <c r="BR150" i="3"/>
  <c r="BS150" i="3"/>
  <c r="BT150" i="3"/>
  <c r="BU150" i="3"/>
  <c r="BV150" i="3"/>
  <c r="BW150" i="3"/>
  <c r="BR151" i="3"/>
  <c r="BS151" i="3"/>
  <c r="BT151" i="3"/>
  <c r="BU151" i="3"/>
  <c r="BU268" i="3" s="1"/>
  <c r="BV151" i="3"/>
  <c r="BV268" i="3" s="1"/>
  <c r="BW151" i="3"/>
  <c r="BW148" i="3"/>
  <c r="BV148" i="3"/>
  <c r="BU148" i="3"/>
  <c r="BT148" i="3"/>
  <c r="BS148" i="3"/>
  <c r="BR148" i="3"/>
  <c r="BW147" i="3"/>
  <c r="BV147" i="3"/>
  <c r="BU147" i="3"/>
  <c r="BT147" i="3"/>
  <c r="BS147" i="3"/>
  <c r="BS263" i="3" s="1"/>
  <c r="BR147" i="3"/>
  <c r="BR264" i="3" s="1"/>
  <c r="BR141" i="3"/>
  <c r="BR258" i="3" s="1"/>
  <c r="BS141" i="3"/>
  <c r="BS258" i="3" s="1"/>
  <c r="BT141" i="3"/>
  <c r="BU141" i="3"/>
  <c r="BV141" i="3"/>
  <c r="BW141" i="3"/>
  <c r="BR142" i="3"/>
  <c r="BR259" i="3" s="1"/>
  <c r="BS142" i="3"/>
  <c r="BS259" i="3" s="1"/>
  <c r="BT142" i="3"/>
  <c r="BU142" i="3"/>
  <c r="BV142" i="3"/>
  <c r="BW142" i="3"/>
  <c r="BR143" i="3"/>
  <c r="BS143" i="3"/>
  <c r="BT143" i="3"/>
  <c r="BU143" i="3"/>
  <c r="BV143" i="3"/>
  <c r="BW143" i="3"/>
  <c r="BW140" i="3"/>
  <c r="BV140" i="3"/>
  <c r="BU140" i="3"/>
  <c r="BT140" i="3"/>
  <c r="BS140" i="3"/>
  <c r="BS257" i="3" s="1"/>
  <c r="BR140" i="3"/>
  <c r="BR257" i="3" s="1"/>
  <c r="BR126" i="3"/>
  <c r="BS126" i="3"/>
  <c r="BT126" i="3"/>
  <c r="BU126" i="3"/>
  <c r="BV126" i="3"/>
  <c r="BW126" i="3"/>
  <c r="BR127" i="3"/>
  <c r="BS127" i="3"/>
  <c r="BT127" i="3"/>
  <c r="BU127" i="3"/>
  <c r="BV127" i="3"/>
  <c r="BW127" i="3"/>
  <c r="BR128" i="3"/>
  <c r="BS128" i="3"/>
  <c r="BT128" i="3"/>
  <c r="BU128" i="3"/>
  <c r="BV128" i="3"/>
  <c r="BW128" i="3"/>
  <c r="BR129" i="3"/>
  <c r="BS129" i="3"/>
  <c r="BT129" i="3"/>
  <c r="BU129" i="3"/>
  <c r="BV129" i="3"/>
  <c r="BW129" i="3"/>
  <c r="BR130" i="3"/>
  <c r="BS130" i="3"/>
  <c r="BT130" i="3"/>
  <c r="BU130" i="3"/>
  <c r="BV130" i="3"/>
  <c r="BW130" i="3"/>
  <c r="BR131" i="3"/>
  <c r="BS131" i="3"/>
  <c r="BT131" i="3"/>
  <c r="BU131" i="3"/>
  <c r="BV131" i="3"/>
  <c r="BW131" i="3"/>
  <c r="BR132" i="3"/>
  <c r="BR249" i="3" s="1"/>
  <c r="BS132" i="3"/>
  <c r="BT132" i="3"/>
  <c r="BU132" i="3"/>
  <c r="BV132" i="3"/>
  <c r="BW132" i="3"/>
  <c r="BR133" i="3"/>
  <c r="BR250" i="3" s="1"/>
  <c r="BS133" i="3"/>
  <c r="BS250" i="3" s="1"/>
  <c r="BT133" i="3"/>
  <c r="BU133" i="3"/>
  <c r="BV133" i="3"/>
  <c r="BW133" i="3"/>
  <c r="BR134" i="3"/>
  <c r="BR251" i="3" s="1"/>
  <c r="BS134" i="3"/>
  <c r="BT134" i="3"/>
  <c r="BU134" i="3"/>
  <c r="BV134" i="3"/>
  <c r="BW134" i="3"/>
  <c r="BR135" i="3"/>
  <c r="BS135" i="3"/>
  <c r="BT135" i="3"/>
  <c r="BU135" i="3"/>
  <c r="BV135" i="3"/>
  <c r="BW135" i="3"/>
  <c r="BR136" i="3"/>
  <c r="BR253" i="3" s="1"/>
  <c r="BS136" i="3"/>
  <c r="BT136" i="3"/>
  <c r="BU136" i="3"/>
  <c r="BV136" i="3"/>
  <c r="BW136" i="3"/>
  <c r="BR137" i="3"/>
  <c r="BS137" i="3"/>
  <c r="BS254" i="3" s="1"/>
  <c r="BT137" i="3"/>
  <c r="BU137" i="3"/>
  <c r="BV137" i="3"/>
  <c r="BW137" i="3"/>
  <c r="BR138" i="3"/>
  <c r="BS138" i="3"/>
  <c r="BT138" i="3"/>
  <c r="BU138" i="3"/>
  <c r="BV138" i="3"/>
  <c r="BW138" i="3"/>
  <c r="BW125" i="3"/>
  <c r="BV125" i="3"/>
  <c r="BU125" i="3"/>
  <c r="BT125" i="3"/>
  <c r="BS125" i="3"/>
  <c r="BR125" i="3"/>
  <c r="BW122" i="3"/>
  <c r="BV122" i="3"/>
  <c r="BU122" i="3"/>
  <c r="BT122" i="3"/>
  <c r="BS122" i="3"/>
  <c r="BR122" i="3"/>
  <c r="BQ172" i="3"/>
  <c r="BP172" i="3"/>
  <c r="BP289" i="3" s="1"/>
  <c r="BO172" i="3"/>
  <c r="BO289" i="3" s="1"/>
  <c r="BN172" i="3"/>
  <c r="BM172" i="3"/>
  <c r="BL172" i="3"/>
  <c r="BQ170" i="3"/>
  <c r="BP170" i="3"/>
  <c r="BP288" i="3" s="1"/>
  <c r="BO170" i="3"/>
  <c r="BO288" i="3" s="1"/>
  <c r="BN170" i="3"/>
  <c r="BM170" i="3"/>
  <c r="BL170" i="3"/>
  <c r="BW28" i="4"/>
  <c r="BW27" i="4"/>
  <c r="BW26" i="4"/>
  <c r="BW22" i="4"/>
  <c r="T43" i="1"/>
  <c r="W43" i="1" s="1"/>
  <c r="CC116" i="3"/>
  <c r="CB116" i="3"/>
  <c r="CA116" i="3"/>
  <c r="BZ116" i="3"/>
  <c r="BY116" i="3"/>
  <c r="BX116" i="3"/>
  <c r="BW116" i="3"/>
  <c r="BV116" i="3"/>
  <c r="BU116" i="3"/>
  <c r="BT116" i="3"/>
  <c r="BS116" i="3"/>
  <c r="BR116" i="3"/>
  <c r="CB292" i="3"/>
  <c r="CA292" i="3"/>
  <c r="BY292" i="3"/>
  <c r="BX292" i="3"/>
  <c r="BX233" i="3"/>
  <c r="BX294" i="3" s="1"/>
  <c r="M127" i="7"/>
  <c r="N127" i="7"/>
  <c r="M128" i="7"/>
  <c r="N128" i="7"/>
  <c r="M129" i="7"/>
  <c r="N129" i="7"/>
  <c r="M130" i="7"/>
  <c r="N130" i="7"/>
  <c r="M131" i="7"/>
  <c r="N131" i="7"/>
  <c r="M132" i="7"/>
  <c r="N132" i="7"/>
  <c r="M133" i="7"/>
  <c r="N133" i="7"/>
  <c r="M134" i="7"/>
  <c r="N134" i="7"/>
  <c r="M135" i="7"/>
  <c r="N135" i="7"/>
  <c r="M136" i="7"/>
  <c r="N136" i="7"/>
  <c r="M137" i="7"/>
  <c r="N137" i="7"/>
  <c r="M138" i="7"/>
  <c r="N138" i="7"/>
  <c r="M139" i="7"/>
  <c r="N139" i="7"/>
  <c r="M140" i="7"/>
  <c r="N140" i="7"/>
  <c r="M141" i="7"/>
  <c r="N141" i="7"/>
  <c r="M142" i="7"/>
  <c r="N142" i="7"/>
  <c r="M143" i="7"/>
  <c r="N143" i="7"/>
  <c r="M144" i="7"/>
  <c r="N144" i="7"/>
  <c r="M145" i="7"/>
  <c r="N145" i="7"/>
  <c r="M146" i="7"/>
  <c r="N146" i="7"/>
  <c r="M147" i="7"/>
  <c r="N147" i="7"/>
  <c r="M148" i="7"/>
  <c r="N148" i="7"/>
  <c r="M149" i="7"/>
  <c r="N149" i="7"/>
  <c r="M150" i="7"/>
  <c r="N150" i="7"/>
  <c r="M151" i="7"/>
  <c r="N151" i="7"/>
  <c r="M152" i="7"/>
  <c r="N152" i="7"/>
  <c r="M153" i="7"/>
  <c r="N153" i="7"/>
  <c r="M154" i="7"/>
  <c r="N154" i="7"/>
  <c r="M155" i="7"/>
  <c r="N155" i="7"/>
  <c r="M156" i="7"/>
  <c r="N156" i="7"/>
  <c r="M157" i="7"/>
  <c r="N157" i="7"/>
  <c r="M158" i="7"/>
  <c r="N158" i="7"/>
  <c r="M159" i="7"/>
  <c r="N159" i="7"/>
  <c r="M160" i="7"/>
  <c r="N160" i="7"/>
  <c r="M161" i="7"/>
  <c r="N161" i="7"/>
  <c r="M162" i="7"/>
  <c r="N162" i="7"/>
  <c r="M163" i="7"/>
  <c r="N163" i="7"/>
  <c r="M164" i="7"/>
  <c r="N164" i="7"/>
  <c r="M165" i="7"/>
  <c r="N165" i="7"/>
  <c r="M166" i="7"/>
  <c r="N166" i="7"/>
  <c r="M167" i="7"/>
  <c r="N167" i="7"/>
  <c r="M168" i="7"/>
  <c r="N168" i="7"/>
  <c r="M169" i="7"/>
  <c r="N169" i="7"/>
  <c r="M170" i="7"/>
  <c r="N170" i="7"/>
  <c r="M171" i="7"/>
  <c r="N171" i="7"/>
  <c r="M172" i="7"/>
  <c r="N172" i="7"/>
  <c r="M173" i="7"/>
  <c r="N173" i="7"/>
  <c r="M174" i="7"/>
  <c r="N174" i="7"/>
  <c r="M175" i="7"/>
  <c r="N175" i="7"/>
  <c r="M176" i="7"/>
  <c r="N176" i="7"/>
  <c r="M177" i="7"/>
  <c r="N177" i="7"/>
  <c r="M178" i="7"/>
  <c r="N178" i="7"/>
  <c r="J127" i="7"/>
  <c r="K127" i="7"/>
  <c r="J128" i="7"/>
  <c r="K128" i="7"/>
  <c r="J129" i="7"/>
  <c r="K129" i="7"/>
  <c r="J130" i="7"/>
  <c r="K130" i="7"/>
  <c r="J131" i="7"/>
  <c r="K131" i="7"/>
  <c r="J132" i="7"/>
  <c r="K132" i="7"/>
  <c r="J133" i="7"/>
  <c r="K133" i="7"/>
  <c r="J134" i="7"/>
  <c r="K134" i="7"/>
  <c r="J135" i="7"/>
  <c r="K135" i="7"/>
  <c r="J136" i="7"/>
  <c r="K136" i="7"/>
  <c r="J137" i="7"/>
  <c r="K137" i="7"/>
  <c r="J138" i="7"/>
  <c r="K138" i="7"/>
  <c r="J139" i="7"/>
  <c r="K139" i="7"/>
  <c r="J140" i="7"/>
  <c r="K140" i="7"/>
  <c r="J141" i="7"/>
  <c r="K141" i="7"/>
  <c r="J142" i="7"/>
  <c r="K142" i="7"/>
  <c r="J143" i="7"/>
  <c r="K143" i="7"/>
  <c r="J144" i="7"/>
  <c r="K144" i="7"/>
  <c r="J145" i="7"/>
  <c r="K145" i="7"/>
  <c r="J146" i="7"/>
  <c r="K146" i="7"/>
  <c r="J147" i="7"/>
  <c r="K147" i="7"/>
  <c r="J148" i="7"/>
  <c r="K148" i="7"/>
  <c r="J149" i="7"/>
  <c r="K149" i="7"/>
  <c r="J150" i="7"/>
  <c r="K150" i="7"/>
  <c r="J151" i="7"/>
  <c r="K151" i="7"/>
  <c r="J152" i="7"/>
  <c r="K152" i="7"/>
  <c r="J153" i="7"/>
  <c r="K153" i="7"/>
  <c r="J154" i="7"/>
  <c r="K154" i="7"/>
  <c r="J155" i="7"/>
  <c r="K155" i="7"/>
  <c r="J156" i="7"/>
  <c r="K156" i="7"/>
  <c r="J157" i="7"/>
  <c r="K157" i="7"/>
  <c r="J158" i="7"/>
  <c r="K158" i="7"/>
  <c r="J159" i="7"/>
  <c r="K159" i="7"/>
  <c r="J160" i="7"/>
  <c r="K160" i="7"/>
  <c r="J161" i="7"/>
  <c r="K161" i="7"/>
  <c r="J162" i="7"/>
  <c r="K162" i="7"/>
  <c r="J163" i="7"/>
  <c r="K163" i="7"/>
  <c r="J164" i="7"/>
  <c r="K164" i="7"/>
  <c r="J165" i="7"/>
  <c r="K165" i="7"/>
  <c r="J166" i="7"/>
  <c r="K166" i="7"/>
  <c r="J167" i="7"/>
  <c r="K167" i="7"/>
  <c r="J168" i="7"/>
  <c r="K168" i="7"/>
  <c r="J169" i="7"/>
  <c r="K169" i="7"/>
  <c r="J170" i="7"/>
  <c r="K170" i="7"/>
  <c r="J171" i="7"/>
  <c r="K171" i="7"/>
  <c r="J172" i="7"/>
  <c r="K172" i="7"/>
  <c r="J173" i="7"/>
  <c r="K173" i="7"/>
  <c r="J174" i="7"/>
  <c r="K174" i="7"/>
  <c r="J175" i="7"/>
  <c r="K175" i="7"/>
  <c r="J176" i="7"/>
  <c r="K176" i="7"/>
  <c r="J177" i="7"/>
  <c r="K177" i="7"/>
  <c r="J178" i="7"/>
  <c r="K178" i="7"/>
  <c r="N126" i="7"/>
  <c r="M126" i="7"/>
  <c r="K126" i="7"/>
  <c r="J126" i="7"/>
  <c r="F127" i="7"/>
  <c r="G127" i="7"/>
  <c r="F128" i="7"/>
  <c r="G128" i="7"/>
  <c r="F129" i="7"/>
  <c r="G129" i="7"/>
  <c r="F130" i="7"/>
  <c r="G130" i="7"/>
  <c r="F131" i="7"/>
  <c r="G131" i="7"/>
  <c r="F132" i="7"/>
  <c r="G132" i="7"/>
  <c r="F133" i="7"/>
  <c r="G133" i="7"/>
  <c r="F134" i="7"/>
  <c r="G134" i="7"/>
  <c r="F135" i="7"/>
  <c r="G135" i="7"/>
  <c r="F136" i="7"/>
  <c r="G136" i="7"/>
  <c r="F137" i="7"/>
  <c r="G137" i="7"/>
  <c r="F138" i="7"/>
  <c r="G138" i="7"/>
  <c r="F139" i="7"/>
  <c r="G139" i="7"/>
  <c r="F140" i="7"/>
  <c r="G140" i="7"/>
  <c r="F141" i="7"/>
  <c r="G141" i="7"/>
  <c r="F142" i="7"/>
  <c r="G142" i="7"/>
  <c r="F143" i="7"/>
  <c r="G143" i="7"/>
  <c r="F144" i="7"/>
  <c r="G144" i="7"/>
  <c r="F145" i="7"/>
  <c r="G145" i="7"/>
  <c r="F146" i="7"/>
  <c r="G146" i="7"/>
  <c r="F147" i="7"/>
  <c r="G147" i="7"/>
  <c r="F148" i="7"/>
  <c r="G148" i="7"/>
  <c r="F149" i="7"/>
  <c r="G149" i="7"/>
  <c r="F150" i="7"/>
  <c r="G150" i="7"/>
  <c r="F151" i="7"/>
  <c r="G151" i="7"/>
  <c r="F152" i="7"/>
  <c r="G152" i="7"/>
  <c r="F153" i="7"/>
  <c r="G153" i="7"/>
  <c r="F154" i="7"/>
  <c r="G154" i="7"/>
  <c r="F155" i="7"/>
  <c r="G155" i="7"/>
  <c r="F156" i="7"/>
  <c r="G156" i="7"/>
  <c r="F157" i="7"/>
  <c r="G157" i="7"/>
  <c r="F158" i="7"/>
  <c r="G158" i="7"/>
  <c r="F159" i="7"/>
  <c r="G159" i="7"/>
  <c r="F160" i="7"/>
  <c r="G160" i="7"/>
  <c r="F161" i="7"/>
  <c r="G161" i="7"/>
  <c r="F162" i="7"/>
  <c r="G162" i="7"/>
  <c r="F163" i="7"/>
  <c r="G163" i="7"/>
  <c r="F164" i="7"/>
  <c r="G164" i="7"/>
  <c r="F165" i="7"/>
  <c r="G165" i="7"/>
  <c r="F166" i="7"/>
  <c r="G166" i="7"/>
  <c r="F167" i="7"/>
  <c r="G167" i="7"/>
  <c r="F168" i="7"/>
  <c r="G168" i="7"/>
  <c r="F169" i="7"/>
  <c r="G169" i="7"/>
  <c r="F170" i="7"/>
  <c r="G170" i="7"/>
  <c r="F171" i="7"/>
  <c r="G171" i="7"/>
  <c r="F172" i="7"/>
  <c r="G172" i="7"/>
  <c r="F173" i="7"/>
  <c r="G173" i="7"/>
  <c r="F174" i="7"/>
  <c r="G174" i="7"/>
  <c r="F175" i="7"/>
  <c r="G175" i="7"/>
  <c r="F176" i="7"/>
  <c r="G176" i="7"/>
  <c r="F177" i="7"/>
  <c r="G177" i="7"/>
  <c r="F178" i="7"/>
  <c r="G178" i="7"/>
  <c r="C127" i="7"/>
  <c r="D127" i="7"/>
  <c r="C128" i="7"/>
  <c r="D128" i="7"/>
  <c r="C129" i="7"/>
  <c r="D129" i="7"/>
  <c r="C130" i="7"/>
  <c r="D130" i="7"/>
  <c r="C131" i="7"/>
  <c r="D131" i="7"/>
  <c r="C132" i="7"/>
  <c r="D132" i="7"/>
  <c r="C133" i="7"/>
  <c r="D133" i="7"/>
  <c r="C134" i="7"/>
  <c r="D134" i="7"/>
  <c r="C135" i="7"/>
  <c r="D135" i="7"/>
  <c r="C136" i="7"/>
  <c r="D136" i="7"/>
  <c r="C137" i="7"/>
  <c r="D137" i="7"/>
  <c r="C138" i="7"/>
  <c r="D138" i="7"/>
  <c r="C139" i="7"/>
  <c r="D139" i="7"/>
  <c r="C140" i="7"/>
  <c r="D140" i="7"/>
  <c r="C141" i="7"/>
  <c r="D141" i="7"/>
  <c r="C142" i="7"/>
  <c r="D142" i="7"/>
  <c r="C143" i="7"/>
  <c r="D143" i="7"/>
  <c r="C144" i="7"/>
  <c r="D144" i="7"/>
  <c r="C145" i="7"/>
  <c r="D145" i="7"/>
  <c r="C146" i="7"/>
  <c r="D146" i="7"/>
  <c r="C147" i="7"/>
  <c r="D147" i="7"/>
  <c r="C148" i="7"/>
  <c r="D148" i="7"/>
  <c r="C149" i="7"/>
  <c r="D149" i="7"/>
  <c r="C150" i="7"/>
  <c r="D150" i="7"/>
  <c r="C151" i="7"/>
  <c r="D151" i="7"/>
  <c r="C152" i="7"/>
  <c r="D152" i="7"/>
  <c r="C153" i="7"/>
  <c r="D153" i="7"/>
  <c r="C154" i="7"/>
  <c r="D154" i="7"/>
  <c r="C155" i="7"/>
  <c r="D155" i="7"/>
  <c r="C156" i="7"/>
  <c r="D156" i="7"/>
  <c r="C157" i="7"/>
  <c r="D157" i="7"/>
  <c r="C158" i="7"/>
  <c r="D158" i="7"/>
  <c r="C159" i="7"/>
  <c r="D159" i="7"/>
  <c r="C160" i="7"/>
  <c r="D160" i="7"/>
  <c r="C161" i="7"/>
  <c r="D161" i="7"/>
  <c r="C162" i="7"/>
  <c r="D162" i="7"/>
  <c r="C163" i="7"/>
  <c r="D163" i="7"/>
  <c r="C164" i="7"/>
  <c r="D164" i="7"/>
  <c r="C165" i="7"/>
  <c r="D165" i="7"/>
  <c r="C166" i="7"/>
  <c r="D166" i="7"/>
  <c r="C167" i="7"/>
  <c r="D167" i="7"/>
  <c r="C168" i="7"/>
  <c r="D168" i="7"/>
  <c r="C169" i="7"/>
  <c r="D169" i="7"/>
  <c r="C170" i="7"/>
  <c r="D170" i="7"/>
  <c r="C171" i="7"/>
  <c r="D171" i="7"/>
  <c r="C172" i="7"/>
  <c r="D172" i="7"/>
  <c r="C173" i="7"/>
  <c r="D173" i="7"/>
  <c r="C174" i="7"/>
  <c r="D174" i="7"/>
  <c r="C175" i="7"/>
  <c r="D175" i="7"/>
  <c r="C176" i="7"/>
  <c r="D176" i="7"/>
  <c r="C177" i="7"/>
  <c r="D177" i="7"/>
  <c r="C178" i="7"/>
  <c r="D178" i="7"/>
  <c r="G126" i="7"/>
  <c r="F126" i="7"/>
  <c r="D126" i="7"/>
  <c r="C126" i="7"/>
  <c r="T127" i="7"/>
  <c r="U127" i="7"/>
  <c r="T128" i="7"/>
  <c r="U128" i="7"/>
  <c r="T129" i="7"/>
  <c r="U129" i="7"/>
  <c r="T130" i="7"/>
  <c r="U130" i="7"/>
  <c r="T131" i="7"/>
  <c r="U131" i="7"/>
  <c r="T132" i="7"/>
  <c r="U132" i="7"/>
  <c r="T133" i="7"/>
  <c r="U133" i="7"/>
  <c r="T134" i="7"/>
  <c r="U134" i="7"/>
  <c r="T135" i="7"/>
  <c r="U135" i="7"/>
  <c r="T136" i="7"/>
  <c r="U136" i="7"/>
  <c r="T137" i="7"/>
  <c r="U137" i="7"/>
  <c r="T138" i="7"/>
  <c r="U138" i="7"/>
  <c r="T139" i="7"/>
  <c r="U139" i="7"/>
  <c r="T140" i="7"/>
  <c r="U140" i="7"/>
  <c r="T141" i="7"/>
  <c r="U141" i="7"/>
  <c r="T142" i="7"/>
  <c r="U142" i="7"/>
  <c r="T143" i="7"/>
  <c r="U143" i="7"/>
  <c r="T144" i="7"/>
  <c r="U144" i="7"/>
  <c r="T145" i="7"/>
  <c r="U145" i="7"/>
  <c r="T146" i="7"/>
  <c r="U146" i="7"/>
  <c r="T147" i="7"/>
  <c r="U147" i="7"/>
  <c r="T148" i="7"/>
  <c r="U148" i="7"/>
  <c r="T149" i="7"/>
  <c r="U149" i="7"/>
  <c r="T150" i="7"/>
  <c r="U150" i="7"/>
  <c r="T151" i="7"/>
  <c r="U151" i="7"/>
  <c r="T152" i="7"/>
  <c r="U152" i="7"/>
  <c r="T153" i="7"/>
  <c r="U153" i="7"/>
  <c r="T156" i="7"/>
  <c r="U156" i="7"/>
  <c r="T157" i="7"/>
  <c r="U157" i="7"/>
  <c r="T158" i="7"/>
  <c r="U158" i="7"/>
  <c r="T159" i="7"/>
  <c r="U159" i="7"/>
  <c r="T160" i="7"/>
  <c r="U160" i="7"/>
  <c r="T161" i="7"/>
  <c r="U161" i="7"/>
  <c r="T162" i="7"/>
  <c r="U162" i="7"/>
  <c r="T163" i="7"/>
  <c r="U163" i="7"/>
  <c r="T164" i="7"/>
  <c r="U164" i="7"/>
  <c r="T165" i="7"/>
  <c r="U165" i="7"/>
  <c r="T166" i="7"/>
  <c r="U166" i="7"/>
  <c r="T167" i="7"/>
  <c r="U167" i="7"/>
  <c r="T168" i="7"/>
  <c r="U168" i="7"/>
  <c r="T169" i="7"/>
  <c r="U169" i="7"/>
  <c r="T170" i="7"/>
  <c r="U170" i="7"/>
  <c r="T171" i="7"/>
  <c r="U171" i="7"/>
  <c r="T172" i="7"/>
  <c r="U172" i="7"/>
  <c r="T173" i="7"/>
  <c r="U173" i="7"/>
  <c r="T174" i="7"/>
  <c r="U174" i="7"/>
  <c r="T175" i="7"/>
  <c r="U175" i="7"/>
  <c r="T176" i="7"/>
  <c r="U176" i="7"/>
  <c r="T177" i="7"/>
  <c r="U177" i="7"/>
  <c r="T178" i="7"/>
  <c r="U178" i="7"/>
  <c r="Q127" i="7"/>
  <c r="R127" i="7"/>
  <c r="Q128" i="7"/>
  <c r="R128" i="7"/>
  <c r="Q129" i="7"/>
  <c r="R129" i="7"/>
  <c r="Q130" i="7"/>
  <c r="R130" i="7"/>
  <c r="Q131" i="7"/>
  <c r="R131" i="7"/>
  <c r="Q132" i="7"/>
  <c r="R132" i="7"/>
  <c r="Q133" i="7"/>
  <c r="R133" i="7"/>
  <c r="Q134" i="7"/>
  <c r="R134" i="7"/>
  <c r="Q135" i="7"/>
  <c r="R135" i="7"/>
  <c r="Q136" i="7"/>
  <c r="R136" i="7"/>
  <c r="Q137" i="7"/>
  <c r="R137" i="7"/>
  <c r="Q138" i="7"/>
  <c r="R138" i="7"/>
  <c r="Q139" i="7"/>
  <c r="R139" i="7"/>
  <c r="Q140" i="7"/>
  <c r="R140" i="7"/>
  <c r="Q141" i="7"/>
  <c r="R141" i="7"/>
  <c r="Q142" i="7"/>
  <c r="R142" i="7"/>
  <c r="Q143" i="7"/>
  <c r="R143" i="7"/>
  <c r="Q144" i="7"/>
  <c r="R144" i="7"/>
  <c r="Q145" i="7"/>
  <c r="R145" i="7"/>
  <c r="Q146" i="7"/>
  <c r="R146" i="7"/>
  <c r="Q147" i="7"/>
  <c r="R147" i="7"/>
  <c r="Q148" i="7"/>
  <c r="R148" i="7"/>
  <c r="Q149" i="7"/>
  <c r="R149" i="7"/>
  <c r="Q150" i="7"/>
  <c r="R150" i="7"/>
  <c r="Q151" i="7"/>
  <c r="R151" i="7"/>
  <c r="Q152" i="7"/>
  <c r="R152" i="7"/>
  <c r="Q153" i="7"/>
  <c r="R153" i="7"/>
  <c r="Q156" i="7"/>
  <c r="R156" i="7"/>
  <c r="Q157" i="7"/>
  <c r="R157" i="7"/>
  <c r="Q158" i="7"/>
  <c r="R158" i="7"/>
  <c r="Q159" i="7"/>
  <c r="R159" i="7"/>
  <c r="Q160" i="7"/>
  <c r="R160" i="7"/>
  <c r="Q161" i="7"/>
  <c r="R161" i="7"/>
  <c r="Q162" i="7"/>
  <c r="R162" i="7"/>
  <c r="Q163" i="7"/>
  <c r="R163" i="7"/>
  <c r="Q164" i="7"/>
  <c r="R164" i="7"/>
  <c r="Q165" i="7"/>
  <c r="R165" i="7"/>
  <c r="Q166" i="7"/>
  <c r="R166" i="7"/>
  <c r="Q167" i="7"/>
  <c r="R167" i="7"/>
  <c r="Q168" i="7"/>
  <c r="R168" i="7"/>
  <c r="Q169" i="7"/>
  <c r="R169" i="7"/>
  <c r="Q170" i="7"/>
  <c r="R170" i="7"/>
  <c r="Q171" i="7"/>
  <c r="R171" i="7"/>
  <c r="Q172" i="7"/>
  <c r="R172" i="7"/>
  <c r="Q173" i="7"/>
  <c r="R173" i="7"/>
  <c r="Q174" i="7"/>
  <c r="R174" i="7"/>
  <c r="Q175" i="7"/>
  <c r="R175" i="7"/>
  <c r="Q176" i="7"/>
  <c r="R176" i="7"/>
  <c r="Q177" i="7"/>
  <c r="R177" i="7"/>
  <c r="Q178" i="7"/>
  <c r="R178" i="7"/>
  <c r="U126" i="7"/>
  <c r="T126" i="7"/>
  <c r="R126" i="7"/>
  <c r="Q126" i="7"/>
  <c r="T69" i="7"/>
  <c r="U69" i="7"/>
  <c r="T70" i="7"/>
  <c r="U70" i="7"/>
  <c r="T71" i="7"/>
  <c r="U71" i="7"/>
  <c r="T72" i="7"/>
  <c r="U72" i="7"/>
  <c r="T73" i="7"/>
  <c r="U73" i="7"/>
  <c r="T74" i="7"/>
  <c r="U74" i="7"/>
  <c r="T75" i="7"/>
  <c r="U75" i="7"/>
  <c r="T76" i="7"/>
  <c r="U76" i="7"/>
  <c r="T77" i="7"/>
  <c r="U77" i="7"/>
  <c r="T78" i="7"/>
  <c r="U78" i="7"/>
  <c r="T79" i="7"/>
  <c r="U79" i="7"/>
  <c r="T80" i="7"/>
  <c r="U80" i="7"/>
  <c r="T81" i="7"/>
  <c r="U81" i="7"/>
  <c r="T82" i="7"/>
  <c r="U82" i="7"/>
  <c r="T83" i="7"/>
  <c r="U83" i="7"/>
  <c r="T84" i="7"/>
  <c r="U84" i="7"/>
  <c r="T85" i="7"/>
  <c r="U85" i="7"/>
  <c r="T89" i="7"/>
  <c r="U89" i="7"/>
  <c r="T90" i="7"/>
  <c r="U90" i="7"/>
  <c r="T91" i="7"/>
  <c r="U91" i="7"/>
  <c r="T92" i="7"/>
  <c r="U92" i="7"/>
  <c r="T93" i="7"/>
  <c r="U93" i="7"/>
  <c r="T96" i="7"/>
  <c r="U96" i="7"/>
  <c r="T97" i="7"/>
  <c r="U97" i="7"/>
  <c r="T98" i="7"/>
  <c r="U98" i="7"/>
  <c r="T99" i="7"/>
  <c r="U99" i="7"/>
  <c r="T100" i="7"/>
  <c r="U100" i="7"/>
  <c r="T101" i="7"/>
  <c r="U101" i="7"/>
  <c r="T102" i="7"/>
  <c r="U102" i="7"/>
  <c r="T103" i="7"/>
  <c r="U103" i="7"/>
  <c r="T104" i="7"/>
  <c r="U104" i="7"/>
  <c r="T105" i="7"/>
  <c r="U105" i="7"/>
  <c r="T106" i="7"/>
  <c r="U106" i="7"/>
  <c r="T107" i="7"/>
  <c r="U107" i="7"/>
  <c r="T108" i="7"/>
  <c r="U108" i="7"/>
  <c r="T109" i="7"/>
  <c r="U109" i="7"/>
  <c r="T110" i="7"/>
  <c r="U110" i="7"/>
  <c r="T111" i="7"/>
  <c r="U111" i="7"/>
  <c r="T112" i="7"/>
  <c r="U112" i="7"/>
  <c r="T113" i="7"/>
  <c r="U113" i="7"/>
  <c r="T114" i="7"/>
  <c r="U114" i="7"/>
  <c r="T115" i="7"/>
  <c r="U115" i="7"/>
  <c r="T116" i="7"/>
  <c r="U116" i="7"/>
  <c r="T117" i="7"/>
  <c r="U117" i="7"/>
  <c r="T118" i="7"/>
  <c r="U118" i="7"/>
  <c r="T119" i="7"/>
  <c r="U119" i="7"/>
  <c r="T120" i="7"/>
  <c r="U120" i="7"/>
  <c r="Q69" i="7"/>
  <c r="R69" i="7"/>
  <c r="Q70" i="7"/>
  <c r="R70" i="7"/>
  <c r="Q71" i="7"/>
  <c r="R71" i="7"/>
  <c r="Q72" i="7"/>
  <c r="R72" i="7"/>
  <c r="Q73" i="7"/>
  <c r="R73" i="7"/>
  <c r="Q74" i="7"/>
  <c r="R74" i="7"/>
  <c r="Q75" i="7"/>
  <c r="R75" i="7"/>
  <c r="Q76" i="7"/>
  <c r="R76" i="7"/>
  <c r="Q77" i="7"/>
  <c r="R77" i="7"/>
  <c r="Q78" i="7"/>
  <c r="R78" i="7"/>
  <c r="Q79" i="7"/>
  <c r="R79" i="7"/>
  <c r="Q80" i="7"/>
  <c r="R80" i="7"/>
  <c r="Q81" i="7"/>
  <c r="R81" i="7"/>
  <c r="Q82" i="7"/>
  <c r="R82" i="7"/>
  <c r="Q83" i="7"/>
  <c r="R83" i="7"/>
  <c r="Q84" i="7"/>
  <c r="R84" i="7"/>
  <c r="Q85" i="7"/>
  <c r="R85" i="7"/>
  <c r="Q89" i="7"/>
  <c r="R89" i="7"/>
  <c r="Q90" i="7"/>
  <c r="R90" i="7"/>
  <c r="Q91" i="7"/>
  <c r="R91" i="7"/>
  <c r="Q92" i="7"/>
  <c r="R92" i="7"/>
  <c r="Q93" i="7"/>
  <c r="R93" i="7"/>
  <c r="Q96" i="7"/>
  <c r="R96" i="7"/>
  <c r="Q97" i="7"/>
  <c r="R97" i="7"/>
  <c r="Q98" i="7"/>
  <c r="R98" i="7"/>
  <c r="Q99" i="7"/>
  <c r="R99" i="7"/>
  <c r="Q100" i="7"/>
  <c r="R100" i="7"/>
  <c r="Q101" i="7"/>
  <c r="R101" i="7"/>
  <c r="Q102" i="7"/>
  <c r="R102" i="7"/>
  <c r="Q103" i="7"/>
  <c r="R103" i="7"/>
  <c r="Q104" i="7"/>
  <c r="R104" i="7"/>
  <c r="Q105" i="7"/>
  <c r="R105" i="7"/>
  <c r="Q106" i="7"/>
  <c r="R106" i="7"/>
  <c r="Q107" i="7"/>
  <c r="R107" i="7"/>
  <c r="Q108" i="7"/>
  <c r="R108" i="7"/>
  <c r="Q109" i="7"/>
  <c r="R109" i="7"/>
  <c r="Q110" i="7"/>
  <c r="R110" i="7"/>
  <c r="Q111" i="7"/>
  <c r="R111" i="7"/>
  <c r="Q112" i="7"/>
  <c r="R112" i="7"/>
  <c r="Q113" i="7"/>
  <c r="R113" i="7"/>
  <c r="Q114" i="7"/>
  <c r="R114" i="7"/>
  <c r="Q115" i="7"/>
  <c r="R115" i="7"/>
  <c r="Q116" i="7"/>
  <c r="R116" i="7"/>
  <c r="Q117" i="7"/>
  <c r="R117" i="7"/>
  <c r="Q118" i="7"/>
  <c r="R118" i="7"/>
  <c r="Q119" i="7"/>
  <c r="R119" i="7"/>
  <c r="Q120" i="7"/>
  <c r="R120" i="7"/>
  <c r="U68" i="7"/>
  <c r="T68" i="7"/>
  <c r="R68" i="7"/>
  <c r="Q68" i="7"/>
  <c r="BS239" i="3" l="1"/>
  <c r="BS265" i="3"/>
  <c r="BM289" i="3"/>
  <c r="BS242" i="3"/>
  <c r="BR252" i="3"/>
  <c r="BS243" i="3"/>
  <c r="BS267" i="3"/>
  <c r="BV266" i="3"/>
  <c r="BU242" i="3"/>
  <c r="BV253" i="3"/>
  <c r="BV245" i="3"/>
  <c r="BR245" i="3"/>
  <c r="BV243" i="3"/>
  <c r="BR243" i="3"/>
  <c r="BU257" i="3"/>
  <c r="BV260" i="3"/>
  <c r="BR260" i="3"/>
  <c r="BV258" i="3"/>
  <c r="BU263" i="3"/>
  <c r="BV267" i="3"/>
  <c r="BL289" i="3"/>
  <c r="BR240" i="3"/>
  <c r="BR242" i="3"/>
  <c r="BU248" i="3"/>
  <c r="BU245" i="3"/>
  <c r="BU243" i="3"/>
  <c r="BW243" i="3" s="1"/>
  <c r="BU260" i="3"/>
  <c r="BU259" i="3"/>
  <c r="BU258" i="3"/>
  <c r="Q87" i="7" s="1"/>
  <c r="BR265" i="3"/>
  <c r="BU267" i="3"/>
  <c r="BU266" i="3"/>
  <c r="Q95" i="7" s="1"/>
  <c r="BS251" i="3"/>
  <c r="BT251" i="3" s="1"/>
  <c r="BS264" i="3"/>
  <c r="BR267" i="3"/>
  <c r="BV242" i="3"/>
  <c r="BU251" i="3"/>
  <c r="BV257" i="3"/>
  <c r="BV263" i="3"/>
  <c r="BR239" i="3"/>
  <c r="BU240" i="3"/>
  <c r="BV250" i="3"/>
  <c r="BV248" i="3"/>
  <c r="BR248" i="3"/>
  <c r="BV259" i="3"/>
  <c r="BU264" i="3"/>
  <c r="BU265" i="3"/>
  <c r="BR263" i="3"/>
  <c r="BR247" i="3"/>
  <c r="BV251" i="3"/>
  <c r="BX293" i="3"/>
  <c r="BV240" i="3"/>
  <c r="BS253" i="3"/>
  <c r="BT253" i="3" s="1"/>
  <c r="BU250" i="3"/>
  <c r="BU246" i="3"/>
  <c r="BS245" i="3"/>
  <c r="BS260" i="3"/>
  <c r="BV265" i="3"/>
  <c r="BU253" i="3"/>
  <c r="BW253" i="3" s="1"/>
  <c r="BS248" i="3"/>
  <c r="E141" i="7"/>
  <c r="H143" i="7"/>
  <c r="H127" i="7"/>
  <c r="H144" i="7"/>
  <c r="BV244" i="3"/>
  <c r="BU244" i="3"/>
  <c r="BV264" i="3"/>
  <c r="BS268" i="3"/>
  <c r="BV249" i="3"/>
  <c r="BR244" i="3"/>
  <c r="BU239" i="3"/>
  <c r="BS240" i="3"/>
  <c r="BV252" i="3"/>
  <c r="BR268" i="3"/>
  <c r="BS244" i="3"/>
  <c r="BL288" i="3"/>
  <c r="BV239" i="3"/>
  <c r="H140" i="7"/>
  <c r="H136" i="7"/>
  <c r="BM288" i="3"/>
  <c r="BQ289" i="3"/>
  <c r="BR254" i="3"/>
  <c r="BT254" i="3" s="1"/>
  <c r="H148" i="7"/>
  <c r="H132" i="7"/>
  <c r="H128" i="7"/>
  <c r="E126" i="7"/>
  <c r="BS255" i="3"/>
  <c r="BU255" i="3"/>
  <c r="BV255" i="3"/>
  <c r="BR255" i="3"/>
  <c r="BU254" i="3"/>
  <c r="BV254" i="3"/>
  <c r="BS252" i="3"/>
  <c r="BU252" i="3"/>
  <c r="BS249" i="3"/>
  <c r="BT249" i="3" s="1"/>
  <c r="BU249" i="3"/>
  <c r="BU247" i="3"/>
  <c r="BV247" i="3"/>
  <c r="BS247" i="3"/>
  <c r="BR246" i="3"/>
  <c r="BV246" i="3"/>
  <c r="BS246" i="3"/>
  <c r="BR233" i="3"/>
  <c r="BR294" i="3" s="1"/>
  <c r="BT250" i="3"/>
  <c r="E139" i="7"/>
  <c r="E137" i="7"/>
  <c r="E135" i="7"/>
  <c r="E133" i="7"/>
  <c r="E131" i="7"/>
  <c r="E129" i="7"/>
  <c r="E127" i="7"/>
  <c r="H151" i="7"/>
  <c r="H149" i="7"/>
  <c r="H147" i="7"/>
  <c r="H145" i="7"/>
  <c r="H141" i="7"/>
  <c r="H139" i="7"/>
  <c r="H137" i="7"/>
  <c r="H135" i="7"/>
  <c r="H133" i="7"/>
  <c r="H131" i="7"/>
  <c r="H129" i="7"/>
  <c r="E142" i="7"/>
  <c r="E138" i="7"/>
  <c r="E134" i="7"/>
  <c r="E130" i="7"/>
  <c r="H126" i="7"/>
  <c r="E128" i="7"/>
  <c r="H130" i="7"/>
  <c r="H134" i="7"/>
  <c r="H138" i="7"/>
  <c r="E132" i="7"/>
  <c r="E136" i="7"/>
  <c r="E140" i="7"/>
  <c r="H142" i="7"/>
  <c r="H146" i="7"/>
  <c r="H150" i="7"/>
  <c r="BT243" i="3" l="1"/>
  <c r="BW250" i="3"/>
  <c r="R246" i="7"/>
  <c r="BT252" i="3"/>
  <c r="U261" i="7"/>
  <c r="Q261" i="7"/>
  <c r="R261" i="7"/>
  <c r="BT239" i="3"/>
  <c r="BW242" i="3"/>
  <c r="BW251" i="3"/>
  <c r="T246" i="7"/>
  <c r="BW248" i="3"/>
  <c r="BT242" i="3"/>
  <c r="Q154" i="7"/>
  <c r="T95" i="7"/>
  <c r="BN289" i="3"/>
  <c r="R87" i="7"/>
  <c r="U86" i="7"/>
  <c r="T87" i="7"/>
  <c r="T261" i="7"/>
  <c r="R243" i="7"/>
  <c r="U208" i="7"/>
  <c r="T245" i="7"/>
  <c r="R86" i="7"/>
  <c r="R248" i="7"/>
  <c r="T155" i="7"/>
  <c r="T86" i="7"/>
  <c r="R154" i="7"/>
  <c r="R155" i="7"/>
  <c r="BW245" i="3"/>
  <c r="Q86" i="7"/>
  <c r="U245" i="7"/>
  <c r="R94" i="7"/>
  <c r="BW263" i="3"/>
  <c r="R88" i="7"/>
  <c r="T154" i="7"/>
  <c r="BW260" i="3"/>
  <c r="Q245" i="7"/>
  <c r="U87" i="7"/>
  <c r="U246" i="7"/>
  <c r="U154" i="7"/>
  <c r="U204" i="7"/>
  <c r="U95" i="7"/>
  <c r="R95" i="7"/>
  <c r="BW257" i="3"/>
  <c r="T263" i="7"/>
  <c r="Q262" i="7"/>
  <c r="BW258" i="3"/>
  <c r="BT247" i="3"/>
  <c r="R245" i="7"/>
  <c r="Q246" i="7"/>
  <c r="U248" i="7"/>
  <c r="Q94" i="7"/>
  <c r="R208" i="7"/>
  <c r="U94" i="7"/>
  <c r="T94" i="7"/>
  <c r="BT240" i="3"/>
  <c r="Q208" i="7"/>
  <c r="BT248" i="3"/>
  <c r="BW240" i="3"/>
  <c r="Q248" i="7"/>
  <c r="BW246" i="3"/>
  <c r="R242" i="7"/>
  <c r="R204" i="7"/>
  <c r="T204" i="7"/>
  <c r="BT245" i="3"/>
  <c r="T208" i="7"/>
  <c r="Q88" i="7"/>
  <c r="BW249" i="3"/>
  <c r="U242" i="7"/>
  <c r="T248" i="7"/>
  <c r="BW259" i="3"/>
  <c r="BW264" i="3"/>
  <c r="R247" i="7"/>
  <c r="T243" i="7"/>
  <c r="U88" i="7"/>
  <c r="T88" i="7"/>
  <c r="Q263" i="7"/>
  <c r="Q204" i="7"/>
  <c r="U243" i="7"/>
  <c r="BW252" i="3"/>
  <c r="Q242" i="7"/>
  <c r="R262" i="7"/>
  <c r="U263" i="7"/>
  <c r="U262" i="7"/>
  <c r="T262" i="7"/>
  <c r="R263" i="7"/>
  <c r="BT244" i="3"/>
  <c r="BW247" i="3"/>
  <c r="BW254" i="3"/>
  <c r="T242" i="7"/>
  <c r="BW239" i="3"/>
  <c r="U247" i="7"/>
  <c r="BT255" i="3"/>
  <c r="BN288" i="3"/>
  <c r="Q247" i="7"/>
  <c r="Q243" i="7"/>
  <c r="Q155" i="7"/>
  <c r="U155" i="7"/>
  <c r="BW244" i="3"/>
  <c r="T247" i="7"/>
  <c r="BW255" i="3"/>
  <c r="BR292" i="3"/>
  <c r="BS292" i="3"/>
  <c r="BU292" i="3"/>
  <c r="BV292" i="3"/>
  <c r="BT246" i="3"/>
  <c r="BR298" i="3" l="1"/>
  <c r="BR293" i="3"/>
  <c r="T42" i="1"/>
  <c r="W42" i="1" s="1"/>
  <c r="N42" i="1" l="1"/>
  <c r="Q42" i="1" s="1"/>
  <c r="V360" i="7"/>
  <c r="S294" i="7"/>
  <c r="S293" i="7"/>
  <c r="S292" i="7"/>
  <c r="S291" i="7"/>
  <c r="S290" i="7"/>
  <c r="S289" i="7"/>
  <c r="S288" i="7"/>
  <c r="S287" i="7"/>
  <c r="S286" i="7"/>
  <c r="S285" i="7"/>
  <c r="S284" i="7"/>
  <c r="S283" i="7"/>
  <c r="S282" i="7"/>
  <c r="S281" i="7"/>
  <c r="S280" i="7"/>
  <c r="S279" i="7"/>
  <c r="S278" i="7"/>
  <c r="S277" i="7"/>
  <c r="S276" i="7"/>
  <c r="S275" i="7"/>
  <c r="S274" i="7"/>
  <c r="S273" i="7"/>
  <c r="S272" i="7"/>
  <c r="S271" i="7"/>
  <c r="S270" i="7"/>
  <c r="S269" i="7"/>
  <c r="S268" i="7"/>
  <c r="S267" i="7"/>
  <c r="S266" i="7"/>
  <c r="S265" i="7"/>
  <c r="S264" i="7"/>
  <c r="S263" i="7"/>
  <c r="S262" i="7"/>
  <c r="S261" i="7"/>
  <c r="S260" i="7"/>
  <c r="S259" i="7"/>
  <c r="T36" i="7"/>
  <c r="T328" i="7" s="1"/>
  <c r="U36" i="7"/>
  <c r="U328" i="7" s="1"/>
  <c r="T37" i="7"/>
  <c r="T329" i="7" s="1"/>
  <c r="U37" i="7"/>
  <c r="U329" i="7" s="1"/>
  <c r="T38" i="7"/>
  <c r="T330" i="7" s="1"/>
  <c r="U38" i="7"/>
  <c r="U330" i="7" s="1"/>
  <c r="T39" i="7"/>
  <c r="T331" i="7" s="1"/>
  <c r="U39" i="7"/>
  <c r="U331" i="7" s="1"/>
  <c r="T40" i="7"/>
  <c r="T332" i="7" s="1"/>
  <c r="U40" i="7"/>
  <c r="U332" i="7" s="1"/>
  <c r="T41" i="7"/>
  <c r="T333" i="7" s="1"/>
  <c r="U41" i="7"/>
  <c r="U333" i="7" s="1"/>
  <c r="T42" i="7"/>
  <c r="T334" i="7" s="1"/>
  <c r="U42" i="7"/>
  <c r="U334" i="7" s="1"/>
  <c r="T43" i="7"/>
  <c r="T335" i="7" s="1"/>
  <c r="U43" i="7"/>
  <c r="U335" i="7" s="1"/>
  <c r="T44" i="7"/>
  <c r="T336" i="7" s="1"/>
  <c r="U44" i="7"/>
  <c r="U336" i="7" s="1"/>
  <c r="T45" i="7"/>
  <c r="T337" i="7" s="1"/>
  <c r="U45" i="7"/>
  <c r="U337" i="7" s="1"/>
  <c r="T46" i="7"/>
  <c r="T338" i="7" s="1"/>
  <c r="U46" i="7"/>
  <c r="U338" i="7" s="1"/>
  <c r="T47" i="7"/>
  <c r="T339" i="7" s="1"/>
  <c r="U47" i="7"/>
  <c r="U339" i="7" s="1"/>
  <c r="T48" i="7"/>
  <c r="T340" i="7" s="1"/>
  <c r="U48" i="7"/>
  <c r="U340" i="7" s="1"/>
  <c r="T49" i="7"/>
  <c r="T341" i="7" s="1"/>
  <c r="U49" i="7"/>
  <c r="U341" i="7" s="1"/>
  <c r="T50" i="7"/>
  <c r="T342" i="7" s="1"/>
  <c r="U50" i="7"/>
  <c r="U342" i="7" s="1"/>
  <c r="T51" i="7"/>
  <c r="T343" i="7" s="1"/>
  <c r="U51" i="7"/>
  <c r="U343" i="7" s="1"/>
  <c r="T52" i="7"/>
  <c r="T344" i="7" s="1"/>
  <c r="U52" i="7"/>
  <c r="U344" i="7" s="1"/>
  <c r="T53" i="7"/>
  <c r="T345" i="7" s="1"/>
  <c r="U53" i="7"/>
  <c r="U345" i="7" s="1"/>
  <c r="T54" i="7"/>
  <c r="T346" i="7" s="1"/>
  <c r="U54" i="7"/>
  <c r="U346" i="7" s="1"/>
  <c r="T55" i="7"/>
  <c r="T347" i="7" s="1"/>
  <c r="U55" i="7"/>
  <c r="U347" i="7" s="1"/>
  <c r="T56" i="7"/>
  <c r="T348" i="7" s="1"/>
  <c r="U56" i="7"/>
  <c r="U348" i="7" s="1"/>
  <c r="T57" i="7"/>
  <c r="T349" i="7" s="1"/>
  <c r="U57" i="7"/>
  <c r="U349" i="7" s="1"/>
  <c r="T58" i="7"/>
  <c r="T350" i="7" s="1"/>
  <c r="U58" i="7"/>
  <c r="U350" i="7" s="1"/>
  <c r="T59" i="7"/>
  <c r="T351" i="7" s="1"/>
  <c r="U59" i="7"/>
  <c r="U351" i="7" s="1"/>
  <c r="T60" i="7"/>
  <c r="T352" i="7" s="1"/>
  <c r="U60" i="7"/>
  <c r="U352" i="7" s="1"/>
  <c r="T61" i="7"/>
  <c r="T353" i="7" s="1"/>
  <c r="U61" i="7"/>
  <c r="U353" i="7" s="1"/>
  <c r="T35" i="7"/>
  <c r="T327" i="7" s="1"/>
  <c r="U35" i="7"/>
  <c r="U327" i="7" s="1"/>
  <c r="Q28" i="7"/>
  <c r="Q320" i="7" s="1"/>
  <c r="R28" i="7"/>
  <c r="R320" i="7" s="1"/>
  <c r="Q29" i="7"/>
  <c r="Q321" i="7" s="1"/>
  <c r="R29" i="7"/>
  <c r="R321" i="7" s="1"/>
  <c r="Q30" i="7"/>
  <c r="Q322" i="7" s="1"/>
  <c r="R30" i="7"/>
  <c r="R322" i="7" s="1"/>
  <c r="Q31" i="7"/>
  <c r="Q323" i="7" s="1"/>
  <c r="R31" i="7"/>
  <c r="R323" i="7" s="1"/>
  <c r="Q32" i="7"/>
  <c r="Q324" i="7" s="1"/>
  <c r="R32" i="7"/>
  <c r="R324" i="7" s="1"/>
  <c r="Q33" i="7"/>
  <c r="Q325" i="7" s="1"/>
  <c r="R33" i="7"/>
  <c r="R325" i="7" s="1"/>
  <c r="Q34" i="7"/>
  <c r="Q326" i="7" s="1"/>
  <c r="R34" i="7"/>
  <c r="R326" i="7" s="1"/>
  <c r="Q35" i="7"/>
  <c r="Q327" i="7" s="1"/>
  <c r="R35" i="7"/>
  <c r="R327" i="7" s="1"/>
  <c r="Q36" i="7"/>
  <c r="Q328" i="7" s="1"/>
  <c r="R36" i="7"/>
  <c r="R328" i="7" s="1"/>
  <c r="Q37" i="7"/>
  <c r="Q329" i="7" s="1"/>
  <c r="R37" i="7"/>
  <c r="R329" i="7" s="1"/>
  <c r="Q38" i="7"/>
  <c r="Q330" i="7" s="1"/>
  <c r="R38" i="7"/>
  <c r="R330" i="7" s="1"/>
  <c r="Q39" i="7"/>
  <c r="Q331" i="7" s="1"/>
  <c r="R39" i="7"/>
  <c r="R331" i="7" s="1"/>
  <c r="Q40" i="7"/>
  <c r="Q332" i="7" s="1"/>
  <c r="R40" i="7"/>
  <c r="R332" i="7" s="1"/>
  <c r="Q41" i="7"/>
  <c r="Q333" i="7" s="1"/>
  <c r="R41" i="7"/>
  <c r="R333" i="7" s="1"/>
  <c r="Q42" i="7"/>
  <c r="Q334" i="7" s="1"/>
  <c r="R42" i="7"/>
  <c r="R334" i="7" s="1"/>
  <c r="Q43" i="7"/>
  <c r="Q335" i="7" s="1"/>
  <c r="R43" i="7"/>
  <c r="R335" i="7" s="1"/>
  <c r="Q44" i="7"/>
  <c r="Q336" i="7" s="1"/>
  <c r="R44" i="7"/>
  <c r="R336" i="7" s="1"/>
  <c r="Q45" i="7"/>
  <c r="Q337" i="7" s="1"/>
  <c r="R45" i="7"/>
  <c r="R337" i="7" s="1"/>
  <c r="Q46" i="7"/>
  <c r="Q338" i="7" s="1"/>
  <c r="R46" i="7"/>
  <c r="R338" i="7" s="1"/>
  <c r="Q47" i="7"/>
  <c r="Q339" i="7" s="1"/>
  <c r="R47" i="7"/>
  <c r="R339" i="7" s="1"/>
  <c r="Q48" i="7"/>
  <c r="Q340" i="7" s="1"/>
  <c r="R48" i="7"/>
  <c r="R340" i="7" s="1"/>
  <c r="Q49" i="7"/>
  <c r="Q341" i="7" s="1"/>
  <c r="R49" i="7"/>
  <c r="R341" i="7" s="1"/>
  <c r="Q50" i="7"/>
  <c r="Q342" i="7" s="1"/>
  <c r="R50" i="7"/>
  <c r="R342" i="7" s="1"/>
  <c r="Q51" i="7"/>
  <c r="Q343" i="7" s="1"/>
  <c r="R51" i="7"/>
  <c r="R343" i="7" s="1"/>
  <c r="Q52" i="7"/>
  <c r="Q344" i="7" s="1"/>
  <c r="R52" i="7"/>
  <c r="R344" i="7" s="1"/>
  <c r="Q53" i="7"/>
  <c r="Q345" i="7" s="1"/>
  <c r="R53" i="7"/>
  <c r="R345" i="7" s="1"/>
  <c r="Q54" i="7"/>
  <c r="Q346" i="7" s="1"/>
  <c r="R54" i="7"/>
  <c r="R346" i="7" s="1"/>
  <c r="Q55" i="7"/>
  <c r="Q347" i="7" s="1"/>
  <c r="R55" i="7"/>
  <c r="R347" i="7" s="1"/>
  <c r="Q56" i="7"/>
  <c r="Q348" i="7" s="1"/>
  <c r="R56" i="7"/>
  <c r="R348" i="7" s="1"/>
  <c r="Q57" i="7"/>
  <c r="Q349" i="7" s="1"/>
  <c r="R57" i="7"/>
  <c r="R349" i="7" s="1"/>
  <c r="Q58" i="7"/>
  <c r="Q350" i="7" s="1"/>
  <c r="R58" i="7"/>
  <c r="R350" i="7" s="1"/>
  <c r="Q59" i="7"/>
  <c r="Q351" i="7" s="1"/>
  <c r="R59" i="7"/>
  <c r="R351" i="7" s="1"/>
  <c r="Q60" i="7"/>
  <c r="Q352" i="7" s="1"/>
  <c r="R60" i="7"/>
  <c r="R352" i="7" s="1"/>
  <c r="Q61" i="7"/>
  <c r="Q353" i="7" s="1"/>
  <c r="R61" i="7"/>
  <c r="R353" i="7" s="1"/>
  <c r="Q27" i="7"/>
  <c r="Q319" i="7" s="1"/>
  <c r="R27" i="7"/>
  <c r="R319" i="7" s="1"/>
  <c r="T10" i="7"/>
  <c r="T302" i="7" s="1"/>
  <c r="U10" i="7"/>
  <c r="U302" i="7" s="1"/>
  <c r="T11" i="7"/>
  <c r="T303" i="7" s="1"/>
  <c r="U11" i="7"/>
  <c r="U303" i="7" s="1"/>
  <c r="T12" i="7"/>
  <c r="T304" i="7" s="1"/>
  <c r="U12" i="7"/>
  <c r="U304" i="7" s="1"/>
  <c r="T13" i="7"/>
  <c r="T305" i="7" s="1"/>
  <c r="U13" i="7"/>
  <c r="U305" i="7" s="1"/>
  <c r="T14" i="7"/>
  <c r="T306" i="7" s="1"/>
  <c r="U14" i="7"/>
  <c r="U306" i="7" s="1"/>
  <c r="T15" i="7"/>
  <c r="T307" i="7" s="1"/>
  <c r="U15" i="7"/>
  <c r="U307" i="7" s="1"/>
  <c r="T16" i="7"/>
  <c r="T308" i="7" s="1"/>
  <c r="U16" i="7"/>
  <c r="U308" i="7" s="1"/>
  <c r="T17" i="7"/>
  <c r="T309" i="7" s="1"/>
  <c r="U17" i="7"/>
  <c r="U309" i="7" s="1"/>
  <c r="T18" i="7"/>
  <c r="T310" i="7" s="1"/>
  <c r="U18" i="7"/>
  <c r="U310" i="7" s="1"/>
  <c r="T19" i="7"/>
  <c r="T311" i="7" s="1"/>
  <c r="U19" i="7"/>
  <c r="U311" i="7" s="1"/>
  <c r="T20" i="7"/>
  <c r="T312" i="7" s="1"/>
  <c r="U20" i="7"/>
  <c r="U312" i="7" s="1"/>
  <c r="T21" i="7"/>
  <c r="T313" i="7" s="1"/>
  <c r="U21" i="7"/>
  <c r="U313" i="7" s="1"/>
  <c r="T22" i="7"/>
  <c r="T314" i="7" s="1"/>
  <c r="U22" i="7"/>
  <c r="U314" i="7" s="1"/>
  <c r="T23" i="7"/>
  <c r="T315" i="7" s="1"/>
  <c r="U23" i="7"/>
  <c r="U315" i="7" s="1"/>
  <c r="T24" i="7"/>
  <c r="T316" i="7" s="1"/>
  <c r="U24" i="7"/>
  <c r="U316" i="7" s="1"/>
  <c r="T25" i="7"/>
  <c r="T317" i="7" s="1"/>
  <c r="U25" i="7"/>
  <c r="U317" i="7" s="1"/>
  <c r="T26" i="7"/>
  <c r="T318" i="7" s="1"/>
  <c r="U26" i="7"/>
  <c r="U318" i="7" s="1"/>
  <c r="T27" i="7"/>
  <c r="T319" i="7" s="1"/>
  <c r="U27" i="7"/>
  <c r="U319" i="7" s="1"/>
  <c r="T28" i="7"/>
  <c r="T320" i="7" s="1"/>
  <c r="U28" i="7"/>
  <c r="U320" i="7" s="1"/>
  <c r="T29" i="7"/>
  <c r="T321" i="7" s="1"/>
  <c r="U29" i="7"/>
  <c r="U321" i="7" s="1"/>
  <c r="T30" i="7"/>
  <c r="T322" i="7" s="1"/>
  <c r="U30" i="7"/>
  <c r="U322" i="7" s="1"/>
  <c r="T31" i="7"/>
  <c r="T323" i="7" s="1"/>
  <c r="U31" i="7"/>
  <c r="U323" i="7" s="1"/>
  <c r="T32" i="7"/>
  <c r="T324" i="7" s="1"/>
  <c r="U32" i="7"/>
  <c r="U324" i="7" s="1"/>
  <c r="T33" i="7"/>
  <c r="T325" i="7" s="1"/>
  <c r="U33" i="7"/>
  <c r="U325" i="7" s="1"/>
  <c r="T34" i="7"/>
  <c r="T326" i="7" s="1"/>
  <c r="U34" i="7"/>
  <c r="U326" i="7" s="1"/>
  <c r="Q10" i="7"/>
  <c r="Q302" i="7" s="1"/>
  <c r="R10" i="7"/>
  <c r="R302" i="7" s="1"/>
  <c r="Q11" i="7"/>
  <c r="Q303" i="7" s="1"/>
  <c r="R11" i="7"/>
  <c r="R303" i="7" s="1"/>
  <c r="Q12" i="7"/>
  <c r="Q304" i="7" s="1"/>
  <c r="R12" i="7"/>
  <c r="R304" i="7" s="1"/>
  <c r="Q13" i="7"/>
  <c r="Q305" i="7" s="1"/>
  <c r="R13" i="7"/>
  <c r="R305" i="7" s="1"/>
  <c r="Q14" i="7"/>
  <c r="Q306" i="7" s="1"/>
  <c r="R14" i="7"/>
  <c r="R306" i="7" s="1"/>
  <c r="Q15" i="7"/>
  <c r="Q307" i="7" s="1"/>
  <c r="R15" i="7"/>
  <c r="R307" i="7" s="1"/>
  <c r="Q16" i="7"/>
  <c r="Q308" i="7" s="1"/>
  <c r="R16" i="7"/>
  <c r="R308" i="7" s="1"/>
  <c r="Q17" i="7"/>
  <c r="Q309" i="7" s="1"/>
  <c r="R17" i="7"/>
  <c r="R309" i="7" s="1"/>
  <c r="Q18" i="7"/>
  <c r="Q310" i="7" s="1"/>
  <c r="R18" i="7"/>
  <c r="R310" i="7" s="1"/>
  <c r="Q19" i="7"/>
  <c r="Q311" i="7" s="1"/>
  <c r="R19" i="7"/>
  <c r="R311" i="7" s="1"/>
  <c r="Q20" i="7"/>
  <c r="Q312" i="7" s="1"/>
  <c r="R20" i="7"/>
  <c r="R312" i="7" s="1"/>
  <c r="Q21" i="7"/>
  <c r="Q313" i="7" s="1"/>
  <c r="R21" i="7"/>
  <c r="R313" i="7" s="1"/>
  <c r="Q22" i="7"/>
  <c r="Q314" i="7" s="1"/>
  <c r="R22" i="7"/>
  <c r="R314" i="7" s="1"/>
  <c r="Q23" i="7"/>
  <c r="Q315" i="7" s="1"/>
  <c r="R23" i="7"/>
  <c r="R315" i="7" s="1"/>
  <c r="Q24" i="7"/>
  <c r="Q316" i="7" s="1"/>
  <c r="R24" i="7"/>
  <c r="R316" i="7" s="1"/>
  <c r="Q25" i="7"/>
  <c r="Q317" i="7" s="1"/>
  <c r="R25" i="7"/>
  <c r="R317" i="7" s="1"/>
  <c r="Q26" i="7"/>
  <c r="Q318" i="7" s="1"/>
  <c r="R26" i="7"/>
  <c r="R318" i="7" s="1"/>
  <c r="U9" i="7"/>
  <c r="U301" i="7" s="1"/>
  <c r="T9" i="7"/>
  <c r="T301" i="7" s="1"/>
  <c r="R9" i="7"/>
  <c r="R301" i="7" s="1"/>
  <c r="Q9" i="7"/>
  <c r="Q301" i="7" s="1"/>
  <c r="AP53" i="6"/>
  <c r="AP57" i="6" l="1"/>
  <c r="AP58" i="6"/>
  <c r="AP59" i="6"/>
  <c r="AP60" i="6"/>
  <c r="AP55" i="6"/>
  <c r="AX32" i="2"/>
  <c r="AW32" i="2"/>
  <c r="AX31" i="2"/>
  <c r="AW31" i="2"/>
  <c r="AX38" i="2"/>
  <c r="H42" i="1" s="1"/>
  <c r="AW36" i="2"/>
  <c r="E42" i="1" s="1"/>
  <c r="AI42" i="1" s="1"/>
  <c r="AU34" i="2"/>
  <c r="AQ34" i="2"/>
  <c r="AW34" i="2"/>
  <c r="B42" i="1" s="1"/>
  <c r="AP61" i="6" l="1"/>
  <c r="AU42" i="1"/>
  <c r="AX33" i="2"/>
  <c r="AW33" i="2"/>
  <c r="AW40" i="2"/>
  <c r="AQ42" i="1"/>
  <c r="AS42" i="1" l="1"/>
  <c r="BP62" i="4"/>
  <c r="BQ22" i="4" s="1"/>
  <c r="N5" i="7"/>
  <c r="L142" i="7" l="1"/>
  <c r="E175" i="7"/>
  <c r="L128" i="7"/>
  <c r="O129" i="7"/>
  <c r="O145" i="7"/>
  <c r="L132" i="7"/>
  <c r="H160" i="7"/>
  <c r="H156" i="7"/>
  <c r="L140" i="7"/>
  <c r="L136" i="7"/>
  <c r="L130" i="7"/>
  <c r="L126" i="7"/>
  <c r="H177" i="7"/>
  <c r="E158" i="7"/>
  <c r="H164" i="7"/>
  <c r="L131" i="7"/>
  <c r="E170" i="7"/>
  <c r="L138" i="7"/>
  <c r="O151" i="7"/>
  <c r="H152" i="7"/>
  <c r="H172" i="7"/>
  <c r="L134" i="7"/>
  <c r="O126" i="7"/>
  <c r="H161" i="7"/>
  <c r="E146" i="7"/>
  <c r="O142" i="7"/>
  <c r="H171" i="7"/>
  <c r="H163" i="7"/>
  <c r="H153" i="7"/>
  <c r="O148" i="7"/>
  <c r="E174" i="7"/>
  <c r="E171" i="7"/>
  <c r="E163" i="7"/>
  <c r="E155" i="7"/>
  <c r="E147" i="7"/>
  <c r="O137" i="7"/>
  <c r="L129" i="7"/>
  <c r="L137" i="7"/>
  <c r="O149" i="7"/>
  <c r="E148" i="7"/>
  <c r="E156" i="7"/>
  <c r="E164" i="7"/>
  <c r="E172" i="7"/>
  <c r="O146" i="7"/>
  <c r="O128" i="7"/>
  <c r="H173" i="7"/>
  <c r="H165" i="7"/>
  <c r="H155" i="7"/>
  <c r="O130" i="7"/>
  <c r="E178" i="7"/>
  <c r="E154" i="7"/>
  <c r="H168" i="7"/>
  <c r="E173" i="7"/>
  <c r="E165" i="7"/>
  <c r="E157" i="7"/>
  <c r="E149" i="7"/>
  <c r="O143" i="7"/>
  <c r="L127" i="7"/>
  <c r="L135" i="7"/>
  <c r="O147" i="7"/>
  <c r="H154" i="7"/>
  <c r="H162" i="7"/>
  <c r="H170" i="7"/>
  <c r="H178" i="7"/>
  <c r="E150" i="7"/>
  <c r="O138" i="7"/>
  <c r="O150" i="7"/>
  <c r="O132" i="7"/>
  <c r="H175" i="7"/>
  <c r="H167" i="7"/>
  <c r="H157" i="7"/>
  <c r="O134" i="7"/>
  <c r="L133" i="7"/>
  <c r="E162" i="7"/>
  <c r="H176" i="7"/>
  <c r="E177" i="7"/>
  <c r="E167" i="7"/>
  <c r="E159" i="7"/>
  <c r="E151" i="7"/>
  <c r="E143" i="7"/>
  <c r="O127" i="7"/>
  <c r="O133" i="7"/>
  <c r="O141" i="7"/>
  <c r="E144" i="7"/>
  <c r="E152" i="7"/>
  <c r="E160" i="7"/>
  <c r="E168" i="7"/>
  <c r="E176" i="7"/>
  <c r="O140" i="7"/>
  <c r="O136" i="7"/>
  <c r="L139" i="7"/>
  <c r="H169" i="7"/>
  <c r="H159" i="7"/>
  <c r="O144" i="7"/>
  <c r="L141" i="7"/>
  <c r="E166" i="7"/>
  <c r="E169" i="7"/>
  <c r="E161" i="7"/>
  <c r="E153" i="7"/>
  <c r="E145" i="7"/>
  <c r="O135" i="7"/>
  <c r="O131" i="7"/>
  <c r="O139" i="7"/>
  <c r="H158" i="7"/>
  <c r="H166" i="7"/>
  <c r="H174" i="7"/>
  <c r="BQ39" i="4"/>
  <c r="BN33" i="4"/>
  <c r="BN39" i="4"/>
  <c r="BQ32" i="4"/>
  <c r="BN28" i="4"/>
  <c r="BQ33" i="4"/>
  <c r="BN29" i="4"/>
  <c r="BN23" i="4"/>
  <c r="BN22" i="4"/>
  <c r="BQ41" i="4"/>
  <c r="BQ31" i="4"/>
  <c r="BN41" i="4"/>
  <c r="BN32" i="4"/>
  <c r="BN31" i="4"/>
  <c r="V265" i="7"/>
  <c r="S197" i="7"/>
  <c r="V31" i="7"/>
  <c r="V196" i="7"/>
  <c r="V11" i="7"/>
  <c r="S185" i="7"/>
  <c r="V255" i="7"/>
  <c r="S72" i="7"/>
  <c r="S84" i="7"/>
  <c r="S17" i="7"/>
  <c r="V264" i="7"/>
  <c r="S254" i="7"/>
  <c r="S186" i="7"/>
  <c r="V89" i="7"/>
  <c r="V252" i="7"/>
  <c r="S81" i="7"/>
  <c r="V86" i="7"/>
  <c r="V198" i="7"/>
  <c r="S243" i="7"/>
  <c r="V26" i="7"/>
  <c r="S68" i="7"/>
  <c r="V25" i="7"/>
  <c r="S244" i="7"/>
  <c r="V18" i="7"/>
  <c r="V248" i="7"/>
  <c r="S19" i="7"/>
  <c r="S22" i="7"/>
  <c r="V21" i="7"/>
  <c r="V14" i="7"/>
  <c r="V199" i="7"/>
  <c r="V91" i="7"/>
  <c r="V10" i="7"/>
  <c r="S73" i="7"/>
  <c r="S255" i="7"/>
  <c r="S245" i="7"/>
  <c r="V82" i="7"/>
  <c r="V78" i="7"/>
  <c r="V13" i="7"/>
  <c r="V258" i="7"/>
  <c r="V194" i="7"/>
  <c r="V205" i="7"/>
  <c r="V187" i="7"/>
  <c r="V85" i="7"/>
  <c r="BK46" i="4"/>
  <c r="BK33" i="4"/>
  <c r="BH44" i="4"/>
  <c r="BH32" i="4"/>
  <c r="BQ28" i="4"/>
  <c r="BK38" i="4"/>
  <c r="BH46" i="4"/>
  <c r="BH33" i="4"/>
  <c r="BH26" i="4"/>
  <c r="BK40" i="4"/>
  <c r="BH38" i="4"/>
  <c r="BK44" i="4"/>
  <c r="BH40" i="4"/>
  <c r="BQ29" i="4"/>
  <c r="BH27" i="4"/>
  <c r="BK32" i="4"/>
  <c r="BH29" i="4"/>
  <c r="BL198" i="3"/>
  <c r="BL197" i="3"/>
  <c r="BL196" i="3"/>
  <c r="BL195" i="3"/>
  <c r="BL194" i="3"/>
  <c r="BL193" i="3"/>
  <c r="BL192" i="3"/>
  <c r="BL191" i="3"/>
  <c r="BL190" i="3"/>
  <c r="BL189" i="3"/>
  <c r="BL188" i="3"/>
  <c r="BL187" i="3"/>
  <c r="BL133" i="3"/>
  <c r="BM133" i="3"/>
  <c r="BN133" i="3"/>
  <c r="BO133" i="3"/>
  <c r="BP133" i="3"/>
  <c r="BQ133" i="3"/>
  <c r="BS60" i="4" l="1"/>
  <c r="V139" i="7"/>
  <c r="S139" i="7"/>
  <c r="S314" i="7" s="1"/>
  <c r="V129" i="7"/>
  <c r="L154" i="7"/>
  <c r="L170" i="7"/>
  <c r="O165" i="7"/>
  <c r="V127" i="7"/>
  <c r="S133" i="7"/>
  <c r="L158" i="7"/>
  <c r="O169" i="7"/>
  <c r="S140" i="7"/>
  <c r="V138" i="7"/>
  <c r="L150" i="7"/>
  <c r="L166" i="7"/>
  <c r="O161" i="7"/>
  <c r="O177" i="7"/>
  <c r="V147" i="7"/>
  <c r="L146" i="7"/>
  <c r="L162" i="7"/>
  <c r="L178" i="7"/>
  <c r="O157" i="7"/>
  <c r="O173" i="7"/>
  <c r="L174" i="7"/>
  <c r="O153" i="7"/>
  <c r="S126" i="7"/>
  <c r="O178" i="7"/>
  <c r="O172" i="7"/>
  <c r="O158" i="7"/>
  <c r="L177" i="7"/>
  <c r="L159" i="7"/>
  <c r="L143" i="7"/>
  <c r="S136" i="7"/>
  <c r="O175" i="7"/>
  <c r="O159" i="7"/>
  <c r="O166" i="7"/>
  <c r="L175" i="7"/>
  <c r="L161" i="7"/>
  <c r="L145" i="7"/>
  <c r="L176" i="7"/>
  <c r="L160" i="7"/>
  <c r="L144" i="7"/>
  <c r="V143" i="7"/>
  <c r="V133" i="7"/>
  <c r="S141" i="7"/>
  <c r="S129" i="7"/>
  <c r="V128" i="7"/>
  <c r="V136" i="7"/>
  <c r="V144" i="7"/>
  <c r="V146" i="7"/>
  <c r="O176" i="7"/>
  <c r="O162" i="7"/>
  <c r="L163" i="7"/>
  <c r="L147" i="7"/>
  <c r="S142" i="7"/>
  <c r="S128" i="7"/>
  <c r="O163" i="7"/>
  <c r="O170" i="7"/>
  <c r="O152" i="7"/>
  <c r="L165" i="7"/>
  <c r="L149" i="7"/>
  <c r="L164" i="7"/>
  <c r="L148" i="7"/>
  <c r="V145" i="7"/>
  <c r="V135" i="7"/>
  <c r="S131" i="7"/>
  <c r="V126" i="7"/>
  <c r="V134" i="7"/>
  <c r="V142" i="7"/>
  <c r="V130" i="7"/>
  <c r="O164" i="7"/>
  <c r="L167" i="7"/>
  <c r="L151" i="7"/>
  <c r="S132" i="7"/>
  <c r="O167" i="7"/>
  <c r="O174" i="7"/>
  <c r="O156" i="7"/>
  <c r="L169" i="7"/>
  <c r="L153" i="7"/>
  <c r="L168" i="7"/>
  <c r="L152" i="7"/>
  <c r="V149" i="7"/>
  <c r="V137" i="7"/>
  <c r="S135" i="7"/>
  <c r="V132" i="7"/>
  <c r="V140" i="7"/>
  <c r="V150" i="7"/>
  <c r="O168" i="7"/>
  <c r="O154" i="7"/>
  <c r="L173" i="7"/>
  <c r="L155" i="7"/>
  <c r="S134" i="7"/>
  <c r="O171" i="7"/>
  <c r="O155" i="7"/>
  <c r="O160" i="7"/>
  <c r="L171" i="7"/>
  <c r="L157" i="7"/>
  <c r="L172" i="7"/>
  <c r="L156" i="7"/>
  <c r="V151" i="7"/>
  <c r="V141" i="7"/>
  <c r="V131" i="7"/>
  <c r="S137" i="7"/>
  <c r="S127" i="7"/>
  <c r="S130" i="7"/>
  <c r="S138" i="7"/>
  <c r="V148" i="7"/>
  <c r="V203" i="7"/>
  <c r="S199" i="7"/>
  <c r="V84" i="7"/>
  <c r="V73" i="7"/>
  <c r="S187" i="7"/>
  <c r="S75" i="7"/>
  <c r="V81" i="7"/>
  <c r="S184" i="7"/>
  <c r="V34" i="7"/>
  <c r="V79" i="7"/>
  <c r="V72" i="7"/>
  <c r="V206" i="7"/>
  <c r="V242" i="7"/>
  <c r="S20" i="7"/>
  <c r="S194" i="7"/>
  <c r="S83" i="7"/>
  <c r="S11" i="7"/>
  <c r="V259" i="7"/>
  <c r="BR56" i="4"/>
  <c r="S42" i="1" s="1"/>
  <c r="V42" i="1" s="1"/>
  <c r="V28" i="7"/>
  <c r="V266" i="7"/>
  <c r="S258" i="7"/>
  <c r="V33" i="7"/>
  <c r="V257" i="7"/>
  <c r="V75" i="7"/>
  <c r="V260" i="7"/>
  <c r="S198" i="7"/>
  <c r="S14" i="7"/>
  <c r="V22" i="7"/>
  <c r="S242" i="7"/>
  <c r="V92" i="7"/>
  <c r="S192" i="7"/>
  <c r="V244" i="7"/>
  <c r="S71" i="7"/>
  <c r="S250" i="7"/>
  <c r="V197" i="7"/>
  <c r="V267" i="7"/>
  <c r="V23" i="7"/>
  <c r="V76" i="7"/>
  <c r="V256" i="7"/>
  <c r="V195" i="7"/>
  <c r="S21" i="7"/>
  <c r="S246" i="7"/>
  <c r="V93" i="7"/>
  <c r="S196" i="7"/>
  <c r="S23" i="7"/>
  <c r="V254" i="7"/>
  <c r="V20" i="7"/>
  <c r="S200" i="7"/>
  <c r="V208" i="7"/>
  <c r="V30" i="7"/>
  <c r="V80" i="7"/>
  <c r="V189" i="7"/>
  <c r="V186" i="7"/>
  <c r="V19" i="7"/>
  <c r="V247" i="7"/>
  <c r="V15" i="7"/>
  <c r="V243" i="7"/>
  <c r="V188" i="7"/>
  <c r="V204" i="7"/>
  <c r="S74" i="7"/>
  <c r="S253" i="7"/>
  <c r="V185" i="7"/>
  <c r="S77" i="7"/>
  <c r="V190" i="7"/>
  <c r="S247" i="7"/>
  <c r="V71" i="7"/>
  <c r="S252" i="7"/>
  <c r="V29" i="7"/>
  <c r="V207" i="7"/>
  <c r="S69" i="7"/>
  <c r="S70" i="7"/>
  <c r="V88" i="7"/>
  <c r="V74" i="7"/>
  <c r="V193" i="7"/>
  <c r="S190" i="7"/>
  <c r="S9" i="7"/>
  <c r="V69" i="7"/>
  <c r="S25" i="7"/>
  <c r="V12" i="7"/>
  <c r="V202" i="7"/>
  <c r="V251" i="7"/>
  <c r="V27" i="7"/>
  <c r="V192" i="7"/>
  <c r="S189" i="7"/>
  <c r="S257" i="7"/>
  <c r="S256" i="7"/>
  <c r="S24" i="7"/>
  <c r="V68" i="7"/>
  <c r="V77" i="7"/>
  <c r="S78" i="7"/>
  <c r="V250" i="7"/>
  <c r="S13" i="7"/>
  <c r="V24" i="7"/>
  <c r="V16" i="7"/>
  <c r="V70" i="7"/>
  <c r="V87" i="7"/>
  <c r="V83" i="7"/>
  <c r="V261" i="7"/>
  <c r="V17" i="7"/>
  <c r="V191" i="7"/>
  <c r="V32" i="7"/>
  <c r="V263" i="7"/>
  <c r="S191" i="7"/>
  <c r="V249" i="7"/>
  <c r="S248" i="7"/>
  <c r="S18" i="7"/>
  <c r="V246" i="7"/>
  <c r="S16" i="7"/>
  <c r="S251" i="7"/>
  <c r="S188" i="7"/>
  <c r="S12" i="7"/>
  <c r="S76" i="7"/>
  <c r="V262" i="7"/>
  <c r="V90" i="7"/>
  <c r="S10" i="7"/>
  <c r="V245" i="7"/>
  <c r="S79" i="7"/>
  <c r="V209" i="7"/>
  <c r="V201" i="7"/>
  <c r="S195" i="7"/>
  <c r="V253" i="7"/>
  <c r="V184" i="7"/>
  <c r="S15" i="7"/>
  <c r="S193" i="7"/>
  <c r="S80" i="7"/>
  <c r="V200" i="7"/>
  <c r="S82" i="7"/>
  <c r="S249" i="7"/>
  <c r="V9" i="7"/>
  <c r="BL250" i="3"/>
  <c r="BM250" i="3"/>
  <c r="BO250" i="3"/>
  <c r="BP250" i="3"/>
  <c r="BL206" i="3"/>
  <c r="S309" i="7" l="1"/>
  <c r="V313" i="7"/>
  <c r="V324" i="7"/>
  <c r="S301" i="7"/>
  <c r="S316" i="7"/>
  <c r="V323" i="7"/>
  <c r="S311" i="7"/>
  <c r="V310" i="7"/>
  <c r="V317" i="7"/>
  <c r="V302" i="7"/>
  <c r="V305" i="7"/>
  <c r="S305" i="7"/>
  <c r="V321" i="7"/>
  <c r="V303" i="7"/>
  <c r="V314" i="7"/>
  <c r="S303" i="7"/>
  <c r="V306" i="7"/>
  <c r="V318" i="7"/>
  <c r="S308" i="7"/>
  <c r="V307" i="7"/>
  <c r="S307" i="7"/>
  <c r="S302" i="7"/>
  <c r="S304" i="7"/>
  <c r="V309" i="7"/>
  <c r="V304" i="7"/>
  <c r="V312" i="7"/>
  <c r="S306" i="7"/>
  <c r="V320" i="7"/>
  <c r="S310" i="7"/>
  <c r="V308" i="7"/>
  <c r="V319" i="7"/>
  <c r="S317" i="7"/>
  <c r="V311" i="7"/>
  <c r="V322" i="7"/>
  <c r="V325" i="7"/>
  <c r="V326" i="7"/>
  <c r="V301" i="7"/>
  <c r="V316" i="7"/>
  <c r="S315" i="7"/>
  <c r="S313" i="7"/>
  <c r="V315" i="7"/>
  <c r="S312" i="7"/>
  <c r="BN250" i="3"/>
  <c r="BQ250" i="3"/>
  <c r="U42" i="1"/>
  <c r="X42" i="1" s="1"/>
  <c r="C243" i="7"/>
  <c r="D243" i="7"/>
  <c r="F243" i="7"/>
  <c r="G243" i="7"/>
  <c r="C244" i="7"/>
  <c r="D244" i="7"/>
  <c r="F244" i="7"/>
  <c r="G244" i="7"/>
  <c r="C245" i="7"/>
  <c r="D245" i="7"/>
  <c r="F245" i="7"/>
  <c r="G245" i="7"/>
  <c r="J245" i="7"/>
  <c r="K245" i="7"/>
  <c r="M245" i="7"/>
  <c r="N245" i="7"/>
  <c r="C246" i="7"/>
  <c r="D246" i="7"/>
  <c r="F246" i="7"/>
  <c r="G246" i="7"/>
  <c r="J246" i="7"/>
  <c r="K246" i="7"/>
  <c r="M246" i="7"/>
  <c r="N246" i="7"/>
  <c r="C247" i="7"/>
  <c r="D247" i="7"/>
  <c r="F247" i="7"/>
  <c r="G247" i="7"/>
  <c r="J247" i="7"/>
  <c r="K247" i="7"/>
  <c r="M247" i="7"/>
  <c r="N247" i="7"/>
  <c r="C248" i="7"/>
  <c r="D248" i="7"/>
  <c r="F248" i="7"/>
  <c r="G248" i="7"/>
  <c r="J248" i="7"/>
  <c r="K248" i="7"/>
  <c r="M248" i="7"/>
  <c r="N248" i="7"/>
  <c r="C249" i="7"/>
  <c r="D249" i="7"/>
  <c r="F249" i="7"/>
  <c r="G249" i="7"/>
  <c r="J249" i="7"/>
  <c r="K249" i="7"/>
  <c r="M249" i="7"/>
  <c r="N249" i="7"/>
  <c r="C250" i="7"/>
  <c r="D250" i="7"/>
  <c r="F250" i="7"/>
  <c r="G250" i="7"/>
  <c r="J250" i="7"/>
  <c r="K250" i="7"/>
  <c r="M250" i="7"/>
  <c r="N250" i="7"/>
  <c r="C251" i="7"/>
  <c r="D251" i="7"/>
  <c r="F251" i="7"/>
  <c r="G251" i="7"/>
  <c r="J251" i="7"/>
  <c r="K251" i="7"/>
  <c r="M251" i="7"/>
  <c r="N251" i="7"/>
  <c r="C252" i="7"/>
  <c r="D252" i="7"/>
  <c r="F252" i="7"/>
  <c r="G252" i="7"/>
  <c r="J252" i="7"/>
  <c r="K252" i="7"/>
  <c r="M252" i="7"/>
  <c r="N252" i="7"/>
  <c r="C253" i="7"/>
  <c r="D253" i="7"/>
  <c r="F253" i="7"/>
  <c r="G253" i="7"/>
  <c r="J253" i="7"/>
  <c r="K253" i="7"/>
  <c r="M253" i="7"/>
  <c r="N253" i="7"/>
  <c r="C254" i="7"/>
  <c r="D254" i="7"/>
  <c r="F254" i="7"/>
  <c r="G254" i="7"/>
  <c r="J254" i="7"/>
  <c r="K254" i="7"/>
  <c r="M254" i="7"/>
  <c r="N254" i="7"/>
  <c r="C255" i="7"/>
  <c r="D255" i="7"/>
  <c r="F255" i="7"/>
  <c r="G255" i="7"/>
  <c r="J255" i="7"/>
  <c r="K255" i="7"/>
  <c r="M255" i="7"/>
  <c r="N255" i="7"/>
  <c r="C256" i="7"/>
  <c r="D256" i="7"/>
  <c r="F256" i="7"/>
  <c r="G256" i="7"/>
  <c r="J256" i="7"/>
  <c r="K256" i="7"/>
  <c r="M256" i="7"/>
  <c r="N256" i="7"/>
  <c r="C257" i="7"/>
  <c r="D257" i="7"/>
  <c r="F257" i="7"/>
  <c r="G257" i="7"/>
  <c r="J257" i="7"/>
  <c r="K257" i="7"/>
  <c r="M257" i="7"/>
  <c r="N257" i="7"/>
  <c r="C258" i="7"/>
  <c r="D258" i="7"/>
  <c r="F258" i="7"/>
  <c r="G258" i="7"/>
  <c r="J258" i="7"/>
  <c r="K258" i="7"/>
  <c r="M258" i="7"/>
  <c r="N258" i="7"/>
  <c r="C259" i="7"/>
  <c r="D259" i="7"/>
  <c r="F259" i="7"/>
  <c r="G259" i="7"/>
  <c r="J259" i="7"/>
  <c r="K259" i="7"/>
  <c r="M259" i="7"/>
  <c r="N259" i="7"/>
  <c r="C260" i="7"/>
  <c r="D260" i="7"/>
  <c r="F260" i="7"/>
  <c r="G260" i="7"/>
  <c r="J260" i="7"/>
  <c r="K260" i="7"/>
  <c r="M260" i="7"/>
  <c r="N260" i="7"/>
  <c r="C262" i="7"/>
  <c r="D262" i="7"/>
  <c r="F262" i="7"/>
  <c r="G262" i="7"/>
  <c r="J263" i="7"/>
  <c r="K263" i="7"/>
  <c r="M263" i="7"/>
  <c r="N263" i="7"/>
  <c r="C264" i="7"/>
  <c r="D264" i="7"/>
  <c r="F264" i="7"/>
  <c r="G264" i="7"/>
  <c r="J264" i="7"/>
  <c r="K264" i="7"/>
  <c r="M264" i="7"/>
  <c r="N264" i="7"/>
  <c r="C265" i="7"/>
  <c r="D265" i="7"/>
  <c r="F265" i="7"/>
  <c r="G265" i="7"/>
  <c r="J265" i="7"/>
  <c r="K265" i="7"/>
  <c r="M265" i="7"/>
  <c r="N265" i="7"/>
  <c r="C266" i="7"/>
  <c r="D266" i="7"/>
  <c r="F266" i="7"/>
  <c r="G266" i="7"/>
  <c r="J266" i="7"/>
  <c r="K266" i="7"/>
  <c r="M266" i="7"/>
  <c r="N266" i="7"/>
  <c r="C267" i="7"/>
  <c r="D267" i="7"/>
  <c r="F267" i="7"/>
  <c r="G267" i="7"/>
  <c r="J267" i="7"/>
  <c r="K267" i="7"/>
  <c r="M267" i="7"/>
  <c r="N267" i="7"/>
  <c r="C268" i="7"/>
  <c r="D268" i="7"/>
  <c r="F268" i="7"/>
  <c r="G268" i="7"/>
  <c r="J268" i="7"/>
  <c r="K268" i="7"/>
  <c r="M268" i="7"/>
  <c r="N268" i="7"/>
  <c r="C269" i="7"/>
  <c r="D269" i="7"/>
  <c r="F269" i="7"/>
  <c r="G269" i="7"/>
  <c r="J269" i="7"/>
  <c r="K269" i="7"/>
  <c r="M269" i="7"/>
  <c r="N269" i="7"/>
  <c r="C270" i="7"/>
  <c r="D270" i="7"/>
  <c r="F270" i="7"/>
  <c r="G270" i="7"/>
  <c r="J270" i="7"/>
  <c r="K270" i="7"/>
  <c r="M270" i="7"/>
  <c r="N270" i="7"/>
  <c r="C271" i="7"/>
  <c r="D271" i="7"/>
  <c r="F271" i="7"/>
  <c r="G271" i="7"/>
  <c r="J271" i="7"/>
  <c r="K271" i="7"/>
  <c r="M271" i="7"/>
  <c r="N271" i="7"/>
  <c r="C272" i="7"/>
  <c r="D272" i="7"/>
  <c r="F272" i="7"/>
  <c r="G272" i="7"/>
  <c r="J272" i="7"/>
  <c r="K272" i="7"/>
  <c r="M272" i="7"/>
  <c r="N272" i="7"/>
  <c r="C273" i="7"/>
  <c r="D273" i="7"/>
  <c r="F273" i="7"/>
  <c r="G273" i="7"/>
  <c r="J273" i="7"/>
  <c r="K273" i="7"/>
  <c r="M273" i="7"/>
  <c r="N273" i="7"/>
  <c r="C274" i="7"/>
  <c r="D274" i="7"/>
  <c r="F274" i="7"/>
  <c r="G274" i="7"/>
  <c r="J274" i="7"/>
  <c r="K274" i="7"/>
  <c r="M274" i="7"/>
  <c r="N274" i="7"/>
  <c r="C275" i="7"/>
  <c r="D275" i="7"/>
  <c r="F275" i="7"/>
  <c r="G275" i="7"/>
  <c r="J275" i="7"/>
  <c r="K275" i="7"/>
  <c r="M275" i="7"/>
  <c r="N275" i="7"/>
  <c r="C276" i="7"/>
  <c r="D276" i="7"/>
  <c r="F276" i="7"/>
  <c r="G276" i="7"/>
  <c r="J276" i="7"/>
  <c r="K276" i="7"/>
  <c r="M276" i="7"/>
  <c r="N276" i="7"/>
  <c r="C277" i="7"/>
  <c r="D277" i="7"/>
  <c r="F277" i="7"/>
  <c r="G277" i="7"/>
  <c r="J277" i="7"/>
  <c r="K277" i="7"/>
  <c r="M277" i="7"/>
  <c r="N277" i="7"/>
  <c r="C278" i="7"/>
  <c r="D278" i="7"/>
  <c r="F278" i="7"/>
  <c r="G278" i="7"/>
  <c r="J278" i="7"/>
  <c r="K278" i="7"/>
  <c r="M278" i="7"/>
  <c r="N278" i="7"/>
  <c r="C279" i="7"/>
  <c r="D279" i="7"/>
  <c r="F279" i="7"/>
  <c r="G279" i="7"/>
  <c r="J279" i="7"/>
  <c r="K279" i="7"/>
  <c r="M279" i="7"/>
  <c r="N279" i="7"/>
  <c r="C280" i="7"/>
  <c r="D280" i="7"/>
  <c r="F280" i="7"/>
  <c r="G280" i="7"/>
  <c r="J280" i="7"/>
  <c r="K280" i="7"/>
  <c r="M280" i="7"/>
  <c r="N280" i="7"/>
  <c r="C281" i="7"/>
  <c r="D281" i="7"/>
  <c r="F281" i="7"/>
  <c r="G281" i="7"/>
  <c r="J281" i="7"/>
  <c r="K281" i="7"/>
  <c r="M281" i="7"/>
  <c r="N281" i="7"/>
  <c r="C282" i="7"/>
  <c r="D282" i="7"/>
  <c r="F282" i="7"/>
  <c r="G282" i="7"/>
  <c r="J282" i="7"/>
  <c r="K282" i="7"/>
  <c r="M282" i="7"/>
  <c r="N282" i="7"/>
  <c r="J283" i="7"/>
  <c r="K283" i="7"/>
  <c r="M283" i="7"/>
  <c r="N283" i="7"/>
  <c r="C284" i="7"/>
  <c r="D284" i="7"/>
  <c r="F284" i="7"/>
  <c r="G284" i="7"/>
  <c r="J284" i="7"/>
  <c r="K284" i="7"/>
  <c r="M284" i="7"/>
  <c r="N284" i="7"/>
  <c r="C285" i="7"/>
  <c r="D285" i="7"/>
  <c r="F285" i="7"/>
  <c r="G285" i="7"/>
  <c r="J285" i="7"/>
  <c r="K285" i="7"/>
  <c r="M285" i="7"/>
  <c r="N285" i="7"/>
  <c r="C286" i="7"/>
  <c r="D286" i="7"/>
  <c r="F286" i="7"/>
  <c r="G286" i="7"/>
  <c r="J286" i="7"/>
  <c r="K286" i="7"/>
  <c r="M286" i="7"/>
  <c r="N286" i="7"/>
  <c r="C287" i="7"/>
  <c r="D287" i="7"/>
  <c r="F287" i="7"/>
  <c r="G287" i="7"/>
  <c r="J287" i="7"/>
  <c r="K287" i="7"/>
  <c r="M287" i="7"/>
  <c r="N287" i="7"/>
  <c r="C288" i="7"/>
  <c r="D288" i="7"/>
  <c r="F288" i="7"/>
  <c r="G288" i="7"/>
  <c r="J288" i="7"/>
  <c r="K288" i="7"/>
  <c r="M288" i="7"/>
  <c r="N288" i="7"/>
  <c r="C289" i="7"/>
  <c r="D289" i="7"/>
  <c r="F289" i="7"/>
  <c r="G289" i="7"/>
  <c r="J289" i="7"/>
  <c r="K289" i="7"/>
  <c r="M289" i="7"/>
  <c r="N289" i="7"/>
  <c r="C290" i="7"/>
  <c r="D290" i="7"/>
  <c r="F290" i="7"/>
  <c r="G290" i="7"/>
  <c r="J290" i="7"/>
  <c r="K290" i="7"/>
  <c r="M290" i="7"/>
  <c r="N290" i="7"/>
  <c r="C291" i="7"/>
  <c r="D291" i="7"/>
  <c r="F291" i="7"/>
  <c r="G291" i="7"/>
  <c r="J292" i="7"/>
  <c r="K292" i="7"/>
  <c r="M292" i="7"/>
  <c r="N292" i="7"/>
  <c r="J293" i="7"/>
  <c r="K293" i="7"/>
  <c r="M293" i="7"/>
  <c r="N293" i="7"/>
  <c r="C294" i="7"/>
  <c r="D294" i="7"/>
  <c r="F294" i="7"/>
  <c r="G294" i="7"/>
  <c r="J294" i="7"/>
  <c r="K294" i="7"/>
  <c r="M294" i="7"/>
  <c r="N294" i="7"/>
  <c r="G242" i="7"/>
  <c r="F242" i="7"/>
  <c r="D242" i="7"/>
  <c r="C242" i="7"/>
  <c r="C185" i="7"/>
  <c r="D185" i="7"/>
  <c r="F185" i="7"/>
  <c r="G185" i="7"/>
  <c r="J185" i="7"/>
  <c r="K185" i="7"/>
  <c r="M185" i="7"/>
  <c r="N185" i="7"/>
  <c r="C186" i="7"/>
  <c r="D186" i="7"/>
  <c r="F186" i="7"/>
  <c r="G186" i="7"/>
  <c r="J186" i="7"/>
  <c r="K186" i="7"/>
  <c r="M186" i="7"/>
  <c r="N186" i="7"/>
  <c r="C187" i="7"/>
  <c r="D187" i="7"/>
  <c r="F187" i="7"/>
  <c r="G187" i="7"/>
  <c r="J187" i="7"/>
  <c r="K187" i="7"/>
  <c r="M187" i="7"/>
  <c r="N187" i="7"/>
  <c r="C188" i="7"/>
  <c r="D188" i="7"/>
  <c r="F188" i="7"/>
  <c r="G188" i="7"/>
  <c r="J188" i="7"/>
  <c r="K188" i="7"/>
  <c r="M188" i="7"/>
  <c r="N188" i="7"/>
  <c r="C189" i="7"/>
  <c r="D189" i="7"/>
  <c r="F189" i="7"/>
  <c r="G189" i="7"/>
  <c r="J189" i="7"/>
  <c r="K189" i="7"/>
  <c r="M189" i="7"/>
  <c r="N189" i="7"/>
  <c r="C190" i="7"/>
  <c r="D190" i="7"/>
  <c r="F190" i="7"/>
  <c r="G190" i="7"/>
  <c r="J190" i="7"/>
  <c r="K190" i="7"/>
  <c r="M190" i="7"/>
  <c r="N190" i="7"/>
  <c r="C191" i="7"/>
  <c r="D191" i="7"/>
  <c r="F191" i="7"/>
  <c r="G191" i="7"/>
  <c r="J191" i="7"/>
  <c r="K191" i="7"/>
  <c r="M191" i="7"/>
  <c r="N191" i="7"/>
  <c r="C192" i="7"/>
  <c r="D192" i="7"/>
  <c r="F192" i="7"/>
  <c r="G192" i="7"/>
  <c r="J192" i="7"/>
  <c r="K192" i="7"/>
  <c r="M192" i="7"/>
  <c r="N192" i="7"/>
  <c r="C193" i="7"/>
  <c r="D193" i="7"/>
  <c r="F193" i="7"/>
  <c r="G193" i="7"/>
  <c r="J193" i="7"/>
  <c r="K193" i="7"/>
  <c r="M193" i="7"/>
  <c r="N193" i="7"/>
  <c r="C194" i="7"/>
  <c r="D194" i="7"/>
  <c r="F194" i="7"/>
  <c r="G194" i="7"/>
  <c r="J194" i="7"/>
  <c r="K194" i="7"/>
  <c r="M194" i="7"/>
  <c r="N194" i="7"/>
  <c r="C195" i="7"/>
  <c r="D195" i="7"/>
  <c r="F195" i="7"/>
  <c r="G195" i="7"/>
  <c r="J195" i="7"/>
  <c r="K195" i="7"/>
  <c r="M195" i="7"/>
  <c r="N195" i="7"/>
  <c r="C196" i="7"/>
  <c r="D196" i="7"/>
  <c r="F196" i="7"/>
  <c r="G196" i="7"/>
  <c r="J196" i="7"/>
  <c r="K196" i="7"/>
  <c r="M196" i="7"/>
  <c r="N196" i="7"/>
  <c r="C197" i="7"/>
  <c r="D197" i="7"/>
  <c r="F197" i="7"/>
  <c r="G197" i="7"/>
  <c r="J197" i="7"/>
  <c r="K197" i="7"/>
  <c r="M197" i="7"/>
  <c r="N197" i="7"/>
  <c r="C198" i="7"/>
  <c r="D198" i="7"/>
  <c r="F198" i="7"/>
  <c r="G198" i="7"/>
  <c r="J198" i="7"/>
  <c r="K198" i="7"/>
  <c r="M198" i="7"/>
  <c r="N198" i="7"/>
  <c r="C199" i="7"/>
  <c r="D199" i="7"/>
  <c r="F199" i="7"/>
  <c r="G199" i="7"/>
  <c r="J199" i="7"/>
  <c r="K199" i="7"/>
  <c r="M199" i="7"/>
  <c r="N199" i="7"/>
  <c r="C200" i="7"/>
  <c r="D200" i="7"/>
  <c r="F200" i="7"/>
  <c r="G200" i="7"/>
  <c r="J200" i="7"/>
  <c r="K200" i="7"/>
  <c r="M200" i="7"/>
  <c r="N200" i="7"/>
  <c r="C201" i="7"/>
  <c r="D201" i="7"/>
  <c r="F201" i="7"/>
  <c r="G201" i="7"/>
  <c r="J201" i="7"/>
  <c r="K201" i="7"/>
  <c r="M201" i="7"/>
  <c r="N201" i="7"/>
  <c r="C202" i="7"/>
  <c r="D202" i="7"/>
  <c r="F202" i="7"/>
  <c r="G202" i="7"/>
  <c r="C203" i="7"/>
  <c r="D203" i="7"/>
  <c r="F203" i="7"/>
  <c r="G203" i="7"/>
  <c r="J203" i="7"/>
  <c r="K203" i="7"/>
  <c r="M203" i="7"/>
  <c r="N203" i="7"/>
  <c r="C204" i="7"/>
  <c r="D204" i="7"/>
  <c r="F204" i="7"/>
  <c r="G204" i="7"/>
  <c r="C205" i="7"/>
  <c r="D205" i="7"/>
  <c r="F205" i="7"/>
  <c r="G205" i="7"/>
  <c r="J205" i="7"/>
  <c r="K205" i="7"/>
  <c r="M205" i="7"/>
  <c r="N205" i="7"/>
  <c r="C206" i="7"/>
  <c r="D206" i="7"/>
  <c r="F206" i="7"/>
  <c r="G206" i="7"/>
  <c r="J206" i="7"/>
  <c r="K206" i="7"/>
  <c r="M206" i="7"/>
  <c r="N206" i="7"/>
  <c r="C207" i="7"/>
  <c r="D207" i="7"/>
  <c r="F207" i="7"/>
  <c r="G207" i="7"/>
  <c r="J207" i="7"/>
  <c r="K207" i="7"/>
  <c r="M207" i="7"/>
  <c r="N207" i="7"/>
  <c r="C208" i="7"/>
  <c r="D208" i="7"/>
  <c r="F208" i="7"/>
  <c r="G208" i="7"/>
  <c r="C209" i="7"/>
  <c r="D209" i="7"/>
  <c r="F209" i="7"/>
  <c r="G209" i="7"/>
  <c r="J209" i="7"/>
  <c r="K209" i="7"/>
  <c r="M209" i="7"/>
  <c r="N209" i="7"/>
  <c r="C210" i="7"/>
  <c r="D210" i="7"/>
  <c r="F210" i="7"/>
  <c r="G210" i="7"/>
  <c r="C211" i="7"/>
  <c r="D211" i="7"/>
  <c r="F211" i="7"/>
  <c r="G211" i="7"/>
  <c r="C212" i="7"/>
  <c r="D212" i="7"/>
  <c r="F212" i="7"/>
  <c r="G212" i="7"/>
  <c r="J212" i="7"/>
  <c r="K212" i="7"/>
  <c r="M212" i="7"/>
  <c r="N212" i="7"/>
  <c r="C213" i="7"/>
  <c r="D213" i="7"/>
  <c r="F213" i="7"/>
  <c r="G213" i="7"/>
  <c r="J213" i="7"/>
  <c r="K213" i="7"/>
  <c r="M213" i="7"/>
  <c r="N213" i="7"/>
  <c r="C214" i="7"/>
  <c r="D214" i="7"/>
  <c r="F214" i="7"/>
  <c r="G214" i="7"/>
  <c r="J214" i="7"/>
  <c r="K214" i="7"/>
  <c r="M214" i="7"/>
  <c r="N214" i="7"/>
  <c r="C215" i="7"/>
  <c r="D215" i="7"/>
  <c r="F215" i="7"/>
  <c r="G215" i="7"/>
  <c r="J215" i="7"/>
  <c r="K215" i="7"/>
  <c r="M215" i="7"/>
  <c r="N215" i="7"/>
  <c r="C216" i="7"/>
  <c r="D216" i="7"/>
  <c r="F216" i="7"/>
  <c r="G216" i="7"/>
  <c r="J216" i="7"/>
  <c r="K216" i="7"/>
  <c r="M216" i="7"/>
  <c r="N216" i="7"/>
  <c r="C217" i="7"/>
  <c r="D217" i="7"/>
  <c r="F217" i="7"/>
  <c r="G217" i="7"/>
  <c r="J217" i="7"/>
  <c r="K217" i="7"/>
  <c r="M217" i="7"/>
  <c r="N217" i="7"/>
  <c r="C218" i="7"/>
  <c r="D218" i="7"/>
  <c r="F218" i="7"/>
  <c r="G218" i="7"/>
  <c r="J218" i="7"/>
  <c r="K218" i="7"/>
  <c r="M218" i="7"/>
  <c r="N218" i="7"/>
  <c r="C219" i="7"/>
  <c r="D219" i="7"/>
  <c r="F219" i="7"/>
  <c r="G219" i="7"/>
  <c r="C220" i="7"/>
  <c r="D220" i="7"/>
  <c r="F220" i="7"/>
  <c r="G220" i="7"/>
  <c r="J220" i="7"/>
  <c r="K220" i="7"/>
  <c r="M220" i="7"/>
  <c r="N220" i="7"/>
  <c r="C221" i="7"/>
  <c r="D221" i="7"/>
  <c r="F221" i="7"/>
  <c r="G221" i="7"/>
  <c r="J221" i="7"/>
  <c r="K221" i="7"/>
  <c r="M221" i="7"/>
  <c r="N221" i="7"/>
  <c r="C222" i="7"/>
  <c r="D222" i="7"/>
  <c r="F222" i="7"/>
  <c r="G222" i="7"/>
  <c r="J222" i="7"/>
  <c r="K222" i="7"/>
  <c r="M222" i="7"/>
  <c r="N222" i="7"/>
  <c r="C223" i="7"/>
  <c r="D223" i="7"/>
  <c r="F223" i="7"/>
  <c r="G223" i="7"/>
  <c r="J223" i="7"/>
  <c r="K223" i="7"/>
  <c r="M223" i="7"/>
  <c r="N223" i="7"/>
  <c r="C224" i="7"/>
  <c r="D224" i="7"/>
  <c r="F224" i="7"/>
  <c r="G224" i="7"/>
  <c r="J224" i="7"/>
  <c r="K224" i="7"/>
  <c r="M224" i="7"/>
  <c r="N224" i="7"/>
  <c r="C225" i="7"/>
  <c r="D225" i="7"/>
  <c r="F225" i="7"/>
  <c r="G225" i="7"/>
  <c r="J225" i="7"/>
  <c r="K225" i="7"/>
  <c r="M225" i="7"/>
  <c r="N225" i="7"/>
  <c r="C226" i="7"/>
  <c r="D226" i="7"/>
  <c r="F226" i="7"/>
  <c r="G226" i="7"/>
  <c r="J226" i="7"/>
  <c r="K226" i="7"/>
  <c r="M226" i="7"/>
  <c r="N226" i="7"/>
  <c r="C227" i="7"/>
  <c r="D227" i="7"/>
  <c r="F227" i="7"/>
  <c r="G227" i="7"/>
  <c r="J227" i="7"/>
  <c r="K227" i="7"/>
  <c r="M227" i="7"/>
  <c r="N227" i="7"/>
  <c r="C228" i="7"/>
  <c r="D228" i="7"/>
  <c r="F228" i="7"/>
  <c r="G228" i="7"/>
  <c r="J228" i="7"/>
  <c r="K228" i="7"/>
  <c r="M228" i="7"/>
  <c r="N228" i="7"/>
  <c r="C229" i="7"/>
  <c r="D229" i="7"/>
  <c r="F229" i="7"/>
  <c r="G229" i="7"/>
  <c r="J229" i="7"/>
  <c r="K229" i="7"/>
  <c r="M229" i="7"/>
  <c r="N229" i="7"/>
  <c r="C230" i="7"/>
  <c r="D230" i="7"/>
  <c r="F230" i="7"/>
  <c r="G230" i="7"/>
  <c r="J230" i="7"/>
  <c r="K230" i="7"/>
  <c r="M230" i="7"/>
  <c r="N230" i="7"/>
  <c r="C231" i="7"/>
  <c r="D231" i="7"/>
  <c r="F231" i="7"/>
  <c r="G231" i="7"/>
  <c r="J231" i="7"/>
  <c r="K231" i="7"/>
  <c r="M231" i="7"/>
  <c r="N231" i="7"/>
  <c r="C232" i="7"/>
  <c r="D232" i="7"/>
  <c r="F232" i="7"/>
  <c r="G232" i="7"/>
  <c r="J232" i="7"/>
  <c r="K232" i="7"/>
  <c r="M232" i="7"/>
  <c r="N232" i="7"/>
  <c r="C233" i="7"/>
  <c r="D233" i="7"/>
  <c r="F233" i="7"/>
  <c r="G233" i="7"/>
  <c r="J233" i="7"/>
  <c r="K233" i="7"/>
  <c r="M233" i="7"/>
  <c r="N233" i="7"/>
  <c r="C234" i="7"/>
  <c r="D234" i="7"/>
  <c r="F234" i="7"/>
  <c r="G234" i="7"/>
  <c r="J234" i="7"/>
  <c r="K234" i="7"/>
  <c r="M234" i="7"/>
  <c r="N234" i="7"/>
  <c r="C235" i="7"/>
  <c r="D235" i="7"/>
  <c r="F235" i="7"/>
  <c r="G235" i="7"/>
  <c r="J235" i="7"/>
  <c r="K235" i="7"/>
  <c r="M235" i="7"/>
  <c r="N235" i="7"/>
  <c r="C236" i="7"/>
  <c r="D236" i="7"/>
  <c r="F236" i="7"/>
  <c r="G236" i="7"/>
  <c r="J236" i="7"/>
  <c r="K236" i="7"/>
  <c r="M236" i="7"/>
  <c r="N236" i="7"/>
  <c r="N184" i="7"/>
  <c r="M184" i="7"/>
  <c r="K184" i="7"/>
  <c r="J184" i="7"/>
  <c r="G184" i="7"/>
  <c r="F184" i="7"/>
  <c r="D184" i="7"/>
  <c r="C184" i="7"/>
  <c r="C69" i="7"/>
  <c r="D69" i="7"/>
  <c r="F69" i="7"/>
  <c r="G69" i="7"/>
  <c r="J69" i="7"/>
  <c r="K69" i="7"/>
  <c r="M69" i="7"/>
  <c r="N69" i="7"/>
  <c r="C70" i="7"/>
  <c r="D70" i="7"/>
  <c r="F70" i="7"/>
  <c r="G70" i="7"/>
  <c r="J70" i="7"/>
  <c r="K70" i="7"/>
  <c r="M70" i="7"/>
  <c r="N70" i="7"/>
  <c r="C71" i="7"/>
  <c r="D71" i="7"/>
  <c r="F71" i="7"/>
  <c r="G71" i="7"/>
  <c r="J71" i="7"/>
  <c r="K71" i="7"/>
  <c r="M71" i="7"/>
  <c r="N71" i="7"/>
  <c r="C72" i="7"/>
  <c r="D72" i="7"/>
  <c r="F72" i="7"/>
  <c r="G72" i="7"/>
  <c r="J72" i="7"/>
  <c r="K72" i="7"/>
  <c r="M72" i="7"/>
  <c r="N72" i="7"/>
  <c r="C73" i="7"/>
  <c r="D73" i="7"/>
  <c r="F73" i="7"/>
  <c r="G73" i="7"/>
  <c r="J73" i="7"/>
  <c r="K73" i="7"/>
  <c r="M73" i="7"/>
  <c r="N73" i="7"/>
  <c r="C74" i="7"/>
  <c r="D74" i="7"/>
  <c r="F74" i="7"/>
  <c r="G74" i="7"/>
  <c r="J74" i="7"/>
  <c r="K74" i="7"/>
  <c r="M74" i="7"/>
  <c r="N74" i="7"/>
  <c r="C75" i="7"/>
  <c r="D75" i="7"/>
  <c r="F75" i="7"/>
  <c r="G75" i="7"/>
  <c r="J75" i="7"/>
  <c r="K75" i="7"/>
  <c r="M75" i="7"/>
  <c r="N75" i="7"/>
  <c r="C76" i="7"/>
  <c r="D76" i="7"/>
  <c r="F76" i="7"/>
  <c r="G76" i="7"/>
  <c r="J76" i="7"/>
  <c r="K76" i="7"/>
  <c r="M76" i="7"/>
  <c r="N76" i="7"/>
  <c r="C77" i="7"/>
  <c r="D77" i="7"/>
  <c r="F77" i="7"/>
  <c r="G77" i="7"/>
  <c r="J77" i="7"/>
  <c r="K77" i="7"/>
  <c r="M77" i="7"/>
  <c r="N77" i="7"/>
  <c r="C78" i="7"/>
  <c r="D78" i="7"/>
  <c r="F78" i="7"/>
  <c r="G78" i="7"/>
  <c r="J78" i="7"/>
  <c r="K78" i="7"/>
  <c r="M78" i="7"/>
  <c r="N78" i="7"/>
  <c r="C79" i="7"/>
  <c r="D79" i="7"/>
  <c r="F79" i="7"/>
  <c r="G79" i="7"/>
  <c r="J79" i="7"/>
  <c r="K79" i="7"/>
  <c r="M79" i="7"/>
  <c r="N79" i="7"/>
  <c r="C80" i="7"/>
  <c r="D80" i="7"/>
  <c r="F80" i="7"/>
  <c r="G80" i="7"/>
  <c r="J80" i="7"/>
  <c r="K80" i="7"/>
  <c r="M80" i="7"/>
  <c r="N80" i="7"/>
  <c r="C81" i="7"/>
  <c r="D81" i="7"/>
  <c r="F81" i="7"/>
  <c r="G81" i="7"/>
  <c r="J81" i="7"/>
  <c r="K81" i="7"/>
  <c r="M81" i="7"/>
  <c r="N81" i="7"/>
  <c r="C82" i="7"/>
  <c r="D82" i="7"/>
  <c r="F82" i="7"/>
  <c r="G82" i="7"/>
  <c r="J82" i="7"/>
  <c r="K82" i="7"/>
  <c r="M82" i="7"/>
  <c r="N82" i="7"/>
  <c r="C83" i="7"/>
  <c r="D83" i="7"/>
  <c r="F83" i="7"/>
  <c r="G83" i="7"/>
  <c r="J83" i="7"/>
  <c r="K83" i="7"/>
  <c r="M83" i="7"/>
  <c r="N83" i="7"/>
  <c r="C84" i="7"/>
  <c r="D84" i="7"/>
  <c r="F84" i="7"/>
  <c r="G84" i="7"/>
  <c r="J84" i="7"/>
  <c r="K84" i="7"/>
  <c r="M84" i="7"/>
  <c r="N84" i="7"/>
  <c r="C85" i="7"/>
  <c r="D85" i="7"/>
  <c r="F85" i="7"/>
  <c r="G85" i="7"/>
  <c r="J85" i="7"/>
  <c r="K85" i="7"/>
  <c r="M85" i="7"/>
  <c r="N85" i="7"/>
  <c r="C87" i="7"/>
  <c r="D87" i="7"/>
  <c r="F87" i="7"/>
  <c r="G87" i="7"/>
  <c r="J87" i="7"/>
  <c r="K87" i="7"/>
  <c r="M87" i="7"/>
  <c r="N87" i="7"/>
  <c r="C89" i="7"/>
  <c r="D89" i="7"/>
  <c r="F89" i="7"/>
  <c r="G89" i="7"/>
  <c r="J89" i="7"/>
  <c r="K89" i="7"/>
  <c r="M89" i="7"/>
  <c r="N89" i="7"/>
  <c r="C90" i="7"/>
  <c r="D90" i="7"/>
  <c r="F90" i="7"/>
  <c r="G90" i="7"/>
  <c r="J90" i="7"/>
  <c r="K90" i="7"/>
  <c r="M90" i="7"/>
  <c r="N90" i="7"/>
  <c r="C91" i="7"/>
  <c r="D91" i="7"/>
  <c r="F91" i="7"/>
  <c r="G91" i="7"/>
  <c r="J91" i="7"/>
  <c r="K91" i="7"/>
  <c r="M91" i="7"/>
  <c r="N91" i="7"/>
  <c r="J92" i="7"/>
  <c r="K92" i="7"/>
  <c r="M92" i="7"/>
  <c r="N92" i="7"/>
  <c r="J94" i="7"/>
  <c r="K94" i="7"/>
  <c r="M94" i="7"/>
  <c r="O94" i="7" s="1"/>
  <c r="N94" i="7"/>
  <c r="C95" i="7"/>
  <c r="D95" i="7"/>
  <c r="F95" i="7"/>
  <c r="G95" i="7"/>
  <c r="J95" i="7"/>
  <c r="K95" i="7"/>
  <c r="M95" i="7"/>
  <c r="O95" i="7" s="1"/>
  <c r="N95" i="7"/>
  <c r="C96" i="7"/>
  <c r="D96" i="7"/>
  <c r="F96" i="7"/>
  <c r="G96" i="7"/>
  <c r="J96" i="7"/>
  <c r="K96" i="7"/>
  <c r="M96" i="7"/>
  <c r="O96" i="7" s="1"/>
  <c r="N96" i="7"/>
  <c r="C97" i="7"/>
  <c r="D97" i="7"/>
  <c r="F97" i="7"/>
  <c r="G97" i="7"/>
  <c r="J97" i="7"/>
  <c r="K97" i="7"/>
  <c r="M97" i="7"/>
  <c r="O97" i="7" s="1"/>
  <c r="N97" i="7"/>
  <c r="C98" i="7"/>
  <c r="D98" i="7"/>
  <c r="F98" i="7"/>
  <c r="G98" i="7"/>
  <c r="J98" i="7"/>
  <c r="K98" i="7"/>
  <c r="M98" i="7"/>
  <c r="O98" i="7" s="1"/>
  <c r="N98" i="7"/>
  <c r="C99" i="7"/>
  <c r="D99" i="7"/>
  <c r="F99" i="7"/>
  <c r="G99" i="7"/>
  <c r="J99" i="7"/>
  <c r="K99" i="7"/>
  <c r="M99" i="7"/>
  <c r="O99" i="7" s="1"/>
  <c r="N99" i="7"/>
  <c r="C100" i="7"/>
  <c r="D100" i="7"/>
  <c r="F100" i="7"/>
  <c r="G100" i="7"/>
  <c r="J100" i="7"/>
  <c r="K100" i="7"/>
  <c r="M100" i="7"/>
  <c r="O100" i="7" s="1"/>
  <c r="N100" i="7"/>
  <c r="C101" i="7"/>
  <c r="D101" i="7"/>
  <c r="F101" i="7"/>
  <c r="G101" i="7"/>
  <c r="J101" i="7"/>
  <c r="K101" i="7"/>
  <c r="M101" i="7"/>
  <c r="O101" i="7" s="1"/>
  <c r="N101" i="7"/>
  <c r="C102" i="7"/>
  <c r="D102" i="7"/>
  <c r="F102" i="7"/>
  <c r="G102" i="7"/>
  <c r="J102" i="7"/>
  <c r="K102" i="7"/>
  <c r="M102" i="7"/>
  <c r="O102" i="7" s="1"/>
  <c r="N102" i="7"/>
  <c r="C103" i="7"/>
  <c r="D103" i="7"/>
  <c r="F103" i="7"/>
  <c r="G103" i="7"/>
  <c r="J103" i="7"/>
  <c r="K103" i="7"/>
  <c r="M103" i="7"/>
  <c r="O103" i="7" s="1"/>
  <c r="N103" i="7"/>
  <c r="C104" i="7"/>
  <c r="D104" i="7"/>
  <c r="F104" i="7"/>
  <c r="G104" i="7"/>
  <c r="J104" i="7"/>
  <c r="K104" i="7"/>
  <c r="M104" i="7"/>
  <c r="O104" i="7" s="1"/>
  <c r="N104" i="7"/>
  <c r="C105" i="7"/>
  <c r="D105" i="7"/>
  <c r="F105" i="7"/>
  <c r="G105" i="7"/>
  <c r="J105" i="7"/>
  <c r="K105" i="7"/>
  <c r="M105" i="7"/>
  <c r="O105" i="7" s="1"/>
  <c r="N105" i="7"/>
  <c r="C106" i="7"/>
  <c r="D106" i="7"/>
  <c r="F106" i="7"/>
  <c r="G106" i="7"/>
  <c r="J106" i="7"/>
  <c r="K106" i="7"/>
  <c r="M106" i="7"/>
  <c r="O106" i="7" s="1"/>
  <c r="N106" i="7"/>
  <c r="J107" i="7"/>
  <c r="K107" i="7"/>
  <c r="M107" i="7"/>
  <c r="O107" i="7" s="1"/>
  <c r="N107" i="7"/>
  <c r="C108" i="7"/>
  <c r="D108" i="7"/>
  <c r="F108" i="7"/>
  <c r="G108" i="7"/>
  <c r="J108" i="7"/>
  <c r="K108" i="7"/>
  <c r="M108" i="7"/>
  <c r="O108" i="7" s="1"/>
  <c r="N108" i="7"/>
  <c r="J109" i="7"/>
  <c r="K109" i="7"/>
  <c r="M109" i="7"/>
  <c r="O109" i="7" s="1"/>
  <c r="N109" i="7"/>
  <c r="C110" i="7"/>
  <c r="D110" i="7"/>
  <c r="F110" i="7"/>
  <c r="G110" i="7"/>
  <c r="J110" i="7"/>
  <c r="K110" i="7"/>
  <c r="M110" i="7"/>
  <c r="O110" i="7" s="1"/>
  <c r="N110" i="7"/>
  <c r="C111" i="7"/>
  <c r="D111" i="7"/>
  <c r="F111" i="7"/>
  <c r="G111" i="7"/>
  <c r="J111" i="7"/>
  <c r="K111" i="7"/>
  <c r="M111" i="7"/>
  <c r="O111" i="7" s="1"/>
  <c r="N111" i="7"/>
  <c r="C112" i="7"/>
  <c r="D112" i="7"/>
  <c r="F112" i="7"/>
  <c r="G112" i="7"/>
  <c r="J112" i="7"/>
  <c r="K112" i="7"/>
  <c r="M112" i="7"/>
  <c r="O112" i="7" s="1"/>
  <c r="N112" i="7"/>
  <c r="C113" i="7"/>
  <c r="D113" i="7"/>
  <c r="F113" i="7"/>
  <c r="G113" i="7"/>
  <c r="J113" i="7"/>
  <c r="K113" i="7"/>
  <c r="M113" i="7"/>
  <c r="O113" i="7" s="1"/>
  <c r="N113" i="7"/>
  <c r="C114" i="7"/>
  <c r="D114" i="7"/>
  <c r="F114" i="7"/>
  <c r="G114" i="7"/>
  <c r="J114" i="7"/>
  <c r="K114" i="7"/>
  <c r="M114" i="7"/>
  <c r="O114" i="7" s="1"/>
  <c r="N114" i="7"/>
  <c r="C115" i="7"/>
  <c r="D115" i="7"/>
  <c r="F115" i="7"/>
  <c r="G115" i="7"/>
  <c r="J115" i="7"/>
  <c r="K115" i="7"/>
  <c r="M115" i="7"/>
  <c r="O115" i="7" s="1"/>
  <c r="N115" i="7"/>
  <c r="C116" i="7"/>
  <c r="D116" i="7"/>
  <c r="F116" i="7"/>
  <c r="G116" i="7"/>
  <c r="J116" i="7"/>
  <c r="K116" i="7"/>
  <c r="M116" i="7"/>
  <c r="O116" i="7" s="1"/>
  <c r="N116" i="7"/>
  <c r="C117" i="7"/>
  <c r="D117" i="7"/>
  <c r="F117" i="7"/>
  <c r="G117" i="7"/>
  <c r="J117" i="7"/>
  <c r="K117" i="7"/>
  <c r="M117" i="7"/>
  <c r="O117" i="7" s="1"/>
  <c r="N117" i="7"/>
  <c r="C118" i="7"/>
  <c r="D118" i="7"/>
  <c r="F118" i="7"/>
  <c r="G118" i="7"/>
  <c r="J118" i="7"/>
  <c r="K118" i="7"/>
  <c r="M118" i="7"/>
  <c r="O118" i="7" s="1"/>
  <c r="N118" i="7"/>
  <c r="C119" i="7"/>
  <c r="D119" i="7"/>
  <c r="F119" i="7"/>
  <c r="G119" i="7"/>
  <c r="J119" i="7"/>
  <c r="K119" i="7"/>
  <c r="M119" i="7"/>
  <c r="O119" i="7" s="1"/>
  <c r="N119" i="7"/>
  <c r="C120" i="7"/>
  <c r="D120" i="7"/>
  <c r="F120" i="7"/>
  <c r="G120" i="7"/>
  <c r="J120" i="7"/>
  <c r="K120" i="7"/>
  <c r="M120" i="7"/>
  <c r="O120" i="7" s="1"/>
  <c r="N120" i="7"/>
  <c r="N68" i="7"/>
  <c r="M68" i="7"/>
  <c r="K68" i="7"/>
  <c r="J68" i="7"/>
  <c r="G68" i="7"/>
  <c r="F68" i="7"/>
  <c r="D68" i="7"/>
  <c r="C68" i="7"/>
  <c r="J28" i="7"/>
  <c r="K28" i="7"/>
  <c r="M28" i="7"/>
  <c r="N28" i="7"/>
  <c r="J29" i="7"/>
  <c r="K29" i="7"/>
  <c r="M29" i="7"/>
  <c r="N29" i="7"/>
  <c r="J30" i="7"/>
  <c r="K30" i="7"/>
  <c r="M30" i="7"/>
  <c r="N30" i="7"/>
  <c r="J31" i="7"/>
  <c r="J323" i="7" s="1"/>
  <c r="K31" i="7"/>
  <c r="K323" i="7" s="1"/>
  <c r="M31" i="7"/>
  <c r="N31" i="7"/>
  <c r="J32" i="7"/>
  <c r="K32" i="7"/>
  <c r="M32" i="7"/>
  <c r="N32" i="7"/>
  <c r="J33" i="7"/>
  <c r="K33" i="7"/>
  <c r="M33" i="7"/>
  <c r="N33" i="7"/>
  <c r="J36" i="7"/>
  <c r="K36" i="7"/>
  <c r="M36" i="7"/>
  <c r="N36" i="7"/>
  <c r="J37" i="7"/>
  <c r="K37" i="7"/>
  <c r="M37" i="7"/>
  <c r="N37" i="7"/>
  <c r="J38" i="7"/>
  <c r="K38" i="7"/>
  <c r="M38" i="7"/>
  <c r="N38" i="7"/>
  <c r="J39" i="7"/>
  <c r="K39" i="7"/>
  <c r="M39" i="7"/>
  <c r="N39" i="7"/>
  <c r="J40" i="7"/>
  <c r="K40" i="7"/>
  <c r="M40" i="7"/>
  <c r="N40" i="7"/>
  <c r="J41" i="7"/>
  <c r="J333" i="7" s="1"/>
  <c r="K41" i="7"/>
  <c r="M41" i="7"/>
  <c r="N41" i="7"/>
  <c r="J42" i="7"/>
  <c r="K42" i="7"/>
  <c r="K334" i="7" s="1"/>
  <c r="M42" i="7"/>
  <c r="N42" i="7"/>
  <c r="J43" i="7"/>
  <c r="K43" i="7"/>
  <c r="M43" i="7"/>
  <c r="N43" i="7"/>
  <c r="J44" i="7"/>
  <c r="K44" i="7"/>
  <c r="M44" i="7"/>
  <c r="N44" i="7"/>
  <c r="J45" i="7"/>
  <c r="J337" i="7" s="1"/>
  <c r="K45" i="7"/>
  <c r="K337" i="7" s="1"/>
  <c r="M45" i="7"/>
  <c r="N45" i="7"/>
  <c r="J46" i="7"/>
  <c r="K46" i="7"/>
  <c r="M46" i="7"/>
  <c r="N46" i="7"/>
  <c r="J47" i="7"/>
  <c r="K47" i="7"/>
  <c r="M47" i="7"/>
  <c r="N47" i="7"/>
  <c r="N339" i="7" s="1"/>
  <c r="J48" i="7"/>
  <c r="K48" i="7"/>
  <c r="M48" i="7"/>
  <c r="N48" i="7"/>
  <c r="J49" i="7"/>
  <c r="J341" i="7" s="1"/>
  <c r="K49" i="7"/>
  <c r="M49" i="7"/>
  <c r="N49" i="7"/>
  <c r="J50" i="7"/>
  <c r="K50" i="7"/>
  <c r="M50" i="7"/>
  <c r="N50" i="7"/>
  <c r="J51" i="7"/>
  <c r="J343" i="7" s="1"/>
  <c r="K51" i="7"/>
  <c r="K343" i="7" s="1"/>
  <c r="M51" i="7"/>
  <c r="N51" i="7"/>
  <c r="J52" i="7"/>
  <c r="K52" i="7"/>
  <c r="M52" i="7"/>
  <c r="N52" i="7"/>
  <c r="N344" i="7" s="1"/>
  <c r="J53" i="7"/>
  <c r="K53" i="7"/>
  <c r="K345" i="7" s="1"/>
  <c r="M53" i="7"/>
  <c r="N53" i="7"/>
  <c r="J54" i="7"/>
  <c r="K54" i="7"/>
  <c r="M54" i="7"/>
  <c r="N54" i="7"/>
  <c r="J55" i="7"/>
  <c r="K55" i="7"/>
  <c r="M55" i="7"/>
  <c r="N55" i="7"/>
  <c r="N347" i="7" s="1"/>
  <c r="J56" i="7"/>
  <c r="J348" i="7" s="1"/>
  <c r="K56" i="7"/>
  <c r="M56" i="7"/>
  <c r="N56" i="7"/>
  <c r="N348" i="7" s="1"/>
  <c r="J57" i="7"/>
  <c r="K57" i="7"/>
  <c r="K349" i="7" s="1"/>
  <c r="M57" i="7"/>
  <c r="N57" i="7"/>
  <c r="J58" i="7"/>
  <c r="K58" i="7"/>
  <c r="M58" i="7"/>
  <c r="N58" i="7"/>
  <c r="J59" i="7"/>
  <c r="J351" i="7" s="1"/>
  <c r="K59" i="7"/>
  <c r="M59" i="7"/>
  <c r="N59" i="7"/>
  <c r="N351" i="7" s="1"/>
  <c r="J60" i="7"/>
  <c r="K60" i="7"/>
  <c r="M60" i="7"/>
  <c r="N60" i="7"/>
  <c r="J61" i="7"/>
  <c r="K61" i="7"/>
  <c r="M61" i="7"/>
  <c r="N61" i="7"/>
  <c r="J9" i="7"/>
  <c r="K9" i="7"/>
  <c r="M9" i="7"/>
  <c r="N9" i="7"/>
  <c r="J10" i="7"/>
  <c r="K10" i="7"/>
  <c r="M10" i="7"/>
  <c r="N10" i="7"/>
  <c r="J11" i="7"/>
  <c r="K11" i="7"/>
  <c r="M11" i="7"/>
  <c r="N11" i="7"/>
  <c r="J12" i="7"/>
  <c r="J304" i="7" s="1"/>
  <c r="K12" i="7"/>
  <c r="M12" i="7"/>
  <c r="N12" i="7"/>
  <c r="J13" i="7"/>
  <c r="K13" i="7"/>
  <c r="M13" i="7"/>
  <c r="N13" i="7"/>
  <c r="J14" i="7"/>
  <c r="J306" i="7" s="1"/>
  <c r="K14" i="7"/>
  <c r="M14" i="7"/>
  <c r="N14" i="7"/>
  <c r="N306" i="7" s="1"/>
  <c r="J15" i="7"/>
  <c r="J307" i="7" s="1"/>
  <c r="K15" i="7"/>
  <c r="M15" i="7"/>
  <c r="M307" i="7" s="1"/>
  <c r="N15" i="7"/>
  <c r="N307" i="7" s="1"/>
  <c r="J16" i="7"/>
  <c r="J308" i="7" s="1"/>
  <c r="K16" i="7"/>
  <c r="K308" i="7" s="1"/>
  <c r="M16" i="7"/>
  <c r="N16" i="7"/>
  <c r="J17" i="7"/>
  <c r="K17" i="7"/>
  <c r="M17" i="7"/>
  <c r="N17" i="7"/>
  <c r="J18" i="7"/>
  <c r="J310" i="7" s="1"/>
  <c r="K18" i="7"/>
  <c r="M18" i="7"/>
  <c r="M310" i="7" s="1"/>
  <c r="N18" i="7"/>
  <c r="N310" i="7" s="1"/>
  <c r="J19" i="7"/>
  <c r="J311" i="7" s="1"/>
  <c r="K19" i="7"/>
  <c r="M19" i="7"/>
  <c r="M311" i="7" s="1"/>
  <c r="N19" i="7"/>
  <c r="J20" i="7"/>
  <c r="K20" i="7"/>
  <c r="M20" i="7"/>
  <c r="N20" i="7"/>
  <c r="J21" i="7"/>
  <c r="K21" i="7"/>
  <c r="M21" i="7"/>
  <c r="N21" i="7"/>
  <c r="J22" i="7"/>
  <c r="J314" i="7" s="1"/>
  <c r="K22" i="7"/>
  <c r="K314" i="7" s="1"/>
  <c r="M22" i="7"/>
  <c r="M314" i="7" s="1"/>
  <c r="N22" i="7"/>
  <c r="N314" i="7" s="1"/>
  <c r="J23" i="7"/>
  <c r="K23" i="7"/>
  <c r="M23" i="7"/>
  <c r="N23" i="7"/>
  <c r="N315" i="7" s="1"/>
  <c r="J24" i="7"/>
  <c r="J316" i="7" s="1"/>
  <c r="K24" i="7"/>
  <c r="M24" i="7"/>
  <c r="N24" i="7"/>
  <c r="J25" i="7"/>
  <c r="K25" i="7"/>
  <c r="M25" i="7"/>
  <c r="N25" i="7"/>
  <c r="J26" i="7"/>
  <c r="K26" i="7"/>
  <c r="M26" i="7"/>
  <c r="N26" i="7"/>
  <c r="N318" i="7" s="1"/>
  <c r="C28" i="7"/>
  <c r="D28" i="7"/>
  <c r="F28" i="7"/>
  <c r="G28" i="7"/>
  <c r="C29" i="7"/>
  <c r="D29" i="7"/>
  <c r="F29" i="7"/>
  <c r="G29" i="7"/>
  <c r="C30" i="7"/>
  <c r="D30" i="7"/>
  <c r="F30" i="7"/>
  <c r="G30" i="7"/>
  <c r="C31" i="7"/>
  <c r="D31" i="7"/>
  <c r="F31" i="7"/>
  <c r="F323" i="7" s="1"/>
  <c r="G31" i="7"/>
  <c r="C32" i="7"/>
  <c r="C324" i="7" s="1"/>
  <c r="D32" i="7"/>
  <c r="F32" i="7"/>
  <c r="F324" i="7" s="1"/>
  <c r="G32" i="7"/>
  <c r="G324" i="7" s="1"/>
  <c r="C37" i="7"/>
  <c r="C329" i="7" s="1"/>
  <c r="D37" i="7"/>
  <c r="F37" i="7"/>
  <c r="G37" i="7"/>
  <c r="C38" i="7"/>
  <c r="C330" i="7" s="1"/>
  <c r="D38" i="7"/>
  <c r="F38" i="7"/>
  <c r="F330" i="7" s="1"/>
  <c r="G38" i="7"/>
  <c r="G330" i="7" s="1"/>
  <c r="C39" i="7"/>
  <c r="D39" i="7"/>
  <c r="F39" i="7"/>
  <c r="F331" i="7" s="1"/>
  <c r="G39" i="7"/>
  <c r="C40" i="7"/>
  <c r="C332" i="7" s="1"/>
  <c r="D40" i="7"/>
  <c r="F40" i="7"/>
  <c r="F332" i="7" s="1"/>
  <c r="G40" i="7"/>
  <c r="G332" i="7" s="1"/>
  <c r="C41" i="7"/>
  <c r="C333" i="7" s="1"/>
  <c r="D41" i="7"/>
  <c r="F41" i="7"/>
  <c r="G41" i="7"/>
  <c r="C42" i="7"/>
  <c r="C334" i="7" s="1"/>
  <c r="D42" i="7"/>
  <c r="D334" i="7" s="1"/>
  <c r="F42" i="7"/>
  <c r="F334" i="7" s="1"/>
  <c r="G42" i="7"/>
  <c r="G334" i="7" s="1"/>
  <c r="C43" i="7"/>
  <c r="D43" i="7"/>
  <c r="F43" i="7"/>
  <c r="F335" i="7" s="1"/>
  <c r="G43" i="7"/>
  <c r="C44" i="7"/>
  <c r="C336" i="7" s="1"/>
  <c r="D44" i="7"/>
  <c r="F44" i="7"/>
  <c r="F336" i="7" s="1"/>
  <c r="G44" i="7"/>
  <c r="G336" i="7" s="1"/>
  <c r="C45" i="7"/>
  <c r="C337" i="7" s="1"/>
  <c r="D45" i="7"/>
  <c r="F45" i="7"/>
  <c r="G45" i="7"/>
  <c r="C46" i="7"/>
  <c r="D46" i="7"/>
  <c r="F46" i="7"/>
  <c r="F338" i="7" s="1"/>
  <c r="G46" i="7"/>
  <c r="C50" i="7"/>
  <c r="D50" i="7"/>
  <c r="F50" i="7"/>
  <c r="G50" i="7"/>
  <c r="C51" i="7"/>
  <c r="C343" i="7" s="1"/>
  <c r="D51" i="7"/>
  <c r="F51" i="7"/>
  <c r="F343" i="7" s="1"/>
  <c r="G51" i="7"/>
  <c r="G343" i="7" s="1"/>
  <c r="C52" i="7"/>
  <c r="C344" i="7" s="1"/>
  <c r="D52" i="7"/>
  <c r="D344" i="7" s="1"/>
  <c r="F52" i="7"/>
  <c r="G52" i="7"/>
  <c r="C53" i="7"/>
  <c r="C345" i="7" s="1"/>
  <c r="D53" i="7"/>
  <c r="D345" i="7" s="1"/>
  <c r="F53" i="7"/>
  <c r="F345" i="7" s="1"/>
  <c r="G53" i="7"/>
  <c r="G345" i="7" s="1"/>
  <c r="C54" i="7"/>
  <c r="D54" i="7"/>
  <c r="F54" i="7"/>
  <c r="F346" i="7" s="1"/>
  <c r="G54" i="7"/>
  <c r="C55" i="7"/>
  <c r="C347" i="7" s="1"/>
  <c r="D55" i="7"/>
  <c r="F55" i="7"/>
  <c r="G55" i="7"/>
  <c r="G347" i="7" s="1"/>
  <c r="C56" i="7"/>
  <c r="C348" i="7" s="1"/>
  <c r="D56" i="7"/>
  <c r="D348" i="7" s="1"/>
  <c r="F56" i="7"/>
  <c r="F348" i="7" s="1"/>
  <c r="G56" i="7"/>
  <c r="C57" i="7"/>
  <c r="C349" i="7" s="1"/>
  <c r="D57" i="7"/>
  <c r="D349" i="7" s="1"/>
  <c r="F57" i="7"/>
  <c r="F349" i="7" s="1"/>
  <c r="G57" i="7"/>
  <c r="G349" i="7" s="1"/>
  <c r="C58" i="7"/>
  <c r="D58" i="7"/>
  <c r="F58" i="7"/>
  <c r="G58" i="7"/>
  <c r="C59" i="7"/>
  <c r="D59" i="7"/>
  <c r="F59" i="7"/>
  <c r="G59" i="7"/>
  <c r="C60" i="7"/>
  <c r="D60" i="7"/>
  <c r="F60" i="7"/>
  <c r="G60" i="7"/>
  <c r="C61" i="7"/>
  <c r="C353" i="7" s="1"/>
  <c r="D61" i="7"/>
  <c r="D353" i="7" s="1"/>
  <c r="F61" i="7"/>
  <c r="G61" i="7"/>
  <c r="C9" i="7"/>
  <c r="D9" i="7"/>
  <c r="F9" i="7"/>
  <c r="F301" i="7" s="1"/>
  <c r="G9" i="7"/>
  <c r="C10" i="7"/>
  <c r="C302" i="7" s="1"/>
  <c r="D10" i="7"/>
  <c r="F10" i="7"/>
  <c r="G10" i="7"/>
  <c r="G302" i="7" s="1"/>
  <c r="C11" i="7"/>
  <c r="C303" i="7" s="1"/>
  <c r="D11" i="7"/>
  <c r="D303" i="7" s="1"/>
  <c r="F11" i="7"/>
  <c r="F303" i="7" s="1"/>
  <c r="G11" i="7"/>
  <c r="C12" i="7"/>
  <c r="C304" i="7" s="1"/>
  <c r="D12" i="7"/>
  <c r="F12" i="7"/>
  <c r="F304" i="7" s="1"/>
  <c r="G12" i="7"/>
  <c r="G304" i="7" s="1"/>
  <c r="C13" i="7"/>
  <c r="D13" i="7"/>
  <c r="D305" i="7" s="1"/>
  <c r="F13" i="7"/>
  <c r="F305" i="7" s="1"/>
  <c r="G13" i="7"/>
  <c r="C14" i="7"/>
  <c r="C306" i="7" s="1"/>
  <c r="D14" i="7"/>
  <c r="F14" i="7"/>
  <c r="F306" i="7" s="1"/>
  <c r="G14" i="7"/>
  <c r="G306" i="7" s="1"/>
  <c r="C15" i="7"/>
  <c r="C307" i="7" s="1"/>
  <c r="D15" i="7"/>
  <c r="F15" i="7"/>
  <c r="F307" i="7" s="1"/>
  <c r="G15" i="7"/>
  <c r="C16" i="7"/>
  <c r="C308" i="7" s="1"/>
  <c r="D16" i="7"/>
  <c r="D308" i="7" s="1"/>
  <c r="F16" i="7"/>
  <c r="F308" i="7" s="1"/>
  <c r="G16" i="7"/>
  <c r="G308" i="7" s="1"/>
  <c r="C17" i="7"/>
  <c r="D17" i="7"/>
  <c r="F17" i="7"/>
  <c r="G17" i="7"/>
  <c r="C18" i="7"/>
  <c r="C310" i="7" s="1"/>
  <c r="D18" i="7"/>
  <c r="F18" i="7"/>
  <c r="F310" i="7" s="1"/>
  <c r="G18" i="7"/>
  <c r="G310" i="7" s="1"/>
  <c r="C19" i="7"/>
  <c r="C311" i="7" s="1"/>
  <c r="D19" i="7"/>
  <c r="D311" i="7" s="1"/>
  <c r="F19" i="7"/>
  <c r="G19" i="7"/>
  <c r="C20" i="7"/>
  <c r="C312" i="7" s="1"/>
  <c r="D20" i="7"/>
  <c r="F20" i="7"/>
  <c r="F312" i="7" s="1"/>
  <c r="G20" i="7"/>
  <c r="G312" i="7" s="1"/>
  <c r="C21" i="7"/>
  <c r="D21" i="7"/>
  <c r="F21" i="7"/>
  <c r="F313" i="7" s="1"/>
  <c r="G21" i="7"/>
  <c r="C22" i="7"/>
  <c r="C314" i="7" s="1"/>
  <c r="D22" i="7"/>
  <c r="F22" i="7"/>
  <c r="F314" i="7" s="1"/>
  <c r="G22" i="7"/>
  <c r="G314" i="7" s="1"/>
  <c r="C23" i="7"/>
  <c r="C315" i="7" s="1"/>
  <c r="D23" i="7"/>
  <c r="F23" i="7"/>
  <c r="G23" i="7"/>
  <c r="C24" i="7"/>
  <c r="C316" i="7" s="1"/>
  <c r="D24" i="7"/>
  <c r="F24" i="7"/>
  <c r="F316" i="7" s="1"/>
  <c r="G24" i="7"/>
  <c r="G316" i="7" s="1"/>
  <c r="C25" i="7"/>
  <c r="D25" i="7"/>
  <c r="D317" i="7" s="1"/>
  <c r="F25" i="7"/>
  <c r="F317" i="7" s="1"/>
  <c r="G25" i="7"/>
  <c r="D304" i="7" l="1"/>
  <c r="D330" i="7"/>
  <c r="K316" i="7"/>
  <c r="K310" i="7"/>
  <c r="K304" i="7"/>
  <c r="K351" i="7"/>
  <c r="K333" i="7"/>
  <c r="K330" i="7"/>
  <c r="D313" i="7"/>
  <c r="D333" i="7"/>
  <c r="D316" i="7"/>
  <c r="F350" i="7"/>
  <c r="F347" i="7"/>
  <c r="F344" i="7"/>
  <c r="M318" i="7"/>
  <c r="M315" i="7"/>
  <c r="M306" i="7"/>
  <c r="D315" i="7"/>
  <c r="D338" i="7"/>
  <c r="D329" i="7"/>
  <c r="K318" i="7"/>
  <c r="K312" i="7"/>
  <c r="K306" i="7"/>
  <c r="K353" i="7"/>
  <c r="K347" i="7"/>
  <c r="K341" i="7"/>
  <c r="K329" i="7"/>
  <c r="D309" i="7"/>
  <c r="J318" i="7"/>
  <c r="J315" i="7"/>
  <c r="J312" i="7"/>
  <c r="J347" i="7"/>
  <c r="J344" i="7"/>
  <c r="J329" i="7"/>
  <c r="D307" i="7"/>
  <c r="D312" i="7"/>
  <c r="N311" i="7"/>
  <c r="N352" i="7"/>
  <c r="N343" i="7"/>
  <c r="G309" i="7"/>
  <c r="G335" i="7"/>
  <c r="G317" i="7"/>
  <c r="G323" i="7"/>
  <c r="G346" i="7"/>
  <c r="G305" i="7"/>
  <c r="G350" i="7"/>
  <c r="G315" i="7"/>
  <c r="G311" i="7"/>
  <c r="G307" i="7"/>
  <c r="G303" i="7"/>
  <c r="N333" i="7"/>
  <c r="N329" i="7"/>
  <c r="G313" i="7"/>
  <c r="G331" i="7"/>
  <c r="N335" i="7"/>
  <c r="N331" i="7"/>
  <c r="D323" i="7"/>
  <c r="F309" i="7"/>
  <c r="F311" i="7"/>
  <c r="F315" i="7"/>
  <c r="F333" i="7"/>
  <c r="J353" i="7"/>
  <c r="J349" i="7"/>
  <c r="J345" i="7"/>
  <c r="N340" i="7"/>
  <c r="F337" i="7"/>
  <c r="D337" i="7"/>
  <c r="D314" i="7"/>
  <c r="D310" i="7"/>
  <c r="D306" i="7"/>
  <c r="D302" i="7"/>
  <c r="D347" i="7"/>
  <c r="D343" i="7"/>
  <c r="D336" i="7"/>
  <c r="D332" i="7"/>
  <c r="D324" i="7"/>
  <c r="K315" i="7"/>
  <c r="K311" i="7"/>
  <c r="K340" i="7"/>
  <c r="K332" i="7"/>
  <c r="K322" i="7"/>
  <c r="J340" i="7"/>
  <c r="J332" i="7"/>
  <c r="J322" i="7"/>
  <c r="F329" i="7"/>
  <c r="M317" i="7"/>
  <c r="M313" i="7"/>
  <c r="M309" i="7"/>
  <c r="M305" i="7"/>
  <c r="M312" i="7"/>
  <c r="M308" i="7"/>
  <c r="M304" i="7"/>
  <c r="M323" i="7"/>
  <c r="K307" i="7"/>
  <c r="M316" i="7"/>
  <c r="F302" i="7"/>
  <c r="D350" i="7"/>
  <c r="D346" i="7"/>
  <c r="D335" i="7"/>
  <c r="D331" i="7"/>
  <c r="K339" i="7"/>
  <c r="K335" i="7"/>
  <c r="K331" i="7"/>
  <c r="C317" i="7"/>
  <c r="C309" i="7"/>
  <c r="C350" i="7"/>
  <c r="C335" i="7"/>
  <c r="C331" i="7"/>
  <c r="J335" i="7"/>
  <c r="C313" i="7"/>
  <c r="C305" i="7"/>
  <c r="C346" i="7"/>
  <c r="C323" i="7"/>
  <c r="J339" i="7"/>
  <c r="J331" i="7"/>
  <c r="G353" i="7"/>
  <c r="G338" i="7"/>
  <c r="N317" i="7"/>
  <c r="N313" i="7"/>
  <c r="N309" i="7"/>
  <c r="N305" i="7"/>
  <c r="N346" i="7"/>
  <c r="N342" i="7"/>
  <c r="N338" i="7"/>
  <c r="N334" i="7"/>
  <c r="N330" i="7"/>
  <c r="N324" i="7"/>
  <c r="M324" i="7"/>
  <c r="F353" i="7"/>
  <c r="K317" i="7"/>
  <c r="K313" i="7"/>
  <c r="K309" i="7"/>
  <c r="K305" i="7"/>
  <c r="K346" i="7"/>
  <c r="K342" i="7"/>
  <c r="K338" i="7"/>
  <c r="K324" i="7"/>
  <c r="C338" i="7"/>
  <c r="J317" i="7"/>
  <c r="J313" i="7"/>
  <c r="J309" i="7"/>
  <c r="J305" i="7"/>
  <c r="J346" i="7"/>
  <c r="J342" i="7"/>
  <c r="J338" i="7"/>
  <c r="J334" i="7"/>
  <c r="J330" i="7"/>
  <c r="J324" i="7"/>
  <c r="G348" i="7"/>
  <c r="G344" i="7"/>
  <c r="G337" i="7"/>
  <c r="G333" i="7"/>
  <c r="G329" i="7"/>
  <c r="N316" i="7"/>
  <c r="N312" i="7"/>
  <c r="N308" i="7"/>
  <c r="N304" i="7"/>
  <c r="N353" i="7"/>
  <c r="N349" i="7"/>
  <c r="N345" i="7"/>
  <c r="N341" i="7"/>
  <c r="N337" i="7"/>
  <c r="N323" i="7"/>
  <c r="N332" i="7"/>
  <c r="N322" i="7"/>
  <c r="M322" i="7"/>
  <c r="K352" i="7"/>
  <c r="K348" i="7"/>
  <c r="K344" i="7"/>
  <c r="J352" i="7"/>
  <c r="D301" i="7"/>
  <c r="C301" i="7"/>
  <c r="G301" i="7"/>
  <c r="O61" i="7"/>
  <c r="M353" i="7"/>
  <c r="O60" i="7"/>
  <c r="M352" i="7"/>
  <c r="O59" i="7"/>
  <c r="M351" i="7"/>
  <c r="O58" i="7"/>
  <c r="O57" i="7"/>
  <c r="M349" i="7"/>
  <c r="O56" i="7"/>
  <c r="M348" i="7"/>
  <c r="O55" i="7"/>
  <c r="M347" i="7"/>
  <c r="O54" i="7"/>
  <c r="M346" i="7"/>
  <c r="O53" i="7"/>
  <c r="M345" i="7"/>
  <c r="O52" i="7"/>
  <c r="M344" i="7"/>
  <c r="O51" i="7"/>
  <c r="M343" i="7"/>
  <c r="O50" i="7"/>
  <c r="M342" i="7"/>
  <c r="O49" i="7"/>
  <c r="M341" i="7"/>
  <c r="O48" i="7"/>
  <c r="M340" i="7"/>
  <c r="O47" i="7"/>
  <c r="M339" i="7"/>
  <c r="O46" i="7"/>
  <c r="M338" i="7"/>
  <c r="O45" i="7"/>
  <c r="M337" i="7"/>
  <c r="O44" i="7"/>
  <c r="O43" i="7"/>
  <c r="M335" i="7"/>
  <c r="O42" i="7"/>
  <c r="M334" i="7"/>
  <c r="O41" i="7"/>
  <c r="M333" i="7"/>
  <c r="O40" i="7"/>
  <c r="M332" i="7"/>
  <c r="O39" i="7"/>
  <c r="M331" i="7"/>
  <c r="O38" i="7"/>
  <c r="M330" i="7"/>
  <c r="O37" i="7"/>
  <c r="M329" i="7"/>
  <c r="O36" i="7"/>
  <c r="L203" i="7"/>
  <c r="L294" i="7"/>
  <c r="L293" i="7"/>
  <c r="L282" i="7"/>
  <c r="L281" i="7"/>
  <c r="L280" i="7"/>
  <c r="L279" i="7"/>
  <c r="L278" i="7"/>
  <c r="L277" i="7"/>
  <c r="L276" i="7"/>
  <c r="L275" i="7"/>
  <c r="L274" i="7"/>
  <c r="L273" i="7"/>
  <c r="L272" i="7"/>
  <c r="L271" i="7"/>
  <c r="L270" i="7"/>
  <c r="L269" i="7"/>
  <c r="L266" i="7"/>
  <c r="L265" i="7"/>
  <c r="L201" i="7"/>
  <c r="L292" i="7"/>
  <c r="L290" i="7"/>
  <c r="L289" i="7"/>
  <c r="L288" i="7"/>
  <c r="L287" i="7"/>
  <c r="L286" i="7"/>
  <c r="L285" i="7"/>
  <c r="L284" i="7"/>
  <c r="L283" i="7"/>
  <c r="L264" i="7"/>
  <c r="L263" i="7"/>
  <c r="L259" i="7"/>
  <c r="L268" i="7"/>
  <c r="L267" i="7"/>
  <c r="L260" i="7"/>
  <c r="L26" i="7"/>
  <c r="L61" i="7"/>
  <c r="L60" i="7"/>
  <c r="L59" i="7"/>
  <c r="L58" i="7"/>
  <c r="L57" i="7"/>
  <c r="L56" i="7"/>
  <c r="L55" i="7"/>
  <c r="L54" i="7"/>
  <c r="L53" i="7"/>
  <c r="L52" i="7"/>
  <c r="L51" i="7"/>
  <c r="L50" i="7"/>
  <c r="L49" i="7"/>
  <c r="L48" i="7"/>
  <c r="L47" i="7"/>
  <c r="L46" i="7"/>
  <c r="L45" i="7"/>
  <c r="L44" i="7"/>
  <c r="L43" i="7"/>
  <c r="L42" i="7"/>
  <c r="L41" i="7"/>
  <c r="L40" i="7"/>
  <c r="L39" i="7"/>
  <c r="L38" i="7"/>
  <c r="L37" i="7"/>
  <c r="L36" i="7"/>
  <c r="L33" i="7"/>
  <c r="L32" i="7"/>
  <c r="L31" i="7"/>
  <c r="L30" i="7"/>
  <c r="L29" i="7"/>
  <c r="L28" i="7"/>
  <c r="L120" i="7"/>
  <c r="L119" i="7"/>
  <c r="L118" i="7"/>
  <c r="L117" i="7"/>
  <c r="L116" i="7"/>
  <c r="L115" i="7"/>
  <c r="L114" i="7"/>
  <c r="L113" i="7"/>
  <c r="L112" i="7"/>
  <c r="L111" i="7"/>
  <c r="L110" i="7"/>
  <c r="L109" i="7"/>
  <c r="L108" i="7"/>
  <c r="L107" i="7"/>
  <c r="L106" i="7"/>
  <c r="L105" i="7"/>
  <c r="L104" i="7"/>
  <c r="L103" i="7"/>
  <c r="L102" i="7"/>
  <c r="L101" i="7"/>
  <c r="L100" i="7"/>
  <c r="L99" i="7"/>
  <c r="L98" i="7"/>
  <c r="L97" i="7"/>
  <c r="L96" i="7"/>
  <c r="L95" i="7"/>
  <c r="L94" i="7"/>
  <c r="L92" i="7"/>
  <c r="L91" i="7"/>
  <c r="L90" i="7"/>
  <c r="L89" i="7"/>
  <c r="L87" i="7"/>
  <c r="L85" i="7"/>
  <c r="L236" i="7"/>
  <c r="L235" i="7"/>
  <c r="L234" i="7"/>
  <c r="L233" i="7"/>
  <c r="L232" i="7"/>
  <c r="L231" i="7"/>
  <c r="L230" i="7"/>
  <c r="L229" i="7"/>
  <c r="L228" i="7"/>
  <c r="L227" i="7"/>
  <c r="L226" i="7"/>
  <c r="L225" i="7"/>
  <c r="L224" i="7"/>
  <c r="L223" i="7"/>
  <c r="L222" i="7"/>
  <c r="L221" i="7"/>
  <c r="L220" i="7"/>
  <c r="L218" i="7"/>
  <c r="L217" i="7"/>
  <c r="L216" i="7"/>
  <c r="L215" i="7"/>
  <c r="L214" i="7"/>
  <c r="L213" i="7"/>
  <c r="L212" i="7"/>
  <c r="L209" i="7"/>
  <c r="L207" i="7"/>
  <c r="L206" i="7"/>
  <c r="L205" i="7"/>
  <c r="O236" i="7"/>
  <c r="O235" i="7"/>
  <c r="O234" i="7"/>
  <c r="O233" i="7"/>
  <c r="O232" i="7"/>
  <c r="O231" i="7"/>
  <c r="O230" i="7"/>
  <c r="O229" i="7"/>
  <c r="O228" i="7"/>
  <c r="O227" i="7"/>
  <c r="O226" i="7"/>
  <c r="O225" i="7"/>
  <c r="O224" i="7"/>
  <c r="O223" i="7"/>
  <c r="O222" i="7"/>
  <c r="O221" i="7"/>
  <c r="O220" i="7"/>
  <c r="O218" i="7"/>
  <c r="O217" i="7"/>
  <c r="O216" i="7"/>
  <c r="O215" i="7"/>
  <c r="O214" i="7"/>
  <c r="O213" i="7"/>
  <c r="O212" i="7"/>
  <c r="O203" i="7"/>
  <c r="O200" i="7"/>
  <c r="O199" i="7"/>
  <c r="O198" i="7"/>
  <c r="O197" i="7"/>
  <c r="O196" i="7"/>
  <c r="O195" i="7"/>
  <c r="O194" i="7"/>
  <c r="O193" i="7"/>
  <c r="O192" i="7"/>
  <c r="O191" i="7"/>
  <c r="O190" i="7"/>
  <c r="O189" i="7"/>
  <c r="O294" i="7"/>
  <c r="H294" i="7"/>
  <c r="O293" i="7"/>
  <c r="O292" i="7"/>
  <c r="H291" i="7"/>
  <c r="O290" i="7"/>
  <c r="H290" i="7"/>
  <c r="O289" i="7"/>
  <c r="H289" i="7"/>
  <c r="O288" i="7"/>
  <c r="H288" i="7"/>
  <c r="O287" i="7"/>
  <c r="H287" i="7"/>
  <c r="O286" i="7"/>
  <c r="H286" i="7"/>
  <c r="O285" i="7"/>
  <c r="H285" i="7"/>
  <c r="O284" i="7"/>
  <c r="H284" i="7"/>
  <c r="O283" i="7"/>
  <c r="O282" i="7"/>
  <c r="H282" i="7"/>
  <c r="O281" i="7"/>
  <c r="H281" i="7"/>
  <c r="O280" i="7"/>
  <c r="H280" i="7"/>
  <c r="O279" i="7"/>
  <c r="H279" i="7"/>
  <c r="O278" i="7"/>
  <c r="H278" i="7"/>
  <c r="O277" i="7"/>
  <c r="H277" i="7"/>
  <c r="O276" i="7"/>
  <c r="H276" i="7"/>
  <c r="O275" i="7"/>
  <c r="H275" i="7"/>
  <c r="O274" i="7"/>
  <c r="O273" i="7"/>
  <c r="O272" i="7"/>
  <c r="O271" i="7"/>
  <c r="O270" i="7"/>
  <c r="O269" i="7"/>
  <c r="O268" i="7"/>
  <c r="O201" i="7"/>
  <c r="O188" i="7"/>
  <c r="O187" i="7"/>
  <c r="O186" i="7"/>
  <c r="O185" i="7"/>
  <c r="O68" i="7"/>
  <c r="O184" i="7"/>
  <c r="E204" i="7"/>
  <c r="E203" i="7"/>
  <c r="E202" i="7"/>
  <c r="E201" i="7"/>
  <c r="L200" i="7"/>
  <c r="L199" i="7"/>
  <c r="L198" i="7"/>
  <c r="L197" i="7"/>
  <c r="L196" i="7"/>
  <c r="L195" i="7"/>
  <c r="L194" i="7"/>
  <c r="L193" i="7"/>
  <c r="L192" i="7"/>
  <c r="L191" i="7"/>
  <c r="L190" i="7"/>
  <c r="L189" i="7"/>
  <c r="L188" i="7"/>
  <c r="L187" i="7"/>
  <c r="L186" i="7"/>
  <c r="L185" i="7"/>
  <c r="E294" i="7"/>
  <c r="E291" i="7"/>
  <c r="E290" i="7"/>
  <c r="E289" i="7"/>
  <c r="E288" i="7"/>
  <c r="E287" i="7"/>
  <c r="E286" i="7"/>
  <c r="E285" i="7"/>
  <c r="E284" i="7"/>
  <c r="E282" i="7"/>
  <c r="E281" i="7"/>
  <c r="E280" i="7"/>
  <c r="E279" i="7"/>
  <c r="E278" i="7"/>
  <c r="E277" i="7"/>
  <c r="E276" i="7"/>
  <c r="E275" i="7"/>
  <c r="E274" i="7"/>
  <c r="E273" i="7"/>
  <c r="E272" i="7"/>
  <c r="E271" i="7"/>
  <c r="E270" i="7"/>
  <c r="E269" i="7"/>
  <c r="E268" i="7"/>
  <c r="E267" i="7"/>
  <c r="E266" i="7"/>
  <c r="E265" i="7"/>
  <c r="E264" i="7"/>
  <c r="E262" i="7"/>
  <c r="E260" i="7"/>
  <c r="E259" i="7"/>
  <c r="L258" i="7"/>
  <c r="L257" i="7"/>
  <c r="L256" i="7"/>
  <c r="L255" i="7"/>
  <c r="L254" i="7"/>
  <c r="L253" i="7"/>
  <c r="L252" i="7"/>
  <c r="L251" i="7"/>
  <c r="L250" i="7"/>
  <c r="L249" i="7"/>
  <c r="L248" i="7"/>
  <c r="L247" i="7"/>
  <c r="L246" i="7"/>
  <c r="L245" i="7"/>
  <c r="H25" i="7"/>
  <c r="H23" i="7"/>
  <c r="H22" i="7"/>
  <c r="H21" i="7"/>
  <c r="H19" i="7"/>
  <c r="H18" i="7"/>
  <c r="H17" i="7"/>
  <c r="H15" i="7"/>
  <c r="H14" i="7"/>
  <c r="H13" i="7"/>
  <c r="H12" i="7"/>
  <c r="H11" i="7"/>
  <c r="H10" i="7"/>
  <c r="H9" i="7"/>
  <c r="H61" i="7"/>
  <c r="H60" i="7"/>
  <c r="H59" i="7"/>
  <c r="H58" i="7"/>
  <c r="H57" i="7"/>
  <c r="H56" i="7"/>
  <c r="H55" i="7"/>
  <c r="H54" i="7"/>
  <c r="H53" i="7"/>
  <c r="H52" i="7"/>
  <c r="H51" i="7"/>
  <c r="H50" i="7"/>
  <c r="H46" i="7"/>
  <c r="H45" i="7"/>
  <c r="H44" i="7"/>
  <c r="H43" i="7"/>
  <c r="H42" i="7"/>
  <c r="H41" i="7"/>
  <c r="H40" i="7"/>
  <c r="H39" i="7"/>
  <c r="H38" i="7"/>
  <c r="H37" i="7"/>
  <c r="H31" i="7"/>
  <c r="H30" i="7"/>
  <c r="H29" i="7"/>
  <c r="H28" i="7"/>
  <c r="O26" i="7"/>
  <c r="O25" i="7"/>
  <c r="O24" i="7"/>
  <c r="O23" i="7"/>
  <c r="O22" i="7"/>
  <c r="O21" i="7"/>
  <c r="O20" i="7"/>
  <c r="O19" i="7"/>
  <c r="O18" i="7"/>
  <c r="O17" i="7"/>
  <c r="O16" i="7"/>
  <c r="O15" i="7"/>
  <c r="O14" i="7"/>
  <c r="O13" i="7"/>
  <c r="O12" i="7"/>
  <c r="O11" i="7"/>
  <c r="O10" i="7"/>
  <c r="O9" i="7"/>
  <c r="O33" i="7"/>
  <c r="O32" i="7"/>
  <c r="O31" i="7"/>
  <c r="O30" i="7"/>
  <c r="O29" i="7"/>
  <c r="O28" i="7"/>
  <c r="H120" i="7"/>
  <c r="H119" i="7"/>
  <c r="H118" i="7"/>
  <c r="H117" i="7"/>
  <c r="H116" i="7"/>
  <c r="H115" i="7"/>
  <c r="H114" i="7"/>
  <c r="H113" i="7"/>
  <c r="H112" i="7"/>
  <c r="H111" i="7"/>
  <c r="H110" i="7"/>
  <c r="H108" i="7"/>
  <c r="H106" i="7"/>
  <c r="H105" i="7"/>
  <c r="H104" i="7"/>
  <c r="H103" i="7"/>
  <c r="H102" i="7"/>
  <c r="H101" i="7"/>
  <c r="H100" i="7"/>
  <c r="H99" i="7"/>
  <c r="H98" i="7"/>
  <c r="H97" i="7"/>
  <c r="H96" i="7"/>
  <c r="H95" i="7"/>
  <c r="O92" i="7"/>
  <c r="O91" i="7"/>
  <c r="H91" i="7"/>
  <c r="O90" i="7"/>
  <c r="O89" i="7"/>
  <c r="H89" i="7"/>
  <c r="O87" i="7"/>
  <c r="H87" i="7"/>
  <c r="O85" i="7"/>
  <c r="H85" i="7"/>
  <c r="O84" i="7"/>
  <c r="H84" i="7"/>
  <c r="O83" i="7"/>
  <c r="H83" i="7"/>
  <c r="O82" i="7"/>
  <c r="O81" i="7"/>
  <c r="H81" i="7"/>
  <c r="O80" i="7"/>
  <c r="H80" i="7"/>
  <c r="O79" i="7"/>
  <c r="H79" i="7"/>
  <c r="O78" i="7"/>
  <c r="O77" i="7"/>
  <c r="H77" i="7"/>
  <c r="O76" i="7"/>
  <c r="H76" i="7"/>
  <c r="O75" i="7"/>
  <c r="H75" i="7"/>
  <c r="O74" i="7"/>
  <c r="O73" i="7"/>
  <c r="H73" i="7"/>
  <c r="O72" i="7"/>
  <c r="H72" i="7"/>
  <c r="O71" i="7"/>
  <c r="H71" i="7"/>
  <c r="O70" i="7"/>
  <c r="O69" i="7"/>
  <c r="H69" i="7"/>
  <c r="H236" i="7"/>
  <c r="H235" i="7"/>
  <c r="H234" i="7"/>
  <c r="H233" i="7"/>
  <c r="H232" i="7"/>
  <c r="H231" i="7"/>
  <c r="H230" i="7"/>
  <c r="H229" i="7"/>
  <c r="H228" i="7"/>
  <c r="H227" i="7"/>
  <c r="H226" i="7"/>
  <c r="H225" i="7"/>
  <c r="H224" i="7"/>
  <c r="H223" i="7"/>
  <c r="H222" i="7"/>
  <c r="H221" i="7"/>
  <c r="H220" i="7"/>
  <c r="H219" i="7"/>
  <c r="H218" i="7"/>
  <c r="H217" i="7"/>
  <c r="H216" i="7"/>
  <c r="H215" i="7"/>
  <c r="H214" i="7"/>
  <c r="H213" i="7"/>
  <c r="H212" i="7"/>
  <c r="H211" i="7"/>
  <c r="H210" i="7"/>
  <c r="O209" i="7"/>
  <c r="H208" i="7"/>
  <c r="O207" i="7"/>
  <c r="H207" i="7"/>
  <c r="O206" i="7"/>
  <c r="H206" i="7"/>
  <c r="O205" i="7"/>
  <c r="L68" i="7"/>
  <c r="L184" i="7"/>
  <c r="H274" i="7"/>
  <c r="H273" i="7"/>
  <c r="H272" i="7"/>
  <c r="H271" i="7"/>
  <c r="H270" i="7"/>
  <c r="H269" i="7"/>
  <c r="H268" i="7"/>
  <c r="O267" i="7"/>
  <c r="O266" i="7"/>
  <c r="O265" i="7"/>
  <c r="O264" i="7"/>
  <c r="O263" i="7"/>
  <c r="O260" i="7"/>
  <c r="O259" i="7"/>
  <c r="O258" i="7"/>
  <c r="O257" i="7"/>
  <c r="O256" i="7"/>
  <c r="O255" i="7"/>
  <c r="O254" i="7"/>
  <c r="O253" i="7"/>
  <c r="O252" i="7"/>
  <c r="O251" i="7"/>
  <c r="O250" i="7"/>
  <c r="O249" i="7"/>
  <c r="O248" i="7"/>
  <c r="O247" i="7"/>
  <c r="O246" i="7"/>
  <c r="O245" i="7"/>
  <c r="H242" i="7"/>
  <c r="E61" i="7"/>
  <c r="E60" i="7"/>
  <c r="E59" i="7"/>
  <c r="E58" i="7"/>
  <c r="E57" i="7"/>
  <c r="E56" i="7"/>
  <c r="E55" i="7"/>
  <c r="E54" i="7"/>
  <c r="E53" i="7"/>
  <c r="E52" i="7"/>
  <c r="E51" i="7"/>
  <c r="E50" i="7"/>
  <c r="E46" i="7"/>
  <c r="E45" i="7"/>
  <c r="E44" i="7"/>
  <c r="E43" i="7"/>
  <c r="E42" i="7"/>
  <c r="E41" i="7"/>
  <c r="E40" i="7"/>
  <c r="E39" i="7"/>
  <c r="E38" i="7"/>
  <c r="E37" i="7"/>
  <c r="E32" i="7"/>
  <c r="E31" i="7"/>
  <c r="E30" i="7"/>
  <c r="E29" i="7"/>
  <c r="E28" i="7"/>
  <c r="L25" i="7"/>
  <c r="L24" i="7"/>
  <c r="L23" i="7"/>
  <c r="L22" i="7"/>
  <c r="L21" i="7"/>
  <c r="L20" i="7"/>
  <c r="L19" i="7"/>
  <c r="L18" i="7"/>
  <c r="L17" i="7"/>
  <c r="L16" i="7"/>
  <c r="L15" i="7"/>
  <c r="L14" i="7"/>
  <c r="L13" i="7"/>
  <c r="L12" i="7"/>
  <c r="L11" i="7"/>
  <c r="L10" i="7"/>
  <c r="L9" i="7"/>
  <c r="E120" i="7"/>
  <c r="E119" i="7"/>
  <c r="E118" i="7"/>
  <c r="E117" i="7"/>
  <c r="E116" i="7"/>
  <c r="E115" i="7"/>
  <c r="E114" i="7"/>
  <c r="E113" i="7"/>
  <c r="E112" i="7"/>
  <c r="E111" i="7"/>
  <c r="E110" i="7"/>
  <c r="E108" i="7"/>
  <c r="E106" i="7"/>
  <c r="E105" i="7"/>
  <c r="E104" i="7"/>
  <c r="E103" i="7"/>
  <c r="E102" i="7"/>
  <c r="E101" i="7"/>
  <c r="E100" i="7"/>
  <c r="E99" i="7"/>
  <c r="E98" i="7"/>
  <c r="E97" i="7"/>
  <c r="E96" i="7"/>
  <c r="E95" i="7"/>
  <c r="E91" i="7"/>
  <c r="E90" i="7"/>
  <c r="E89" i="7"/>
  <c r="E87" i="7"/>
  <c r="E85" i="7"/>
  <c r="L84" i="7"/>
  <c r="L83" i="7"/>
  <c r="L82" i="7"/>
  <c r="L81" i="7"/>
  <c r="L80" i="7"/>
  <c r="L79" i="7"/>
  <c r="L78" i="7"/>
  <c r="L77" i="7"/>
  <c r="L76" i="7"/>
  <c r="L75" i="7"/>
  <c r="L74" i="7"/>
  <c r="L73" i="7"/>
  <c r="L72" i="7"/>
  <c r="L71" i="7"/>
  <c r="L70" i="7"/>
  <c r="L69" i="7"/>
  <c r="E236" i="7"/>
  <c r="E235" i="7"/>
  <c r="E234" i="7"/>
  <c r="E233" i="7"/>
  <c r="E232" i="7"/>
  <c r="E231" i="7"/>
  <c r="E230" i="7"/>
  <c r="E229" i="7"/>
  <c r="E228" i="7"/>
  <c r="E227" i="7"/>
  <c r="E226" i="7"/>
  <c r="E225" i="7"/>
  <c r="E224" i="7"/>
  <c r="E223" i="7"/>
  <c r="E222" i="7"/>
  <c r="E221" i="7"/>
  <c r="E220" i="7"/>
  <c r="E219" i="7"/>
  <c r="E218" i="7"/>
  <c r="E217" i="7"/>
  <c r="E216" i="7"/>
  <c r="E215" i="7"/>
  <c r="E214" i="7"/>
  <c r="E213" i="7"/>
  <c r="E212" i="7"/>
  <c r="E211" i="7"/>
  <c r="E210" i="7"/>
  <c r="E209" i="7"/>
  <c r="E208" i="7"/>
  <c r="E207" i="7"/>
  <c r="E206" i="7"/>
  <c r="E205" i="7"/>
  <c r="H204" i="7"/>
  <c r="H203" i="7"/>
  <c r="H202" i="7"/>
  <c r="H200" i="7"/>
  <c r="H199" i="7"/>
  <c r="H198" i="7"/>
  <c r="H196" i="7"/>
  <c r="H195" i="7"/>
  <c r="H194" i="7"/>
  <c r="H192" i="7"/>
  <c r="H191" i="7"/>
  <c r="H190" i="7"/>
  <c r="H188" i="7"/>
  <c r="H187" i="7"/>
  <c r="H186" i="7"/>
  <c r="H267" i="7"/>
  <c r="H265" i="7"/>
  <c r="H264" i="7"/>
  <c r="H260" i="7"/>
  <c r="H259" i="7"/>
  <c r="H257" i="7"/>
  <c r="H256" i="7"/>
  <c r="H255" i="7"/>
  <c r="H253" i="7"/>
  <c r="H252" i="7"/>
  <c r="H251" i="7"/>
  <c r="H249" i="7"/>
  <c r="H248" i="7"/>
  <c r="H247" i="7"/>
  <c r="H245" i="7"/>
  <c r="H244" i="7"/>
  <c r="H243" i="7"/>
  <c r="E23" i="7"/>
  <c r="E22" i="7"/>
  <c r="E19" i="7"/>
  <c r="E18" i="7"/>
  <c r="E15" i="7"/>
  <c r="E14" i="7"/>
  <c r="E11" i="7"/>
  <c r="E10" i="7"/>
  <c r="E9" i="7"/>
  <c r="E83" i="7"/>
  <c r="E82" i="7"/>
  <c r="E79" i="7"/>
  <c r="E78" i="7"/>
  <c r="E75" i="7"/>
  <c r="E74" i="7"/>
  <c r="E71" i="7"/>
  <c r="E70" i="7"/>
  <c r="H184" i="7"/>
  <c r="E198" i="7"/>
  <c r="E197" i="7"/>
  <c r="E194" i="7"/>
  <c r="E193" i="7"/>
  <c r="E190" i="7"/>
  <c r="E189" i="7"/>
  <c r="E186" i="7"/>
  <c r="E185" i="7"/>
  <c r="E258" i="7"/>
  <c r="E255" i="7"/>
  <c r="E254" i="7"/>
  <c r="E251" i="7"/>
  <c r="E250" i="7"/>
  <c r="E247" i="7"/>
  <c r="E246" i="7"/>
  <c r="E243" i="7"/>
  <c r="H24" i="7"/>
  <c r="H32" i="7"/>
  <c r="H90" i="7"/>
  <c r="H78" i="7"/>
  <c r="H197" i="7"/>
  <c r="H193" i="7"/>
  <c r="H189" i="7"/>
  <c r="E242" i="7"/>
  <c r="H262" i="7"/>
  <c r="H258" i="7"/>
  <c r="H254" i="7"/>
  <c r="H68" i="7"/>
  <c r="H20" i="7"/>
  <c r="H16" i="7"/>
  <c r="H82" i="7"/>
  <c r="H74" i="7"/>
  <c r="H70" i="7"/>
  <c r="E184" i="7"/>
  <c r="H209" i="7"/>
  <c r="H205" i="7"/>
  <c r="H201" i="7"/>
  <c r="H185" i="7"/>
  <c r="H266" i="7"/>
  <c r="H250" i="7"/>
  <c r="H246" i="7"/>
  <c r="E25" i="7"/>
  <c r="E24" i="7"/>
  <c r="E21" i="7"/>
  <c r="E20" i="7"/>
  <c r="E17" i="7"/>
  <c r="E16" i="7"/>
  <c r="E13" i="7"/>
  <c r="E12" i="7"/>
  <c r="E84" i="7"/>
  <c r="E81" i="7"/>
  <c r="E80" i="7"/>
  <c r="E77" i="7"/>
  <c r="E76" i="7"/>
  <c r="E73" i="7"/>
  <c r="E72" i="7"/>
  <c r="E69" i="7"/>
  <c r="E200" i="7"/>
  <c r="E199" i="7"/>
  <c r="E196" i="7"/>
  <c r="E195" i="7"/>
  <c r="E192" i="7"/>
  <c r="E191" i="7"/>
  <c r="E188" i="7"/>
  <c r="E187" i="7"/>
  <c r="E257" i="7"/>
  <c r="E256" i="7"/>
  <c r="E253" i="7"/>
  <c r="E252" i="7"/>
  <c r="E249" i="7"/>
  <c r="E248" i="7"/>
  <c r="E245" i="7"/>
  <c r="E244" i="7"/>
  <c r="E68" i="7"/>
  <c r="T41" i="1"/>
  <c r="W41" i="1" s="1"/>
  <c r="BP23" i="4"/>
  <c r="BO23" i="4"/>
  <c r="BK29" i="4"/>
  <c r="BK27" i="4"/>
  <c r="BK26" i="4"/>
  <c r="BL56" i="4"/>
  <c r="S41" i="1" s="1"/>
  <c r="V41" i="1" s="1"/>
  <c r="H312" i="7" l="1"/>
  <c r="H316" i="7"/>
  <c r="L305" i="7"/>
  <c r="L309" i="7"/>
  <c r="L313" i="7"/>
  <c r="L317" i="7"/>
  <c r="O304" i="7"/>
  <c r="O312" i="7"/>
  <c r="O316" i="7"/>
  <c r="H330" i="7"/>
  <c r="H334" i="7"/>
  <c r="H338" i="7"/>
  <c r="H309" i="7"/>
  <c r="L323" i="7"/>
  <c r="E312" i="7"/>
  <c r="E303" i="7"/>
  <c r="E323" i="7"/>
  <c r="H345" i="7"/>
  <c r="H304" i="7"/>
  <c r="L329" i="7"/>
  <c r="L341" i="7"/>
  <c r="L353" i="7"/>
  <c r="E305" i="7"/>
  <c r="E306" i="7"/>
  <c r="E314" i="7"/>
  <c r="L306" i="7"/>
  <c r="L310" i="7"/>
  <c r="L314" i="7"/>
  <c r="E324" i="7"/>
  <c r="E332" i="7"/>
  <c r="E336" i="7"/>
  <c r="E343" i="7"/>
  <c r="E347" i="7"/>
  <c r="O322" i="7"/>
  <c r="O305" i="7"/>
  <c r="O309" i="7"/>
  <c r="O313" i="7"/>
  <c r="O317" i="7"/>
  <c r="H331" i="7"/>
  <c r="H335" i="7"/>
  <c r="H346" i="7"/>
  <c r="H350" i="7"/>
  <c r="H301" i="7"/>
  <c r="H305" i="7"/>
  <c r="H310" i="7"/>
  <c r="H315" i="7"/>
  <c r="L324" i="7"/>
  <c r="L330" i="7"/>
  <c r="L334" i="7"/>
  <c r="L338" i="7"/>
  <c r="L342" i="7"/>
  <c r="L346" i="7"/>
  <c r="L318" i="7"/>
  <c r="O330" i="7"/>
  <c r="O332" i="7"/>
  <c r="O334" i="7"/>
  <c r="O338" i="7"/>
  <c r="O340" i="7"/>
  <c r="O342" i="7"/>
  <c r="O344" i="7"/>
  <c r="O346" i="7"/>
  <c r="O348" i="7"/>
  <c r="O352" i="7"/>
  <c r="E335" i="7"/>
  <c r="E350" i="7"/>
  <c r="O308" i="7"/>
  <c r="H353" i="7"/>
  <c r="H314" i="7"/>
  <c r="L337" i="7"/>
  <c r="L345" i="7"/>
  <c r="E313" i="7"/>
  <c r="E308" i="7"/>
  <c r="E316" i="7"/>
  <c r="E301" i="7"/>
  <c r="E307" i="7"/>
  <c r="E315" i="7"/>
  <c r="L307" i="7"/>
  <c r="L311" i="7"/>
  <c r="L315" i="7"/>
  <c r="E329" i="7"/>
  <c r="E333" i="7"/>
  <c r="E337" i="7"/>
  <c r="E344" i="7"/>
  <c r="E348" i="7"/>
  <c r="O323" i="7"/>
  <c r="O306" i="7"/>
  <c r="O310" i="7"/>
  <c r="O314" i="7"/>
  <c r="O318" i="7"/>
  <c r="H323" i="7"/>
  <c r="H332" i="7"/>
  <c r="H336" i="7"/>
  <c r="H343" i="7"/>
  <c r="H347" i="7"/>
  <c r="H302" i="7"/>
  <c r="H306" i="7"/>
  <c r="H311" i="7"/>
  <c r="H317" i="7"/>
  <c r="L331" i="7"/>
  <c r="L335" i="7"/>
  <c r="L339" i="7"/>
  <c r="L343" i="7"/>
  <c r="L347" i="7"/>
  <c r="L351" i="7"/>
  <c r="E304" i="7"/>
  <c r="E311" i="7"/>
  <c r="E331" i="7"/>
  <c r="E346" i="7"/>
  <c r="H349" i="7"/>
  <c r="L333" i="7"/>
  <c r="L349" i="7"/>
  <c r="E309" i="7"/>
  <c r="E317" i="7"/>
  <c r="H308" i="7"/>
  <c r="H324" i="7"/>
  <c r="E302" i="7"/>
  <c r="E310" i="7"/>
  <c r="L304" i="7"/>
  <c r="L308" i="7"/>
  <c r="L312" i="7"/>
  <c r="L316" i="7"/>
  <c r="E330" i="7"/>
  <c r="E334" i="7"/>
  <c r="E338" i="7"/>
  <c r="E345" i="7"/>
  <c r="E349" i="7"/>
  <c r="E353" i="7"/>
  <c r="O324" i="7"/>
  <c r="O307" i="7"/>
  <c r="O311" i="7"/>
  <c r="O315" i="7"/>
  <c r="H329" i="7"/>
  <c r="H333" i="7"/>
  <c r="H337" i="7"/>
  <c r="H344" i="7"/>
  <c r="H348" i="7"/>
  <c r="H303" i="7"/>
  <c r="H307" i="7"/>
  <c r="H313" i="7"/>
  <c r="L322" i="7"/>
  <c r="L332" i="7"/>
  <c r="L340" i="7"/>
  <c r="L344" i="7"/>
  <c r="L348" i="7"/>
  <c r="L352" i="7"/>
  <c r="O329" i="7"/>
  <c r="O331" i="7"/>
  <c r="O333" i="7"/>
  <c r="O335" i="7"/>
  <c r="O337" i="7"/>
  <c r="O339" i="7"/>
  <c r="O341" i="7"/>
  <c r="O343" i="7"/>
  <c r="O345" i="7"/>
  <c r="O347" i="7"/>
  <c r="O349" i="7"/>
  <c r="O351" i="7"/>
  <c r="O353" i="7"/>
  <c r="BQ23" i="4"/>
  <c r="BL233" i="3"/>
  <c r="BM60" i="4" l="1"/>
  <c r="U41" i="1" s="1"/>
  <c r="X41" i="1" s="1"/>
  <c r="BL63" i="4" l="1"/>
  <c r="BQ159" i="3"/>
  <c r="BP159" i="3"/>
  <c r="BO159" i="3"/>
  <c r="BN159" i="3"/>
  <c r="BM159" i="3"/>
  <c r="BL159" i="3"/>
  <c r="BQ157" i="3"/>
  <c r="BP157" i="3"/>
  <c r="BO157" i="3"/>
  <c r="BN157" i="3"/>
  <c r="BM157" i="3"/>
  <c r="BL157" i="3"/>
  <c r="BL147" i="3"/>
  <c r="BM147" i="3"/>
  <c r="BN147" i="3"/>
  <c r="BO147" i="3"/>
  <c r="BP147" i="3"/>
  <c r="BQ147" i="3"/>
  <c r="BL148" i="3"/>
  <c r="BM148" i="3"/>
  <c r="BN148" i="3"/>
  <c r="BO148" i="3"/>
  <c r="BP148" i="3"/>
  <c r="BQ148" i="3"/>
  <c r="BL149" i="3"/>
  <c r="BL266" i="3" s="1"/>
  <c r="BM149" i="3"/>
  <c r="BM266" i="3" s="1"/>
  <c r="BN149" i="3"/>
  <c r="BO149" i="3"/>
  <c r="BP149" i="3"/>
  <c r="BQ149" i="3"/>
  <c r="BL150" i="3"/>
  <c r="BM150" i="3"/>
  <c r="BN150" i="3"/>
  <c r="BO150" i="3"/>
  <c r="BP150" i="3"/>
  <c r="BQ150" i="3"/>
  <c r="BL151" i="3"/>
  <c r="BM151" i="3"/>
  <c r="BN151" i="3"/>
  <c r="BO151" i="3"/>
  <c r="BP151" i="3"/>
  <c r="BQ151" i="3"/>
  <c r="BQ146" i="3"/>
  <c r="BP146" i="3"/>
  <c r="BO146" i="3"/>
  <c r="BN146" i="3"/>
  <c r="BM146" i="3"/>
  <c r="BM263" i="3" s="1"/>
  <c r="BL146" i="3"/>
  <c r="BL263" i="3" s="1"/>
  <c r="BL135" i="3"/>
  <c r="BL252" i="3" s="1"/>
  <c r="BM135" i="3"/>
  <c r="BM252" i="3" s="1"/>
  <c r="BN135" i="3"/>
  <c r="BO135" i="3"/>
  <c r="BP135" i="3"/>
  <c r="BQ135" i="3"/>
  <c r="BL136" i="3"/>
  <c r="BL253" i="3" s="1"/>
  <c r="BM136" i="3"/>
  <c r="BM253" i="3" s="1"/>
  <c r="BN136" i="3"/>
  <c r="BO136" i="3"/>
  <c r="BP136" i="3"/>
  <c r="BQ136" i="3"/>
  <c r="BL137" i="3"/>
  <c r="BL254" i="3" s="1"/>
  <c r="BM137" i="3"/>
  <c r="BM254" i="3" s="1"/>
  <c r="BN137" i="3"/>
  <c r="BO137" i="3"/>
  <c r="BP137" i="3"/>
  <c r="BQ137" i="3"/>
  <c r="BL138" i="3"/>
  <c r="BL255" i="3" s="1"/>
  <c r="BM138" i="3"/>
  <c r="BM255" i="3" s="1"/>
  <c r="BN138" i="3"/>
  <c r="BO138" i="3"/>
  <c r="BP138" i="3"/>
  <c r="BQ138" i="3"/>
  <c r="BL139" i="3"/>
  <c r="BL256" i="3" s="1"/>
  <c r="BM139" i="3"/>
  <c r="BM256" i="3" s="1"/>
  <c r="BN139" i="3"/>
  <c r="BO139" i="3"/>
  <c r="BP139" i="3"/>
  <c r="BQ139" i="3"/>
  <c r="BL140" i="3"/>
  <c r="BL257" i="3" s="1"/>
  <c r="BM140" i="3"/>
  <c r="BM257" i="3" s="1"/>
  <c r="BN140" i="3"/>
  <c r="BO140" i="3"/>
  <c r="BP140" i="3"/>
  <c r="BQ140" i="3"/>
  <c r="BL141" i="3"/>
  <c r="BM141" i="3"/>
  <c r="BN141" i="3"/>
  <c r="BO141" i="3"/>
  <c r="BP141" i="3"/>
  <c r="BQ141" i="3"/>
  <c r="BL142" i="3"/>
  <c r="BM142" i="3"/>
  <c r="BN142" i="3"/>
  <c r="BO142" i="3"/>
  <c r="BP142" i="3"/>
  <c r="BQ142" i="3"/>
  <c r="BQ134" i="3"/>
  <c r="BP134" i="3"/>
  <c r="BO134" i="3"/>
  <c r="BN134" i="3"/>
  <c r="BM134" i="3"/>
  <c r="BL134" i="3"/>
  <c r="BQ132" i="3"/>
  <c r="BP132" i="3"/>
  <c r="BO132" i="3"/>
  <c r="BN132" i="3"/>
  <c r="BM132" i="3"/>
  <c r="BM249" i="3" s="1"/>
  <c r="BL132" i="3"/>
  <c r="BL249" i="3" s="1"/>
  <c r="BQ131" i="3"/>
  <c r="BP131" i="3"/>
  <c r="BO131" i="3"/>
  <c r="BN131" i="3"/>
  <c r="BM131" i="3"/>
  <c r="BL131" i="3"/>
  <c r="BQ130" i="3"/>
  <c r="BP130" i="3"/>
  <c r="BO130" i="3"/>
  <c r="BN130" i="3"/>
  <c r="BM130" i="3"/>
  <c r="BL130" i="3"/>
  <c r="BQ129" i="3"/>
  <c r="BP129" i="3"/>
  <c r="BO129" i="3"/>
  <c r="BN129" i="3"/>
  <c r="BM129" i="3"/>
  <c r="BM246" i="3" s="1"/>
  <c r="BL129" i="3"/>
  <c r="BL246" i="3" s="1"/>
  <c r="BL123" i="3"/>
  <c r="BM123" i="3"/>
  <c r="BN123" i="3"/>
  <c r="BO123" i="3"/>
  <c r="BP123" i="3"/>
  <c r="BQ123" i="3"/>
  <c r="BL124" i="3"/>
  <c r="BM124" i="3"/>
  <c r="BN124" i="3"/>
  <c r="BO124" i="3"/>
  <c r="BP124" i="3"/>
  <c r="BQ124" i="3"/>
  <c r="BM122" i="3"/>
  <c r="BN122" i="3"/>
  <c r="BO122" i="3"/>
  <c r="BP122" i="3"/>
  <c r="BQ122" i="3"/>
  <c r="BL122" i="3"/>
  <c r="BK173" i="3"/>
  <c r="BJ173" i="3"/>
  <c r="BI173" i="3"/>
  <c r="BH173" i="3"/>
  <c r="BG173" i="3"/>
  <c r="BF173" i="3"/>
  <c r="BK172" i="3"/>
  <c r="BJ172" i="3"/>
  <c r="BI172" i="3"/>
  <c r="BH172" i="3"/>
  <c r="BG172" i="3"/>
  <c r="BF172" i="3"/>
  <c r="BK171" i="3"/>
  <c r="BJ171" i="3"/>
  <c r="BI171" i="3"/>
  <c r="BH171" i="3"/>
  <c r="BG171" i="3"/>
  <c r="BF171" i="3"/>
  <c r="BK164" i="3"/>
  <c r="BJ164" i="3"/>
  <c r="BI164" i="3"/>
  <c r="BH164" i="3"/>
  <c r="BG164" i="3"/>
  <c r="BF164" i="3"/>
  <c r="BK162" i="3"/>
  <c r="BJ162" i="3"/>
  <c r="BJ279" i="3" s="1"/>
  <c r="BI162" i="3"/>
  <c r="BI279" i="3" s="1"/>
  <c r="BH162" i="3"/>
  <c r="BG162" i="3"/>
  <c r="BF162" i="3"/>
  <c r="BK158" i="3"/>
  <c r="BJ158" i="3"/>
  <c r="BI158" i="3"/>
  <c r="BH158" i="3"/>
  <c r="BG158" i="3"/>
  <c r="BF158" i="3"/>
  <c r="BK156" i="3"/>
  <c r="BJ156" i="3"/>
  <c r="BI156" i="3"/>
  <c r="BH156" i="3"/>
  <c r="BG156" i="3"/>
  <c r="BF156" i="3"/>
  <c r="BF141" i="3"/>
  <c r="BG141" i="3"/>
  <c r="BH141" i="3"/>
  <c r="BI141" i="3"/>
  <c r="BJ141" i="3"/>
  <c r="BK141" i="3"/>
  <c r="BF142" i="3"/>
  <c r="BF259" i="3" s="1"/>
  <c r="BG142" i="3"/>
  <c r="BG259" i="3" s="1"/>
  <c r="BH142" i="3"/>
  <c r="BI142" i="3"/>
  <c r="BJ142" i="3"/>
  <c r="BK142" i="3"/>
  <c r="BF143" i="3"/>
  <c r="BG143" i="3"/>
  <c r="BH143" i="3"/>
  <c r="BI143" i="3"/>
  <c r="BJ143" i="3"/>
  <c r="BK143" i="3"/>
  <c r="BF144" i="3"/>
  <c r="BG144" i="3"/>
  <c r="BH144" i="3"/>
  <c r="BI144" i="3"/>
  <c r="BJ144" i="3"/>
  <c r="BK144" i="3"/>
  <c r="BF145" i="3"/>
  <c r="BG145" i="3"/>
  <c r="BH145" i="3"/>
  <c r="BI145" i="3"/>
  <c r="BJ145" i="3"/>
  <c r="BK145" i="3"/>
  <c r="BF146" i="3"/>
  <c r="BG146" i="3"/>
  <c r="BH146" i="3"/>
  <c r="BI146" i="3"/>
  <c r="BJ146" i="3"/>
  <c r="BK146" i="3"/>
  <c r="BF147" i="3"/>
  <c r="BG147" i="3"/>
  <c r="BH147" i="3"/>
  <c r="BI147" i="3"/>
  <c r="BI264" i="3" s="1"/>
  <c r="BJ147" i="3"/>
  <c r="BJ264" i="3" s="1"/>
  <c r="BK147" i="3"/>
  <c r="BF148" i="3"/>
  <c r="BG148" i="3"/>
  <c r="BH148" i="3"/>
  <c r="BI148" i="3"/>
  <c r="BJ148" i="3"/>
  <c r="BK148" i="3"/>
  <c r="BF149" i="3"/>
  <c r="BG149" i="3"/>
  <c r="BH149" i="3"/>
  <c r="BI149" i="3"/>
  <c r="BI266" i="3" s="1"/>
  <c r="BJ149" i="3"/>
  <c r="BJ266" i="3" s="1"/>
  <c r="BK149" i="3"/>
  <c r="BF150" i="3"/>
  <c r="BG150" i="3"/>
  <c r="BH150" i="3"/>
  <c r="BI150" i="3"/>
  <c r="BJ150" i="3"/>
  <c r="BK150" i="3"/>
  <c r="BF151" i="3"/>
  <c r="BG151" i="3"/>
  <c r="BH151" i="3"/>
  <c r="BI151" i="3"/>
  <c r="BJ151" i="3"/>
  <c r="BK151" i="3"/>
  <c r="BK140" i="3"/>
  <c r="BJ140" i="3"/>
  <c r="BI140" i="3"/>
  <c r="BH140" i="3"/>
  <c r="BG140" i="3"/>
  <c r="BG257" i="3" s="1"/>
  <c r="BF140" i="3"/>
  <c r="BF257" i="3" s="1"/>
  <c r="BK134" i="3"/>
  <c r="BJ134" i="3"/>
  <c r="BI134" i="3"/>
  <c r="BH134" i="3"/>
  <c r="BG134" i="3"/>
  <c r="BG251" i="3" s="1"/>
  <c r="BF134" i="3"/>
  <c r="BF251" i="3" s="1"/>
  <c r="BK133" i="3"/>
  <c r="BJ133" i="3"/>
  <c r="BI133" i="3"/>
  <c r="BH133" i="3"/>
  <c r="BG133" i="3"/>
  <c r="BG250" i="3" s="1"/>
  <c r="BF133" i="3"/>
  <c r="BF250" i="3" s="1"/>
  <c r="BK126" i="3"/>
  <c r="BJ126" i="3"/>
  <c r="BI126" i="3"/>
  <c r="BH126" i="3"/>
  <c r="BG126" i="3"/>
  <c r="BF126" i="3"/>
  <c r="BG122" i="3"/>
  <c r="BH122" i="3"/>
  <c r="BI122" i="3"/>
  <c r="BJ122" i="3"/>
  <c r="BK122" i="3"/>
  <c r="BF122" i="3"/>
  <c r="BG116" i="3"/>
  <c r="BH116" i="3"/>
  <c r="BI116" i="3"/>
  <c r="BJ116" i="3"/>
  <c r="BK116" i="3"/>
  <c r="BL116" i="3"/>
  <c r="BM116" i="3"/>
  <c r="BN116" i="3"/>
  <c r="BO116" i="3"/>
  <c r="BP116" i="3"/>
  <c r="BQ116" i="3"/>
  <c r="BL239" i="3" l="1"/>
  <c r="BI251" i="3"/>
  <c r="BF265" i="3"/>
  <c r="BG263" i="3"/>
  <c r="BF263" i="3"/>
  <c r="BO239" i="3"/>
  <c r="BL241" i="3"/>
  <c r="BO247" i="3"/>
  <c r="BP247" i="3"/>
  <c r="BN263" i="3"/>
  <c r="BP263" i="3"/>
  <c r="BP274" i="3"/>
  <c r="BL258" i="3"/>
  <c r="BO263" i="3"/>
  <c r="BH250" i="3"/>
  <c r="BJ263" i="3"/>
  <c r="BJ259" i="3"/>
  <c r="BG290" i="3"/>
  <c r="BP241" i="3"/>
  <c r="BM251" i="3"/>
  <c r="BP258" i="3"/>
  <c r="BP256" i="3"/>
  <c r="BN256" i="3"/>
  <c r="BP254" i="3"/>
  <c r="BN254" i="3"/>
  <c r="BP252" i="3"/>
  <c r="BN252" i="3"/>
  <c r="BH251" i="3"/>
  <c r="BJ258" i="3"/>
  <c r="BP255" i="3"/>
  <c r="BN253" i="3"/>
  <c r="BG265" i="3"/>
  <c r="BH265" i="3" s="1"/>
  <c r="BI258" i="3"/>
  <c r="BF290" i="3"/>
  <c r="BP239" i="3"/>
  <c r="BM241" i="3"/>
  <c r="BL251" i="3"/>
  <c r="BM258" i="3"/>
  <c r="BO255" i="3"/>
  <c r="BO265" i="3"/>
  <c r="BM264" i="3"/>
  <c r="BJ260" i="3"/>
  <c r="BM239" i="3"/>
  <c r="BP240" i="3"/>
  <c r="BN255" i="3"/>
  <c r="BP253" i="3"/>
  <c r="BI260" i="3"/>
  <c r="BF288" i="3"/>
  <c r="BO240" i="3"/>
  <c r="BL248" i="3"/>
  <c r="BO253" i="3"/>
  <c r="BJ265" i="3"/>
  <c r="BG288" i="3"/>
  <c r="BI289" i="3"/>
  <c r="BM248" i="3"/>
  <c r="BO274" i="3"/>
  <c r="BP266" i="3"/>
  <c r="BN266" i="3"/>
  <c r="BP265" i="3"/>
  <c r="BP264" i="3"/>
  <c r="BL264" i="3"/>
  <c r="BO259" i="3"/>
  <c r="BN257" i="3"/>
  <c r="BG240" i="3"/>
  <c r="BF240" i="3"/>
  <c r="BH257" i="3"/>
  <c r="BI240" i="3"/>
  <c r="BK264" i="3"/>
  <c r="BK279" i="3"/>
  <c r="BJ250" i="3"/>
  <c r="BP246" i="3"/>
  <c r="BP248" i="3"/>
  <c r="BI250" i="3"/>
  <c r="BI257" i="3"/>
  <c r="BF266" i="3"/>
  <c r="BF264" i="3"/>
  <c r="BF260" i="3"/>
  <c r="BF258" i="3"/>
  <c r="BI288" i="3"/>
  <c r="BG289" i="3"/>
  <c r="BI290" i="3"/>
  <c r="BL240" i="3"/>
  <c r="BO246" i="3"/>
  <c r="BM247" i="3"/>
  <c r="BO248" i="3"/>
  <c r="BO251" i="3"/>
  <c r="BP259" i="3"/>
  <c r="BL259" i="3"/>
  <c r="BP257" i="3"/>
  <c r="K208" i="7"/>
  <c r="K325" i="7" s="1"/>
  <c r="BL265" i="3"/>
  <c r="BM274" i="3"/>
  <c r="BH259" i="3"/>
  <c r="BK266" i="3"/>
  <c r="BJ240" i="3"/>
  <c r="BJ257" i="3"/>
  <c r="BJ288" i="3"/>
  <c r="BJ290" i="3"/>
  <c r="BN246" i="3"/>
  <c r="BP251" i="3"/>
  <c r="BJ251" i="3"/>
  <c r="BK251" i="3" s="1"/>
  <c r="BG266" i="3"/>
  <c r="BI265" i="3"/>
  <c r="BG264" i="3"/>
  <c r="BI263" i="3"/>
  <c r="BG260" i="3"/>
  <c r="BI259" i="3"/>
  <c r="BG258" i="3"/>
  <c r="BF289" i="3"/>
  <c r="BJ289" i="3"/>
  <c r="BO241" i="3"/>
  <c r="BM240" i="3"/>
  <c r="BL247" i="3"/>
  <c r="BN249" i="3"/>
  <c r="BM259" i="3"/>
  <c r="BO258" i="3"/>
  <c r="BO256" i="3"/>
  <c r="BQ256" i="3" s="1"/>
  <c r="BO254" i="3"/>
  <c r="BO252" i="3"/>
  <c r="BQ252" i="3" s="1"/>
  <c r="BO266" i="3"/>
  <c r="BM265" i="3"/>
  <c r="BO264" i="3"/>
  <c r="BL274" i="3"/>
  <c r="BP249" i="3"/>
  <c r="BO249" i="3"/>
  <c r="BO257" i="3"/>
  <c r="BQ274" i="3" l="1"/>
  <c r="K242" i="7"/>
  <c r="K301" i="7" s="1"/>
  <c r="BQ263" i="3"/>
  <c r="BN241" i="3"/>
  <c r="J208" i="7"/>
  <c r="J325" i="7" s="1"/>
  <c r="M208" i="7"/>
  <c r="M325" i="7" s="1"/>
  <c r="BK258" i="3"/>
  <c r="BQ247" i="3"/>
  <c r="BH263" i="3"/>
  <c r="BQ239" i="3"/>
  <c r="BN258" i="3"/>
  <c r="BH288" i="3"/>
  <c r="BQ255" i="3"/>
  <c r="N261" i="7"/>
  <c r="N320" i="7" s="1"/>
  <c r="G92" i="7"/>
  <c r="BN251" i="3"/>
  <c r="K244" i="7"/>
  <c r="K303" i="7" s="1"/>
  <c r="G94" i="7"/>
  <c r="C88" i="7"/>
  <c r="C321" i="7" s="1"/>
  <c r="BQ254" i="3"/>
  <c r="D263" i="7"/>
  <c r="D322" i="7" s="1"/>
  <c r="BK260" i="3"/>
  <c r="G93" i="7"/>
  <c r="BN264" i="3"/>
  <c r="BH290" i="3"/>
  <c r="N243" i="7"/>
  <c r="N302" i="7" s="1"/>
  <c r="G261" i="7"/>
  <c r="G320" i="7" s="1"/>
  <c r="F93" i="7"/>
  <c r="BK289" i="3"/>
  <c r="BN248" i="3"/>
  <c r="M243" i="7"/>
  <c r="M302" i="7" s="1"/>
  <c r="N244" i="7"/>
  <c r="N303" i="7" s="1"/>
  <c r="BQ265" i="3"/>
  <c r="C35" i="7"/>
  <c r="J261" i="7"/>
  <c r="J320" i="7" s="1"/>
  <c r="N242" i="7"/>
  <c r="N301" i="7" s="1"/>
  <c r="D27" i="7"/>
  <c r="BQ246" i="3"/>
  <c r="D88" i="7"/>
  <c r="BH240" i="3"/>
  <c r="BQ266" i="3"/>
  <c r="N208" i="7"/>
  <c r="K243" i="7"/>
  <c r="K302" i="7" s="1"/>
  <c r="BN239" i="3"/>
  <c r="C293" i="7"/>
  <c r="C352" i="7" s="1"/>
  <c r="BK250" i="3"/>
  <c r="G88" i="7"/>
  <c r="G321" i="7" s="1"/>
  <c r="BQ240" i="3"/>
  <c r="K261" i="7"/>
  <c r="K320" i="7" s="1"/>
  <c r="M242" i="7"/>
  <c r="M301" i="7" s="1"/>
  <c r="BN247" i="3"/>
  <c r="J242" i="7"/>
  <c r="J202" i="7"/>
  <c r="G293" i="7"/>
  <c r="G352" i="7" s="1"/>
  <c r="C33" i="7"/>
  <c r="BK263" i="3"/>
  <c r="F261" i="7"/>
  <c r="F320" i="7" s="1"/>
  <c r="BQ249" i="3"/>
  <c r="D36" i="7"/>
  <c r="D328" i="7" s="1"/>
  <c r="D94" i="7"/>
  <c r="BQ253" i="3"/>
  <c r="M219" i="7"/>
  <c r="M336" i="7" s="1"/>
  <c r="BN274" i="3"/>
  <c r="BM292" i="3"/>
  <c r="BN265" i="3"/>
  <c r="N93" i="7"/>
  <c r="K34" i="7"/>
  <c r="K93" i="7"/>
  <c r="M262" i="7"/>
  <c r="BN259" i="3"/>
  <c r="M88" i="7"/>
  <c r="K202" i="7"/>
  <c r="J35" i="7"/>
  <c r="J210" i="7"/>
  <c r="BH260" i="3"/>
  <c r="C263" i="7"/>
  <c r="C322" i="7" s="1"/>
  <c r="M211" i="7"/>
  <c r="M328" i="7" s="1"/>
  <c r="BK265" i="3"/>
  <c r="F35" i="7"/>
  <c r="F94" i="7"/>
  <c r="BH258" i="3"/>
  <c r="C261" i="7"/>
  <c r="C320" i="7" s="1"/>
  <c r="J86" i="7"/>
  <c r="BQ257" i="3"/>
  <c r="M202" i="7"/>
  <c r="K210" i="7"/>
  <c r="K35" i="7"/>
  <c r="K262" i="7"/>
  <c r="K204" i="7"/>
  <c r="K88" i="7"/>
  <c r="BQ241" i="3"/>
  <c r="M244" i="7"/>
  <c r="D93" i="7"/>
  <c r="D34" i="7"/>
  <c r="BH264" i="3"/>
  <c r="C93" i="7"/>
  <c r="C34" i="7"/>
  <c r="F263" i="7"/>
  <c r="F322" i="7" s="1"/>
  <c r="G292" i="7"/>
  <c r="G351" i="7" s="1"/>
  <c r="K219" i="7"/>
  <c r="K336" i="7" s="1"/>
  <c r="N210" i="7"/>
  <c r="M35" i="7"/>
  <c r="J211" i="7"/>
  <c r="J328" i="7" s="1"/>
  <c r="D261" i="7"/>
  <c r="D320" i="7" s="1"/>
  <c r="K211" i="7"/>
  <c r="K328" i="7" s="1"/>
  <c r="D293" i="7"/>
  <c r="D352" i="7" s="1"/>
  <c r="D92" i="7"/>
  <c r="J93" i="7"/>
  <c r="J244" i="7"/>
  <c r="N202" i="7"/>
  <c r="BQ248" i="3"/>
  <c r="BK288" i="3"/>
  <c r="N35" i="7"/>
  <c r="G34" i="7"/>
  <c r="G326" i="7" s="1"/>
  <c r="BK240" i="3"/>
  <c r="F34" i="7"/>
  <c r="J219" i="7"/>
  <c r="J336" i="7" s="1"/>
  <c r="BH289" i="3"/>
  <c r="C292" i="7"/>
  <c r="C351" i="7" s="1"/>
  <c r="G27" i="7"/>
  <c r="G86" i="7"/>
  <c r="N262" i="7"/>
  <c r="N88" i="7"/>
  <c r="BK290" i="3"/>
  <c r="F293" i="7"/>
  <c r="F352" i="7" s="1"/>
  <c r="F88" i="7"/>
  <c r="F321" i="7" s="1"/>
  <c r="BK259" i="3"/>
  <c r="J88" i="7"/>
  <c r="J262" i="7"/>
  <c r="J204" i="7"/>
  <c r="BH266" i="3"/>
  <c r="C36" i="7"/>
  <c r="C328" i="7" s="1"/>
  <c r="BQ264" i="3"/>
  <c r="M93" i="7"/>
  <c r="M34" i="7"/>
  <c r="M261" i="7"/>
  <c r="BQ258" i="3"/>
  <c r="F92" i="7"/>
  <c r="H92" i="7" s="1"/>
  <c r="F33" i="7"/>
  <c r="BN240" i="3"/>
  <c r="J243" i="7"/>
  <c r="J302" i="7" s="1"/>
  <c r="BK257" i="3"/>
  <c r="F86" i="7"/>
  <c r="F27" i="7"/>
  <c r="G36" i="7"/>
  <c r="G328" i="7" s="1"/>
  <c r="C27" i="7"/>
  <c r="N219" i="7"/>
  <c r="N336" i="7" s="1"/>
  <c r="D35" i="7"/>
  <c r="G35" i="7"/>
  <c r="BQ259" i="3"/>
  <c r="F292" i="7"/>
  <c r="F351" i="7" s="1"/>
  <c r="BL292" i="3"/>
  <c r="BP292" i="3"/>
  <c r="N211" i="7"/>
  <c r="N328" i="7" s="1"/>
  <c r="D33" i="7"/>
  <c r="F36" i="7"/>
  <c r="F328" i="7" s="1"/>
  <c r="J34" i="7"/>
  <c r="C92" i="7"/>
  <c r="D86" i="7"/>
  <c r="BQ251" i="3"/>
  <c r="D292" i="7"/>
  <c r="D351" i="7" s="1"/>
  <c r="G263" i="7"/>
  <c r="G322" i="7" s="1"/>
  <c r="M210" i="7"/>
  <c r="M204" i="7"/>
  <c r="C86" i="7"/>
  <c r="N34" i="7"/>
  <c r="G33" i="7"/>
  <c r="C94" i="7"/>
  <c r="N86" i="7"/>
  <c r="K27" i="7"/>
  <c r="K86" i="7"/>
  <c r="M86" i="7"/>
  <c r="M27" i="7"/>
  <c r="N204" i="7"/>
  <c r="J27" i="7"/>
  <c r="N27" i="7"/>
  <c r="AV38" i="2"/>
  <c r="H41" i="1" s="1"/>
  <c r="AU36" i="2"/>
  <c r="E41" i="1" s="1"/>
  <c r="AV32" i="2"/>
  <c r="AV31" i="2"/>
  <c r="AU32" i="2"/>
  <c r="AU31" i="2"/>
  <c r="AG30" i="6"/>
  <c r="AH30" i="6"/>
  <c r="AI30" i="6"/>
  <c r="AJ30" i="6"/>
  <c r="AL30" i="6"/>
  <c r="AM30" i="6"/>
  <c r="L208" i="7" l="1"/>
  <c r="L325" i="7" s="1"/>
  <c r="G325" i="7"/>
  <c r="N326" i="7"/>
  <c r="D327" i="7"/>
  <c r="K319" i="7"/>
  <c r="M319" i="7"/>
  <c r="J326" i="7"/>
  <c r="C326" i="7"/>
  <c r="G327" i="7"/>
  <c r="J327" i="7"/>
  <c r="F326" i="7"/>
  <c r="H94" i="7"/>
  <c r="F327" i="7"/>
  <c r="K326" i="7"/>
  <c r="D319" i="7"/>
  <c r="N327" i="7"/>
  <c r="L244" i="7"/>
  <c r="L303" i="7" s="1"/>
  <c r="J303" i="7"/>
  <c r="N319" i="7"/>
  <c r="F319" i="7"/>
  <c r="O261" i="7"/>
  <c r="O320" i="7" s="1"/>
  <c r="M320" i="7"/>
  <c r="J321" i="7"/>
  <c r="G319" i="7"/>
  <c r="O244" i="7"/>
  <c r="O303" i="7" s="1"/>
  <c r="M303" i="7"/>
  <c r="L242" i="7"/>
  <c r="L301" i="7" s="1"/>
  <c r="J301" i="7"/>
  <c r="J319" i="7"/>
  <c r="E33" i="7"/>
  <c r="D325" i="7"/>
  <c r="F325" i="7"/>
  <c r="M326" i="7"/>
  <c r="N321" i="7"/>
  <c r="K327" i="7"/>
  <c r="M321" i="7"/>
  <c r="C325" i="7"/>
  <c r="E88" i="7"/>
  <c r="E321" i="7" s="1"/>
  <c r="D321" i="7"/>
  <c r="C319" i="7"/>
  <c r="O35" i="7"/>
  <c r="M327" i="7"/>
  <c r="D326" i="7"/>
  <c r="K321" i="7"/>
  <c r="O208" i="7"/>
  <c r="O325" i="7" s="1"/>
  <c r="N325" i="7"/>
  <c r="C327" i="7"/>
  <c r="E263" i="7"/>
  <c r="E322" i="7" s="1"/>
  <c r="E27" i="7"/>
  <c r="O243" i="7"/>
  <c r="O302" i="7" s="1"/>
  <c r="H293" i="7"/>
  <c r="H352" i="7" s="1"/>
  <c r="E35" i="7"/>
  <c r="E36" i="7"/>
  <c r="E328" i="7" s="1"/>
  <c r="O242" i="7"/>
  <c r="O301" i="7" s="1"/>
  <c r="H93" i="7"/>
  <c r="L86" i="7"/>
  <c r="L243" i="7"/>
  <c r="L302" i="7" s="1"/>
  <c r="H261" i="7"/>
  <c r="H320" i="7" s="1"/>
  <c r="L261" i="7"/>
  <c r="L320" i="7" s="1"/>
  <c r="E94" i="7"/>
  <c r="O88" i="7"/>
  <c r="E293" i="7"/>
  <c r="E352" i="7" s="1"/>
  <c r="H292" i="7"/>
  <c r="H351" i="7" s="1"/>
  <c r="AV33" i="2"/>
  <c r="L34" i="7"/>
  <c r="H88" i="7"/>
  <c r="H321" i="7" s="1"/>
  <c r="L202" i="7"/>
  <c r="L262" i="7"/>
  <c r="L204" i="7"/>
  <c r="O262" i="7"/>
  <c r="E93" i="7"/>
  <c r="E92" i="7"/>
  <c r="H34" i="7"/>
  <c r="O204" i="7"/>
  <c r="L35" i="7"/>
  <c r="BL298" i="3"/>
  <c r="E34" i="7"/>
  <c r="H86" i="7"/>
  <c r="E292" i="7"/>
  <c r="E351" i="7" s="1"/>
  <c r="L210" i="7"/>
  <c r="L93" i="7"/>
  <c r="BR296" i="3"/>
  <c r="O219" i="7"/>
  <c r="O336" i="7" s="1"/>
  <c r="L219" i="7"/>
  <c r="L336" i="7" s="1"/>
  <c r="O93" i="7"/>
  <c r="L88" i="7"/>
  <c r="BN292" i="3"/>
  <c r="O211" i="7"/>
  <c r="O328" i="7" s="1"/>
  <c r="O202" i="7"/>
  <c r="O210" i="7"/>
  <c r="E86" i="7"/>
  <c r="H27" i="7"/>
  <c r="L211" i="7"/>
  <c r="L328" i="7" s="1"/>
  <c r="H263" i="7"/>
  <c r="H322" i="7" s="1"/>
  <c r="H35" i="7"/>
  <c r="H36" i="7"/>
  <c r="H328" i="7" s="1"/>
  <c r="H33" i="7"/>
  <c r="H325" i="7" s="1"/>
  <c r="O34" i="7"/>
  <c r="E261" i="7"/>
  <c r="E320" i="7" s="1"/>
  <c r="L27" i="7"/>
  <c r="AU33" i="2"/>
  <c r="AU40" i="2"/>
  <c r="B41" i="1"/>
  <c r="O27" i="7"/>
  <c r="O86" i="7"/>
  <c r="AN53" i="6"/>
  <c r="AN60" i="6" l="1"/>
  <c r="AN59" i="6"/>
  <c r="AN57" i="6"/>
  <c r="AN58" i="6"/>
  <c r="AZ58" i="6" s="1"/>
  <c r="AZ53" i="6"/>
  <c r="AZ60" i="6"/>
  <c r="M42" i="1"/>
  <c r="P42" i="1" s="1"/>
  <c r="AH42" i="1" s="1"/>
  <c r="V358" i="7"/>
  <c r="N41" i="1"/>
  <c r="Q41" i="1" s="1"/>
  <c r="AI41" i="1" s="1"/>
  <c r="O360" i="7"/>
  <c r="J360" i="7"/>
  <c r="H319" i="7"/>
  <c r="O319" i="7"/>
  <c r="O326" i="7"/>
  <c r="H327" i="7"/>
  <c r="L321" i="7"/>
  <c r="L327" i="7"/>
  <c r="E325" i="7"/>
  <c r="E326" i="7"/>
  <c r="H326" i="7"/>
  <c r="L326" i="7"/>
  <c r="O321" i="7"/>
  <c r="E319" i="7"/>
  <c r="O327" i="7"/>
  <c r="L319" i="7"/>
  <c r="Q358" i="7" s="1"/>
  <c r="E327" i="7"/>
  <c r="AU41" i="1"/>
  <c r="AN55" i="6"/>
  <c r="AZ55" i="6" s="1"/>
  <c r="AQ41" i="1"/>
  <c r="AP42" i="1"/>
  <c r="AZ59" i="6" l="1"/>
  <c r="AZ57" i="6"/>
  <c r="AN61" i="6"/>
  <c r="AS41" i="1"/>
  <c r="AZ61" i="6" l="1"/>
  <c r="AN29" i="6"/>
  <c r="AZ29" i="6" s="1"/>
  <c r="AN30" i="6" l="1"/>
  <c r="AN33" i="6"/>
  <c r="AN32" i="6"/>
  <c r="AN34" i="6" l="1"/>
  <c r="AN35" i="6"/>
  <c r="BL294" i="3"/>
  <c r="AN36" i="6" l="1"/>
  <c r="BE265" i="3" l="1"/>
  <c r="BE259" i="3"/>
  <c r="BE258" i="3"/>
  <c r="BE78" i="3" l="1"/>
  <c r="BE82" i="3"/>
  <c r="BE166" i="3"/>
  <c r="BE165" i="3"/>
  <c r="BD148" i="3"/>
  <c r="BD166" i="3"/>
  <c r="BD165" i="3"/>
  <c r="BE149" i="3"/>
  <c r="BE150" i="3"/>
  <c r="BD149" i="3"/>
  <c r="BD150" i="3"/>
  <c r="BF116" i="3" l="1"/>
  <c r="BB198" i="3" l="1"/>
  <c r="BC81" i="3"/>
  <c r="AZ249" i="3"/>
  <c r="BA249" i="3"/>
  <c r="AV259" i="3"/>
  <c r="AW259" i="3"/>
  <c r="AX252" i="3"/>
  <c r="AY252" i="3"/>
  <c r="AX253" i="3"/>
  <c r="AY253" i="3"/>
  <c r="AX254" i="3"/>
  <c r="AY254" i="3"/>
  <c r="AX255" i="3"/>
  <c r="AY255" i="3"/>
  <c r="AX256" i="3"/>
  <c r="AY256" i="3"/>
  <c r="AR251" i="3"/>
  <c r="AS251" i="3"/>
  <c r="AR252" i="3"/>
  <c r="AS252" i="3"/>
  <c r="AR253" i="3"/>
  <c r="AS253" i="3"/>
  <c r="AR249" i="3"/>
  <c r="AS249" i="3"/>
  <c r="BF180" i="3" l="1"/>
  <c r="BF184" i="3"/>
  <c r="BI239" i="3" l="1"/>
  <c r="BF239" i="3"/>
  <c r="BG239" i="3"/>
  <c r="BJ239" i="3"/>
  <c r="BJ292" i="3" s="1"/>
  <c r="BE172" i="3"/>
  <c r="BE289" i="3" s="1"/>
  <c r="BD172" i="3"/>
  <c r="BD289" i="3" s="1"/>
  <c r="BE173" i="3"/>
  <c r="BE290" i="3" s="1"/>
  <c r="BD173" i="3"/>
  <c r="BD290" i="3" s="1"/>
  <c r="BH239" i="3" l="1"/>
  <c r="BK239" i="3"/>
  <c r="BE288" i="3"/>
  <c r="BD288" i="3"/>
  <c r="O16" i="6" l="1"/>
  <c r="BD28" i="4"/>
  <c r="BF56" i="4" l="1"/>
  <c r="AM32" i="6" l="1"/>
  <c r="AM34" i="6" s="1"/>
  <c r="AM33" i="6"/>
  <c r="AM35" i="6" s="1"/>
  <c r="AM36" i="6" l="1"/>
  <c r="AZ30" i="6"/>
  <c r="AT32" i="2" l="1"/>
  <c r="AS32" i="2"/>
  <c r="AR32" i="2"/>
  <c r="AQ32" i="2"/>
  <c r="AT31" i="2"/>
  <c r="AT33" i="2" s="1"/>
  <c r="AS31" i="2"/>
  <c r="AR31" i="2"/>
  <c r="AR33" i="2" s="1"/>
  <c r="AQ31" i="2"/>
  <c r="AS33" i="2" l="1"/>
  <c r="AQ33" i="2"/>
  <c r="BC24" i="4"/>
  <c r="BC29" i="4" l="1"/>
  <c r="BC60" i="4" s="1"/>
  <c r="BC31" i="4"/>
  <c r="BE32" i="4"/>
  <c r="BG60" i="4" s="1"/>
  <c r="BE27" i="4"/>
  <c r="BE26" i="4"/>
  <c r="BE25" i="4"/>
  <c r="BE23" i="4"/>
  <c r="BE22" i="4"/>
  <c r="BD200" i="3"/>
  <c r="BE60" i="4" l="1"/>
  <c r="U40" i="1"/>
  <c r="X40" i="1" s="1"/>
  <c r="BF63" i="4"/>
  <c r="BE148" i="3"/>
  <c r="AX279" i="3"/>
  <c r="AY279" i="3"/>
  <c r="EK79" i="3"/>
  <c r="EL79" i="3"/>
  <c r="ES79" i="3"/>
  <c r="EQ79" i="3"/>
  <c r="ER79" i="3"/>
  <c r="BE264" i="3"/>
  <c r="BE147" i="3"/>
  <c r="BD147" i="3"/>
  <c r="BD259" i="3" l="1"/>
  <c r="EI259" i="3" s="1"/>
  <c r="AS36" i="2"/>
  <c r="E40" i="1" s="1"/>
  <c r="AS34" i="2"/>
  <c r="B40" i="1" s="1"/>
  <c r="AT38" i="2"/>
  <c r="H40" i="1" s="1"/>
  <c r="AF39" i="1"/>
  <c r="AE39" i="1"/>
  <c r="AF38" i="1"/>
  <c r="AF30" i="1"/>
  <c r="AF29" i="1"/>
  <c r="AE29" i="1"/>
  <c r="T40" i="1"/>
  <c r="W40" i="1" s="1"/>
  <c r="S40" i="1"/>
  <c r="V40" i="1" s="1"/>
  <c r="EO64" i="3"/>
  <c r="EP64" i="3"/>
  <c r="EO65" i="3"/>
  <c r="EP65" i="3"/>
  <c r="EO66" i="3"/>
  <c r="EP66" i="3"/>
  <c r="EO67" i="3"/>
  <c r="EP67" i="3"/>
  <c r="EO68" i="3"/>
  <c r="EP68" i="3"/>
  <c r="EO69" i="3"/>
  <c r="EP69" i="3"/>
  <c r="EO70" i="3"/>
  <c r="EP70" i="3"/>
  <c r="EO71" i="3"/>
  <c r="EP71" i="3"/>
  <c r="EO72" i="3"/>
  <c r="EP72" i="3"/>
  <c r="EO73" i="3"/>
  <c r="EP73" i="3"/>
  <c r="EO74" i="3"/>
  <c r="EP74" i="3"/>
  <c r="EO75" i="3"/>
  <c r="EP75" i="3"/>
  <c r="EP76" i="3"/>
  <c r="EO77" i="3"/>
  <c r="EP77" i="3"/>
  <c r="EO80" i="3"/>
  <c r="EP80" i="3"/>
  <c r="EO81" i="3"/>
  <c r="EO82" i="3"/>
  <c r="EO83" i="3"/>
  <c r="EO84" i="3"/>
  <c r="EP85" i="3"/>
  <c r="EP86" i="3"/>
  <c r="EP87" i="3"/>
  <c r="EO88" i="3"/>
  <c r="EP88" i="3"/>
  <c r="EO89" i="3"/>
  <c r="EO90" i="3"/>
  <c r="EP90" i="3"/>
  <c r="EO91" i="3"/>
  <c r="EP91" i="3"/>
  <c r="EO92" i="3"/>
  <c r="EP92" i="3"/>
  <c r="EO93" i="3"/>
  <c r="EP93" i="3"/>
  <c r="EO94" i="3"/>
  <c r="EP94" i="3"/>
  <c r="EO96" i="3"/>
  <c r="EO97" i="3"/>
  <c r="EP97" i="3"/>
  <c r="EO98" i="3"/>
  <c r="EP98" i="3"/>
  <c r="EO99" i="3"/>
  <c r="EO100" i="3"/>
  <c r="EP100" i="3"/>
  <c r="EO101" i="3"/>
  <c r="EO102" i="3"/>
  <c r="EP102" i="3"/>
  <c r="EO103" i="3"/>
  <c r="EO104" i="3"/>
  <c r="EP104" i="3"/>
  <c r="EO105" i="3"/>
  <c r="EP105" i="3"/>
  <c r="EO106" i="3"/>
  <c r="EO107" i="3"/>
  <c r="EO108" i="3"/>
  <c r="EO110" i="3"/>
  <c r="EO111" i="3"/>
  <c r="EP111" i="3"/>
  <c r="EO112" i="3"/>
  <c r="EP112" i="3"/>
  <c r="EO113" i="3"/>
  <c r="EP113" i="3"/>
  <c r="EO114" i="3"/>
  <c r="EP114" i="3"/>
  <c r="EO115" i="3"/>
  <c r="EP115" i="3"/>
  <c r="EP63" i="3"/>
  <c r="EO63" i="3"/>
  <c r="EI64" i="3"/>
  <c r="EJ64" i="3"/>
  <c r="EI65" i="3"/>
  <c r="EJ65" i="3"/>
  <c r="EI66" i="3"/>
  <c r="EJ66" i="3"/>
  <c r="EI67" i="3"/>
  <c r="EJ67" i="3"/>
  <c r="EI68" i="3"/>
  <c r="EJ68" i="3"/>
  <c r="EI69" i="3"/>
  <c r="EJ69" i="3"/>
  <c r="EI70" i="3"/>
  <c r="EJ70" i="3"/>
  <c r="EI71" i="3"/>
  <c r="EJ71" i="3"/>
  <c r="EI72" i="3"/>
  <c r="EJ72" i="3"/>
  <c r="EI73" i="3"/>
  <c r="EJ73" i="3"/>
  <c r="EI74" i="3"/>
  <c r="EJ74" i="3"/>
  <c r="EI75" i="3"/>
  <c r="EJ75" i="3"/>
  <c r="EJ76" i="3"/>
  <c r="EI77" i="3"/>
  <c r="EJ77" i="3"/>
  <c r="EI80" i="3"/>
  <c r="EI81" i="3"/>
  <c r="EI82" i="3"/>
  <c r="EI84" i="3"/>
  <c r="EI85" i="3"/>
  <c r="EI87" i="3"/>
  <c r="EJ87" i="3"/>
  <c r="EI88" i="3"/>
  <c r="EJ88" i="3"/>
  <c r="EI89" i="3"/>
  <c r="EJ89" i="3"/>
  <c r="EI90" i="3"/>
  <c r="EJ90" i="3"/>
  <c r="EI91" i="3"/>
  <c r="EJ91" i="3"/>
  <c r="EI92" i="3"/>
  <c r="EJ92" i="3"/>
  <c r="EI93" i="3"/>
  <c r="EJ93" i="3"/>
  <c r="EI94" i="3"/>
  <c r="EJ94" i="3"/>
  <c r="EI96" i="3"/>
  <c r="EJ96" i="3"/>
  <c r="EI97" i="3"/>
  <c r="EJ97" i="3"/>
  <c r="EI98" i="3"/>
  <c r="EJ98" i="3"/>
  <c r="EI99" i="3"/>
  <c r="EJ99" i="3"/>
  <c r="EI100" i="3"/>
  <c r="EJ100" i="3"/>
  <c r="EI101" i="3"/>
  <c r="EJ101" i="3"/>
  <c r="EI102" i="3"/>
  <c r="EJ102" i="3"/>
  <c r="EI103" i="3"/>
  <c r="EJ103" i="3"/>
  <c r="EI104" i="3"/>
  <c r="EJ104" i="3"/>
  <c r="EI105" i="3"/>
  <c r="EJ105" i="3"/>
  <c r="EI106" i="3"/>
  <c r="EI107" i="3"/>
  <c r="EJ107" i="3"/>
  <c r="EI108" i="3"/>
  <c r="EI109" i="3"/>
  <c r="EI110" i="3"/>
  <c r="EI111" i="3"/>
  <c r="EJ111" i="3"/>
  <c r="EI112" i="3"/>
  <c r="EJ112" i="3"/>
  <c r="EI113" i="3"/>
  <c r="EJ113" i="3"/>
  <c r="EI114" i="3"/>
  <c r="EJ114" i="3"/>
  <c r="EI115" i="3"/>
  <c r="EJ115" i="3"/>
  <c r="EJ63" i="3"/>
  <c r="EI63" i="3"/>
  <c r="EG181" i="3"/>
  <c r="EH181" i="3"/>
  <c r="EG182" i="3"/>
  <c r="EH182" i="3"/>
  <c r="EG183" i="3"/>
  <c r="EH183" i="3"/>
  <c r="EG184" i="3"/>
  <c r="EH184" i="3"/>
  <c r="EG185" i="3"/>
  <c r="EH185" i="3"/>
  <c r="EG186" i="3"/>
  <c r="EH186" i="3"/>
  <c r="EG187" i="3"/>
  <c r="EH187" i="3"/>
  <c r="EG188" i="3"/>
  <c r="EH188" i="3"/>
  <c r="EG189" i="3"/>
  <c r="EH189" i="3"/>
  <c r="EG190" i="3"/>
  <c r="EH190" i="3"/>
  <c r="EG191" i="3"/>
  <c r="EH191" i="3"/>
  <c r="EG192" i="3"/>
  <c r="EH192" i="3"/>
  <c r="EG193" i="3"/>
  <c r="EH193" i="3"/>
  <c r="EG194" i="3"/>
  <c r="EH194" i="3"/>
  <c r="EG195" i="3"/>
  <c r="EH195" i="3"/>
  <c r="EH197" i="3"/>
  <c r="EG204" i="3"/>
  <c r="EG205" i="3"/>
  <c r="EH205" i="3"/>
  <c r="EG206" i="3"/>
  <c r="EH206" i="3"/>
  <c r="EG207" i="3"/>
  <c r="EH207" i="3"/>
  <c r="EG208" i="3"/>
  <c r="EH208" i="3"/>
  <c r="EG209" i="3"/>
  <c r="EH209" i="3"/>
  <c r="EG210" i="3"/>
  <c r="EH210" i="3"/>
  <c r="EG211" i="3"/>
  <c r="EH211" i="3"/>
  <c r="EG213" i="3"/>
  <c r="EH213" i="3"/>
  <c r="EG214" i="3"/>
  <c r="EH214" i="3"/>
  <c r="EG215" i="3"/>
  <c r="EH215" i="3"/>
  <c r="EG216" i="3"/>
  <c r="EH216" i="3"/>
  <c r="EG217" i="3"/>
  <c r="EH217" i="3"/>
  <c r="EG218" i="3"/>
  <c r="EH218" i="3"/>
  <c r="EG219" i="3"/>
  <c r="EH219" i="3"/>
  <c r="EG220" i="3"/>
  <c r="EG221" i="3"/>
  <c r="EH221" i="3"/>
  <c r="EG222" i="3"/>
  <c r="EH222" i="3"/>
  <c r="EG223" i="3"/>
  <c r="EH223" i="3"/>
  <c r="EG224" i="3"/>
  <c r="EH224" i="3"/>
  <c r="EG225" i="3"/>
  <c r="EH225" i="3"/>
  <c r="EG226" i="3"/>
  <c r="EH226" i="3"/>
  <c r="EG227" i="3"/>
  <c r="EH227" i="3"/>
  <c r="EG228" i="3"/>
  <c r="EH228" i="3"/>
  <c r="EG229" i="3"/>
  <c r="EH229" i="3"/>
  <c r="EH230" i="3"/>
  <c r="EG231" i="3"/>
  <c r="EH231" i="3"/>
  <c r="EG232" i="3"/>
  <c r="EH232" i="3"/>
  <c r="EH180" i="3"/>
  <c r="EG180" i="3"/>
  <c r="EO255" i="3"/>
  <c r="EP255" i="3"/>
  <c r="EO257" i="3"/>
  <c r="EO260" i="3"/>
  <c r="EO263" i="3"/>
  <c r="EP263" i="3"/>
  <c r="EI255" i="3"/>
  <c r="EJ255" i="3"/>
  <c r="EI257" i="3"/>
  <c r="EI260" i="3"/>
  <c r="EI261" i="3"/>
  <c r="EI262" i="3"/>
  <c r="BF233" i="3"/>
  <c r="BF294" i="3" s="1"/>
  <c r="EO259" i="3" l="1"/>
  <c r="AS40" i="2"/>
  <c r="EF82" i="3"/>
  <c r="EF83" i="3"/>
  <c r="BD142" i="3"/>
  <c r="BE141" i="3"/>
  <c r="BD258" i="3"/>
  <c r="BD199" i="3"/>
  <c r="BD233" i="3" s="1"/>
  <c r="EJ78" i="3" l="1"/>
  <c r="EP78" i="3"/>
  <c r="EO258" i="3"/>
  <c r="EI258" i="3"/>
  <c r="BE142" i="3"/>
  <c r="BD141" i="3"/>
  <c r="BE137" i="3" l="1"/>
  <c r="BE254" i="3" s="1"/>
  <c r="BD137" i="3"/>
  <c r="BD254" i="3" s="1"/>
  <c r="BB307" i="3"/>
  <c r="D302" i="3"/>
  <c r="BD294" i="3"/>
  <c r="EF291" i="3"/>
  <c r="AS291" i="3"/>
  <c r="AR291" i="3"/>
  <c r="AO291" i="3"/>
  <c r="AN291" i="3"/>
  <c r="AK291" i="3"/>
  <c r="AJ291" i="3"/>
  <c r="AE291" i="3"/>
  <c r="AD291" i="3"/>
  <c r="AC291" i="3"/>
  <c r="AB291" i="3"/>
  <c r="AA291" i="3"/>
  <c r="Z291" i="3"/>
  <c r="Y291" i="3"/>
  <c r="X291" i="3"/>
  <c r="EF290" i="3"/>
  <c r="EH290" i="3" s="1"/>
  <c r="AS290" i="3"/>
  <c r="AR290" i="3"/>
  <c r="AO290" i="3"/>
  <c r="AN290" i="3"/>
  <c r="AM290" i="3"/>
  <c r="AL290" i="3"/>
  <c r="AK290" i="3"/>
  <c r="AJ290" i="3"/>
  <c r="AA290" i="3"/>
  <c r="Z290" i="3"/>
  <c r="U290" i="3"/>
  <c r="T290" i="3"/>
  <c r="C290" i="3"/>
  <c r="B290" i="3"/>
  <c r="EF289" i="3"/>
  <c r="EK289" i="3" s="1"/>
  <c r="AG289" i="3"/>
  <c r="AF289" i="3"/>
  <c r="AA289" i="3"/>
  <c r="Z289" i="3"/>
  <c r="C289" i="3"/>
  <c r="B289" i="3"/>
  <c r="EF288" i="3"/>
  <c r="EK288" i="3" s="1"/>
  <c r="AG288" i="3"/>
  <c r="AF288" i="3"/>
  <c r="AC288" i="3"/>
  <c r="AB288" i="3"/>
  <c r="C288" i="3"/>
  <c r="B288" i="3"/>
  <c r="EF287" i="3"/>
  <c r="EH287" i="3" s="1"/>
  <c r="AQ287" i="3"/>
  <c r="AP287" i="3"/>
  <c r="AG287" i="3"/>
  <c r="AF287" i="3"/>
  <c r="AE287" i="3"/>
  <c r="AD287" i="3"/>
  <c r="AA287" i="3"/>
  <c r="Z287" i="3"/>
  <c r="C287" i="3"/>
  <c r="B287" i="3"/>
  <c r="EF286" i="3"/>
  <c r="EH286" i="3" s="1"/>
  <c r="AW286" i="3"/>
  <c r="AV286" i="3"/>
  <c r="AM286" i="3"/>
  <c r="AL286" i="3"/>
  <c r="AK286" i="3"/>
  <c r="AJ286" i="3"/>
  <c r="AG286" i="3"/>
  <c r="AF286" i="3"/>
  <c r="AA286" i="3"/>
  <c r="Z286" i="3"/>
  <c r="EF285" i="3"/>
  <c r="EK285" i="3" s="1"/>
  <c r="AW285" i="3"/>
  <c r="AV285" i="3"/>
  <c r="AU285" i="3"/>
  <c r="AT285" i="3"/>
  <c r="AO285" i="3"/>
  <c r="AN285" i="3"/>
  <c r="AM285" i="3"/>
  <c r="AK285" i="3"/>
  <c r="AJ285" i="3"/>
  <c r="AE285" i="3"/>
  <c r="AD285" i="3"/>
  <c r="EF284" i="3"/>
  <c r="EN284" i="3" s="1"/>
  <c r="AU284" i="3"/>
  <c r="AT284" i="3"/>
  <c r="AS284" i="3"/>
  <c r="AR284" i="3"/>
  <c r="AQ284" i="3"/>
  <c r="AP284" i="3"/>
  <c r="AO284" i="3"/>
  <c r="AN284" i="3"/>
  <c r="AM284" i="3"/>
  <c r="AL284" i="3"/>
  <c r="AK284" i="3"/>
  <c r="AJ284" i="3"/>
  <c r="AI284" i="3"/>
  <c r="AH284" i="3"/>
  <c r="AG284" i="3"/>
  <c r="AF284" i="3"/>
  <c r="AE284" i="3"/>
  <c r="AD284" i="3"/>
  <c r="AC284" i="3"/>
  <c r="AB284" i="3"/>
  <c r="AA284" i="3"/>
  <c r="Z284" i="3"/>
  <c r="U284" i="3"/>
  <c r="T284" i="3"/>
  <c r="K284" i="3"/>
  <c r="J284" i="3"/>
  <c r="I284" i="3"/>
  <c r="H284" i="3"/>
  <c r="EF283" i="3"/>
  <c r="EH283" i="3" s="1"/>
  <c r="AY283" i="3"/>
  <c r="AX283" i="3"/>
  <c r="AQ283" i="3"/>
  <c r="AP283" i="3"/>
  <c r="AO283" i="3"/>
  <c r="AN283" i="3"/>
  <c r="AM283" i="3"/>
  <c r="AL283" i="3"/>
  <c r="AI283" i="3"/>
  <c r="AH283" i="3"/>
  <c r="AG283" i="3"/>
  <c r="AF283" i="3"/>
  <c r="AE283" i="3"/>
  <c r="AD283" i="3"/>
  <c r="AC283" i="3"/>
  <c r="AB283" i="3"/>
  <c r="Y283" i="3"/>
  <c r="X283" i="3"/>
  <c r="U283" i="3"/>
  <c r="T283" i="3"/>
  <c r="Q283" i="3"/>
  <c r="P283" i="3"/>
  <c r="O283" i="3"/>
  <c r="N283" i="3"/>
  <c r="M283" i="3"/>
  <c r="L283" i="3"/>
  <c r="EF282" i="3"/>
  <c r="EH282" i="3" s="1"/>
  <c r="AW282" i="3"/>
  <c r="AV282" i="3"/>
  <c r="AS282" i="3"/>
  <c r="AR282" i="3"/>
  <c r="AO282" i="3"/>
  <c r="AN282" i="3"/>
  <c r="AG282" i="3"/>
  <c r="AF282" i="3"/>
  <c r="AC282" i="3"/>
  <c r="AB282" i="3"/>
  <c r="AA282" i="3"/>
  <c r="Z282" i="3"/>
  <c r="M282" i="3"/>
  <c r="L282" i="3"/>
  <c r="K282" i="3"/>
  <c r="J282" i="3"/>
  <c r="EF281" i="3"/>
  <c r="EH281" i="3" s="1"/>
  <c r="BC281" i="3"/>
  <c r="BB281" i="3"/>
  <c r="AW281" i="3"/>
  <c r="AV281" i="3"/>
  <c r="AS281" i="3"/>
  <c r="AR281" i="3"/>
  <c r="AO281" i="3"/>
  <c r="AN281" i="3"/>
  <c r="AM281" i="3"/>
  <c r="AL281" i="3"/>
  <c r="AK281" i="3"/>
  <c r="AJ281" i="3"/>
  <c r="AI281" i="3"/>
  <c r="AH281" i="3"/>
  <c r="EF280" i="3"/>
  <c r="EH280" i="3" s="1"/>
  <c r="AS280" i="3"/>
  <c r="AR280" i="3"/>
  <c r="AK280" i="3"/>
  <c r="AJ280" i="3"/>
  <c r="EF279" i="3"/>
  <c r="EH279" i="3" s="1"/>
  <c r="BC279" i="3"/>
  <c r="BB279" i="3"/>
  <c r="AW279" i="3"/>
  <c r="AV279" i="3"/>
  <c r="AS279" i="3"/>
  <c r="AR279" i="3"/>
  <c r="AQ279" i="3"/>
  <c r="AP279" i="3"/>
  <c r="AO279" i="3"/>
  <c r="AN279" i="3"/>
  <c r="AK279" i="3"/>
  <c r="AJ279" i="3"/>
  <c r="AG279" i="3"/>
  <c r="AF279" i="3"/>
  <c r="EF278" i="3"/>
  <c r="EH278" i="3" s="1"/>
  <c r="AY278" i="3"/>
  <c r="AX278" i="3"/>
  <c r="AW278" i="3"/>
  <c r="AV278" i="3"/>
  <c r="AS278" i="3"/>
  <c r="AR278" i="3"/>
  <c r="AQ278" i="3"/>
  <c r="AP278" i="3"/>
  <c r="EF277" i="3"/>
  <c r="EH277" i="3" s="1"/>
  <c r="AW277" i="3"/>
  <c r="AV277" i="3"/>
  <c r="AQ277" i="3"/>
  <c r="AP277" i="3"/>
  <c r="AO277" i="3"/>
  <c r="AN277" i="3"/>
  <c r="AK277" i="3"/>
  <c r="AJ277" i="3"/>
  <c r="EF276" i="3"/>
  <c r="EH276" i="3" s="1"/>
  <c r="AS276" i="3"/>
  <c r="AR276" i="3"/>
  <c r="AK276" i="3"/>
  <c r="AJ276" i="3"/>
  <c r="AC276" i="3"/>
  <c r="AB276" i="3"/>
  <c r="EF275" i="3"/>
  <c r="EH275" i="3" s="1"/>
  <c r="AK275" i="3"/>
  <c r="AJ275" i="3"/>
  <c r="AC275" i="3"/>
  <c r="AB275" i="3"/>
  <c r="Y275" i="3"/>
  <c r="EF274" i="3"/>
  <c r="EH274" i="3" s="1"/>
  <c r="AW274" i="3"/>
  <c r="AV274" i="3"/>
  <c r="AS274" i="3"/>
  <c r="AR274" i="3"/>
  <c r="AO274" i="3"/>
  <c r="AN274" i="3"/>
  <c r="AK274" i="3"/>
  <c r="AJ274" i="3"/>
  <c r="AG274" i="3"/>
  <c r="AF274" i="3"/>
  <c r="EF273" i="3"/>
  <c r="EH273" i="3" s="1"/>
  <c r="AW273" i="3"/>
  <c r="AV273" i="3"/>
  <c r="AG273" i="3"/>
  <c r="AF273" i="3"/>
  <c r="EF272" i="3"/>
  <c r="EH272" i="3" s="1"/>
  <c r="BA272" i="3"/>
  <c r="AZ272" i="3"/>
  <c r="AY272" i="3"/>
  <c r="AX272" i="3"/>
  <c r="AW272" i="3"/>
  <c r="AV272" i="3"/>
  <c r="AU272" i="3"/>
  <c r="AT272" i="3"/>
  <c r="EF271" i="3"/>
  <c r="EH271" i="3" s="1"/>
  <c r="AY271" i="3"/>
  <c r="AX271" i="3"/>
  <c r="AW271" i="3"/>
  <c r="AV271" i="3"/>
  <c r="AU271" i="3"/>
  <c r="AT271" i="3"/>
  <c r="M271" i="3"/>
  <c r="L271" i="3"/>
  <c r="EL271" i="3" s="1"/>
  <c r="EF270" i="3"/>
  <c r="EH270" i="3" s="1"/>
  <c r="AU270" i="3"/>
  <c r="AT270" i="3"/>
  <c r="EF269" i="3"/>
  <c r="EH269" i="3" s="1"/>
  <c r="AU269" i="3"/>
  <c r="AT269" i="3"/>
  <c r="U269" i="3"/>
  <c r="T269" i="3"/>
  <c r="S269" i="3"/>
  <c r="R269" i="3"/>
  <c r="EF268" i="3"/>
  <c r="EH268" i="3" s="1"/>
  <c r="BA268" i="3"/>
  <c r="AZ268" i="3"/>
  <c r="AU268" i="3"/>
  <c r="AT268" i="3"/>
  <c r="M268" i="3"/>
  <c r="L268" i="3"/>
  <c r="EF267" i="3"/>
  <c r="EH267" i="3" s="1"/>
  <c r="BA267" i="3"/>
  <c r="AZ267" i="3"/>
  <c r="AW267" i="3"/>
  <c r="AV267" i="3"/>
  <c r="AO267" i="3"/>
  <c r="AN267" i="3"/>
  <c r="AI267" i="3"/>
  <c r="AH267" i="3"/>
  <c r="C267" i="3"/>
  <c r="B267" i="3"/>
  <c r="EF266" i="3"/>
  <c r="EH266" i="3" s="1"/>
  <c r="AS266" i="3"/>
  <c r="AR266" i="3"/>
  <c r="AQ266" i="3"/>
  <c r="AP266" i="3"/>
  <c r="AO266" i="3"/>
  <c r="AN266" i="3"/>
  <c r="O266" i="3"/>
  <c r="N266" i="3"/>
  <c r="C266" i="3"/>
  <c r="B266" i="3"/>
  <c r="EF265" i="3"/>
  <c r="EH265" i="3" s="1"/>
  <c r="AW265" i="3"/>
  <c r="AV265" i="3"/>
  <c r="S265" i="3"/>
  <c r="R265" i="3"/>
  <c r="C265" i="3"/>
  <c r="B265" i="3"/>
  <c r="EF264" i="3"/>
  <c r="S264" i="3"/>
  <c r="R264" i="3"/>
  <c r="O264" i="3"/>
  <c r="N264" i="3"/>
  <c r="C264" i="3"/>
  <c r="B264" i="3"/>
  <c r="EF263" i="3"/>
  <c r="EN263" i="3" s="1"/>
  <c r="S263" i="3"/>
  <c r="R263" i="3"/>
  <c r="O263" i="3"/>
  <c r="N263" i="3"/>
  <c r="E263" i="3"/>
  <c r="D263" i="3"/>
  <c r="C263" i="3"/>
  <c r="B263" i="3"/>
  <c r="EF262" i="3"/>
  <c r="EH262" i="3" s="1"/>
  <c r="EF261" i="3"/>
  <c r="EN261" i="3" s="1"/>
  <c r="EF260" i="3"/>
  <c r="EK260" i="3" s="1"/>
  <c r="EF259" i="3"/>
  <c r="EH259" i="3" s="1"/>
  <c r="EF258" i="3"/>
  <c r="EN258" i="3" s="1"/>
  <c r="EF257" i="3"/>
  <c r="EN257" i="3" s="1"/>
  <c r="EL256" i="3"/>
  <c r="EF256" i="3"/>
  <c r="EN256" i="3" s="1"/>
  <c r="EF255" i="3"/>
  <c r="EF254" i="3"/>
  <c r="EK254" i="3" s="1"/>
  <c r="AW254" i="3"/>
  <c r="AV254" i="3"/>
  <c r="EF253" i="3"/>
  <c r="EN253" i="3" s="1"/>
  <c r="EF252" i="3"/>
  <c r="EN252" i="3" s="1"/>
  <c r="AU252" i="3"/>
  <c r="AT252" i="3"/>
  <c r="EF251" i="3"/>
  <c r="EK251" i="3" s="1"/>
  <c r="AU251" i="3"/>
  <c r="AT251" i="3"/>
  <c r="EF250" i="3"/>
  <c r="EK250" i="3" s="1"/>
  <c r="AQ250" i="3"/>
  <c r="AP250" i="3"/>
  <c r="AG250" i="3"/>
  <c r="AF250" i="3"/>
  <c r="U250" i="3"/>
  <c r="T250" i="3"/>
  <c r="EF249" i="3"/>
  <c r="EH249" i="3" s="1"/>
  <c r="AQ249" i="3"/>
  <c r="AP249" i="3"/>
  <c r="U249" i="3"/>
  <c r="T249" i="3"/>
  <c r="EF248" i="3"/>
  <c r="AQ248" i="3"/>
  <c r="AP248" i="3"/>
  <c r="AK248" i="3"/>
  <c r="AJ248" i="3"/>
  <c r="AI248" i="3"/>
  <c r="AH248" i="3"/>
  <c r="W248" i="3"/>
  <c r="V248" i="3"/>
  <c r="EF247" i="3"/>
  <c r="AK247" i="3"/>
  <c r="AJ247" i="3"/>
  <c r="AE247" i="3"/>
  <c r="AD247" i="3"/>
  <c r="U247" i="3"/>
  <c r="T247" i="3"/>
  <c r="EF246" i="3"/>
  <c r="EN246" i="3" s="1"/>
  <c r="AQ246" i="3"/>
  <c r="AP246" i="3"/>
  <c r="AK246" i="3"/>
  <c r="AJ246" i="3"/>
  <c r="AE246" i="3"/>
  <c r="AD246" i="3"/>
  <c r="EF245" i="3"/>
  <c r="EN245" i="3" s="1"/>
  <c r="AO245" i="3"/>
  <c r="AN245" i="3"/>
  <c r="AK245" i="3"/>
  <c r="AJ245" i="3"/>
  <c r="AE245" i="3"/>
  <c r="AD245" i="3"/>
  <c r="AQ244" i="3"/>
  <c r="AP244" i="3"/>
  <c r="AK244" i="3"/>
  <c r="AJ244" i="3"/>
  <c r="AE244" i="3"/>
  <c r="AD244" i="3"/>
  <c r="EN243" i="3"/>
  <c r="AS243" i="3"/>
  <c r="AR243" i="3"/>
  <c r="AQ243" i="3"/>
  <c r="AP243" i="3"/>
  <c r="AO243" i="3"/>
  <c r="AN243" i="3"/>
  <c r="AK243" i="3"/>
  <c r="AJ243" i="3"/>
  <c r="EN242" i="3"/>
  <c r="AO242" i="3"/>
  <c r="AN242" i="3"/>
  <c r="AK242" i="3"/>
  <c r="AJ242" i="3"/>
  <c r="AI242" i="3"/>
  <c r="AH242" i="3"/>
  <c r="W242" i="3"/>
  <c r="V242" i="3"/>
  <c r="U242" i="3"/>
  <c r="T242" i="3"/>
  <c r="EK241" i="3"/>
  <c r="AK241" i="3"/>
  <c r="AJ241" i="3"/>
  <c r="AG241" i="3"/>
  <c r="AF241" i="3"/>
  <c r="AE241" i="3"/>
  <c r="AD241" i="3"/>
  <c r="U241" i="3"/>
  <c r="T241" i="3"/>
  <c r="EN240" i="3"/>
  <c r="AU240" i="3"/>
  <c r="AT240" i="3"/>
  <c r="AE240" i="3"/>
  <c r="AD240" i="3"/>
  <c r="W240" i="3"/>
  <c r="V240" i="3"/>
  <c r="K240" i="3"/>
  <c r="J240" i="3"/>
  <c r="E240" i="3"/>
  <c r="D240" i="3"/>
  <c r="C240" i="3"/>
  <c r="B240" i="3"/>
  <c r="EK239" i="3"/>
  <c r="AS239" i="3"/>
  <c r="AR239" i="3"/>
  <c r="AQ239" i="3"/>
  <c r="AP239" i="3"/>
  <c r="AO239" i="3"/>
  <c r="AN239" i="3"/>
  <c r="AM239" i="3"/>
  <c r="AL239" i="3"/>
  <c r="AI239" i="3"/>
  <c r="AH239" i="3"/>
  <c r="AG239" i="3"/>
  <c r="AF239" i="3"/>
  <c r="AE239" i="3"/>
  <c r="AD239" i="3"/>
  <c r="AC239" i="3"/>
  <c r="AB239" i="3"/>
  <c r="W239" i="3"/>
  <c r="V239" i="3"/>
  <c r="U239" i="3"/>
  <c r="T239" i="3"/>
  <c r="Q239" i="3"/>
  <c r="P239" i="3"/>
  <c r="K239" i="3"/>
  <c r="J239" i="3"/>
  <c r="I239" i="3"/>
  <c r="H239" i="3"/>
  <c r="E239" i="3"/>
  <c r="D239" i="3"/>
  <c r="C239" i="3"/>
  <c r="B239" i="3"/>
  <c r="EF238" i="3"/>
  <c r="AV233" i="3"/>
  <c r="AV294" i="3" s="1"/>
  <c r="AT233" i="3"/>
  <c r="AT294" i="3" s="1"/>
  <c r="AR233" i="3"/>
  <c r="AR294" i="3" s="1"/>
  <c r="AP233" i="3"/>
  <c r="AP294" i="3" s="1"/>
  <c r="AN233" i="3"/>
  <c r="AN294" i="3" s="1"/>
  <c r="AL233" i="3"/>
  <c r="AL294" i="3" s="1"/>
  <c r="AJ233" i="3"/>
  <c r="AJ294" i="3" s="1"/>
  <c r="AH233" i="3"/>
  <c r="AH294" i="3" s="1"/>
  <c r="AF233" i="3"/>
  <c r="AF294" i="3" s="1"/>
  <c r="AD233" i="3"/>
  <c r="AD294" i="3" s="1"/>
  <c r="AB233" i="3"/>
  <c r="AB294" i="3" s="1"/>
  <c r="Z233" i="3"/>
  <c r="Z294" i="3" s="1"/>
  <c r="X233" i="3"/>
  <c r="X294" i="3" s="1"/>
  <c r="V233" i="3"/>
  <c r="V294" i="3" s="1"/>
  <c r="T233" i="3"/>
  <c r="T294" i="3" s="1"/>
  <c r="R233" i="3"/>
  <c r="R294" i="3" s="1"/>
  <c r="P233" i="3"/>
  <c r="P294" i="3" s="1"/>
  <c r="N233" i="3"/>
  <c r="N294" i="3" s="1"/>
  <c r="J233" i="3"/>
  <c r="J294" i="3" s="1"/>
  <c r="H233" i="3"/>
  <c r="H294" i="3" s="1"/>
  <c r="F233" i="3"/>
  <c r="F294" i="3" s="1"/>
  <c r="D233" i="3"/>
  <c r="D294" i="3" s="1"/>
  <c r="B233" i="3"/>
  <c r="B294" i="3" s="1"/>
  <c r="EI232" i="3"/>
  <c r="EF232" i="3"/>
  <c r="EI231" i="3"/>
  <c r="EF231" i="3"/>
  <c r="EF230" i="3"/>
  <c r="L230" i="3"/>
  <c r="EG230" i="3" s="1"/>
  <c r="EI229" i="3"/>
  <c r="EF229" i="3"/>
  <c r="EI228" i="3"/>
  <c r="EF228" i="3"/>
  <c r="EI227" i="3"/>
  <c r="EF227" i="3"/>
  <c r="EI226" i="3"/>
  <c r="EF226" i="3"/>
  <c r="EI225" i="3"/>
  <c r="EF225" i="3"/>
  <c r="EI224" i="3"/>
  <c r="EF224" i="3"/>
  <c r="EI223" i="3"/>
  <c r="EF223" i="3"/>
  <c r="EI222" i="3"/>
  <c r="EF222" i="3"/>
  <c r="EI221" i="3"/>
  <c r="EF221" i="3"/>
  <c r="EI220" i="3"/>
  <c r="EF220" i="3"/>
  <c r="EI219" i="3"/>
  <c r="EF219" i="3"/>
  <c r="EI218" i="3"/>
  <c r="EF218" i="3"/>
  <c r="EI217" i="3"/>
  <c r="EF217" i="3"/>
  <c r="EI216" i="3"/>
  <c r="EF216" i="3"/>
  <c r="EI215" i="3"/>
  <c r="EF215" i="3"/>
  <c r="EI214" i="3"/>
  <c r="EF214" i="3"/>
  <c r="EI213" i="3"/>
  <c r="EF213" i="3"/>
  <c r="EF212" i="3"/>
  <c r="EI211" i="3"/>
  <c r="EF211" i="3"/>
  <c r="EI210" i="3"/>
  <c r="EF210" i="3"/>
  <c r="EI209" i="3"/>
  <c r="EF209" i="3"/>
  <c r="EI208" i="3"/>
  <c r="EF208" i="3"/>
  <c r="EI207" i="3"/>
  <c r="EF207" i="3"/>
  <c r="EI206" i="3"/>
  <c r="EF206" i="3"/>
  <c r="EI205" i="3"/>
  <c r="EF205" i="3"/>
  <c r="EI204" i="3"/>
  <c r="EF204" i="3"/>
  <c r="EF203" i="3"/>
  <c r="L203" i="3"/>
  <c r="EG203" i="3" s="1"/>
  <c r="EF202" i="3"/>
  <c r="L202" i="3"/>
  <c r="EG202" i="3" s="1"/>
  <c r="EF201" i="3"/>
  <c r="AX201" i="3"/>
  <c r="EH201" i="3" s="1"/>
  <c r="L201" i="3"/>
  <c r="M260" i="3" s="1"/>
  <c r="EF200" i="3"/>
  <c r="BB200" i="3"/>
  <c r="BC259" i="3" s="1"/>
  <c r="AZ200" i="3"/>
  <c r="L200" i="3"/>
  <c r="EF199" i="3"/>
  <c r="BB199" i="3"/>
  <c r="AZ199" i="3"/>
  <c r="BA258" i="3" s="1"/>
  <c r="AX199" i="3"/>
  <c r="L199" i="3"/>
  <c r="EF198" i="3"/>
  <c r="BC257" i="3"/>
  <c r="AZ198" i="3"/>
  <c r="BA257" i="3" s="1"/>
  <c r="AX198" i="3"/>
  <c r="L198" i="3"/>
  <c r="EF197" i="3"/>
  <c r="L197" i="3"/>
  <c r="EF196" i="3"/>
  <c r="EI195" i="3"/>
  <c r="EF195" i="3"/>
  <c r="EF194" i="3"/>
  <c r="EI193" i="3"/>
  <c r="EF193" i="3"/>
  <c r="EI192" i="3"/>
  <c r="EF192" i="3"/>
  <c r="EI191" i="3"/>
  <c r="EF191" i="3"/>
  <c r="EI190" i="3"/>
  <c r="EF190" i="3"/>
  <c r="EI189" i="3"/>
  <c r="EF189" i="3"/>
  <c r="EI188" i="3"/>
  <c r="EF188" i="3"/>
  <c r="EI187" i="3"/>
  <c r="EF187" i="3"/>
  <c r="EI186" i="3"/>
  <c r="EF186" i="3"/>
  <c r="EI185" i="3"/>
  <c r="EF185" i="3"/>
  <c r="EI184" i="3"/>
  <c r="EF184" i="3"/>
  <c r="EI183" i="3"/>
  <c r="EF183" i="3"/>
  <c r="EI182" i="3"/>
  <c r="EF182" i="3"/>
  <c r="EI181" i="3"/>
  <c r="EF181" i="3"/>
  <c r="EI180" i="3"/>
  <c r="EF180" i="3"/>
  <c r="EF179" i="3"/>
  <c r="EF174" i="3"/>
  <c r="BA174" i="3"/>
  <c r="AZ174" i="3"/>
  <c r="AY174" i="3"/>
  <c r="AY291" i="3" s="1"/>
  <c r="AX174" i="3"/>
  <c r="AX291" i="3" s="1"/>
  <c r="AU174" i="3"/>
  <c r="AT174" i="3"/>
  <c r="AT291" i="3" s="1"/>
  <c r="AQ174" i="3"/>
  <c r="AQ291" i="3" s="1"/>
  <c r="AP174" i="3"/>
  <c r="W174" i="3"/>
  <c r="AI291" i="3" s="1"/>
  <c r="V174" i="3"/>
  <c r="V291" i="3" s="1"/>
  <c r="U174" i="3"/>
  <c r="U291" i="3" s="1"/>
  <c r="T174" i="3"/>
  <c r="T291" i="3" s="1"/>
  <c r="O174" i="3"/>
  <c r="O291" i="3" s="1"/>
  <c r="N174" i="3"/>
  <c r="N291" i="3" s="1"/>
  <c r="M174" i="3"/>
  <c r="M291" i="3" s="1"/>
  <c r="L174" i="3"/>
  <c r="L291" i="3" s="1"/>
  <c r="K174" i="3"/>
  <c r="K291" i="3" s="1"/>
  <c r="J174" i="3"/>
  <c r="J291" i="3" s="1"/>
  <c r="I174" i="3"/>
  <c r="I291" i="3" s="1"/>
  <c r="H174" i="3"/>
  <c r="H291" i="3" s="1"/>
  <c r="G174" i="3"/>
  <c r="G291" i="3" s="1"/>
  <c r="F174" i="3"/>
  <c r="F291" i="3" s="1"/>
  <c r="E174" i="3"/>
  <c r="D174" i="3"/>
  <c r="EF173" i="3"/>
  <c r="BC173" i="3"/>
  <c r="BB173" i="3"/>
  <c r="BA173" i="3"/>
  <c r="AZ173" i="3"/>
  <c r="AY173" i="3"/>
  <c r="AY290" i="3" s="1"/>
  <c r="AX173" i="3"/>
  <c r="AX290" i="3" s="1"/>
  <c r="AU173" i="3"/>
  <c r="AU290" i="3" s="1"/>
  <c r="AT173" i="3"/>
  <c r="AT290" i="3" s="1"/>
  <c r="AQ173" i="3"/>
  <c r="AQ290" i="3" s="1"/>
  <c r="AP173" i="3"/>
  <c r="AP290" i="3" s="1"/>
  <c r="W173" i="3"/>
  <c r="AI290" i="3" s="1"/>
  <c r="V173" i="3"/>
  <c r="AD290" i="3" s="1"/>
  <c r="S173" i="3"/>
  <c r="S291" i="3" s="1"/>
  <c r="R173" i="3"/>
  <c r="R291" i="3" s="1"/>
  <c r="Q173" i="3"/>
  <c r="Q290" i="3" s="1"/>
  <c r="P173" i="3"/>
  <c r="P290" i="3" s="1"/>
  <c r="O173" i="3"/>
  <c r="O290" i="3" s="1"/>
  <c r="N173" i="3"/>
  <c r="N290" i="3" s="1"/>
  <c r="M173" i="3"/>
  <c r="M290" i="3" s="1"/>
  <c r="L173" i="3"/>
  <c r="L290" i="3" s="1"/>
  <c r="K173" i="3"/>
  <c r="K290" i="3" s="1"/>
  <c r="J173" i="3"/>
  <c r="J290" i="3" s="1"/>
  <c r="I173" i="3"/>
  <c r="I290" i="3" s="1"/>
  <c r="H173" i="3"/>
  <c r="G173" i="3"/>
  <c r="F173" i="3"/>
  <c r="F290" i="3" s="1"/>
  <c r="E173" i="3"/>
  <c r="E290" i="3" s="1"/>
  <c r="D173" i="3"/>
  <c r="EF172" i="3"/>
  <c r="BA172" i="3"/>
  <c r="AZ172" i="3"/>
  <c r="AY172" i="3"/>
  <c r="AX172" i="3"/>
  <c r="AX289" i="3" s="1"/>
  <c r="AU172" i="3"/>
  <c r="AU289" i="3" s="1"/>
  <c r="AT172" i="3"/>
  <c r="AT289" i="3" s="1"/>
  <c r="AQ172" i="3"/>
  <c r="AQ289" i="3" s="1"/>
  <c r="AP172" i="3"/>
  <c r="AP289" i="3" s="1"/>
  <c r="AM172" i="3"/>
  <c r="AM288" i="3" s="1"/>
  <c r="AL172" i="3"/>
  <c r="AL291" i="3" s="1"/>
  <c r="AC172" i="3"/>
  <c r="AB172" i="3"/>
  <c r="Y172" i="3"/>
  <c r="X172" i="3"/>
  <c r="X290" i="3" s="1"/>
  <c r="W172" i="3"/>
  <c r="AI289" i="3" s="1"/>
  <c r="V172" i="3"/>
  <c r="AD289" i="3" s="1"/>
  <c r="U172" i="3"/>
  <c r="U289" i="3" s="1"/>
  <c r="T172" i="3"/>
  <c r="T289" i="3" s="1"/>
  <c r="S172" i="3"/>
  <c r="S289" i="3" s="1"/>
  <c r="R172" i="3"/>
  <c r="R289" i="3" s="1"/>
  <c r="Q172" i="3"/>
  <c r="Q288" i="3" s="1"/>
  <c r="P172" i="3"/>
  <c r="P289" i="3" s="1"/>
  <c r="O172" i="3"/>
  <c r="O289" i="3" s="1"/>
  <c r="N172" i="3"/>
  <c r="N289" i="3" s="1"/>
  <c r="M172" i="3"/>
  <c r="L172" i="3"/>
  <c r="K172" i="3"/>
  <c r="K289" i="3" s="1"/>
  <c r="J172" i="3"/>
  <c r="J289" i="3" s="1"/>
  <c r="I172" i="3"/>
  <c r="I289" i="3" s="1"/>
  <c r="H172" i="3"/>
  <c r="H288" i="3" s="1"/>
  <c r="G172" i="3"/>
  <c r="G289" i="3" s="1"/>
  <c r="F172" i="3"/>
  <c r="F289" i="3" s="1"/>
  <c r="E172" i="3"/>
  <c r="D172" i="3"/>
  <c r="EF171" i="3"/>
  <c r="BA171" i="3"/>
  <c r="AZ171" i="3"/>
  <c r="AW171" i="3"/>
  <c r="AW288" i="3" s="1"/>
  <c r="AV171" i="3"/>
  <c r="AV289" i="3" s="1"/>
  <c r="AU171" i="3"/>
  <c r="AT171" i="3"/>
  <c r="AT288" i="3" s="1"/>
  <c r="AS171" i="3"/>
  <c r="AS289" i="3" s="1"/>
  <c r="AR171" i="3"/>
  <c r="AR289" i="3" s="1"/>
  <c r="AQ171" i="3"/>
  <c r="AQ288" i="3" s="1"/>
  <c r="AP171" i="3"/>
  <c r="AP288" i="3" s="1"/>
  <c r="AO171" i="3"/>
  <c r="AO287" i="3" s="1"/>
  <c r="AN171" i="3"/>
  <c r="AN287" i="3" s="1"/>
  <c r="AK171" i="3"/>
  <c r="AJ171" i="3"/>
  <c r="AJ289" i="3" s="1"/>
  <c r="AA171" i="3"/>
  <c r="AA288" i="3" s="1"/>
  <c r="Z171" i="3"/>
  <c r="Y171" i="3"/>
  <c r="AI288" i="3" s="1"/>
  <c r="X171" i="3"/>
  <c r="AD288" i="3" s="1"/>
  <c r="U171" i="3"/>
  <c r="U285" i="3" s="1"/>
  <c r="T171" i="3"/>
  <c r="S171" i="3"/>
  <c r="S288" i="3" s="1"/>
  <c r="R171" i="3"/>
  <c r="R288" i="3" s="1"/>
  <c r="O171" i="3"/>
  <c r="O288" i="3" s="1"/>
  <c r="N171" i="3"/>
  <c r="N288" i="3" s="1"/>
  <c r="M171" i="3"/>
  <c r="M288" i="3" s="1"/>
  <c r="L171" i="3"/>
  <c r="L288" i="3" s="1"/>
  <c r="K171" i="3"/>
  <c r="K288" i="3" s="1"/>
  <c r="J171" i="3"/>
  <c r="J288" i="3" s="1"/>
  <c r="G171" i="3"/>
  <c r="G286" i="3" s="1"/>
  <c r="F171" i="3"/>
  <c r="F288" i="3" s="1"/>
  <c r="EF170" i="3"/>
  <c r="AY170" i="3"/>
  <c r="AX170" i="3"/>
  <c r="AU170" i="3"/>
  <c r="AU286" i="3" s="1"/>
  <c r="AT170" i="3"/>
  <c r="AT286" i="3" s="1"/>
  <c r="AS170" i="3"/>
  <c r="AR170" i="3"/>
  <c r="AK170" i="3"/>
  <c r="AK287" i="3" s="1"/>
  <c r="AJ170" i="3"/>
  <c r="AJ287" i="3" s="1"/>
  <c r="O170" i="3"/>
  <c r="O287" i="3" s="1"/>
  <c r="N170" i="3"/>
  <c r="N285" i="3" s="1"/>
  <c r="M170" i="3"/>
  <c r="M284" i="3" s="1"/>
  <c r="L170" i="3"/>
  <c r="EF169" i="3"/>
  <c r="AY169" i="3"/>
  <c r="AX169" i="3"/>
  <c r="EF168" i="3"/>
  <c r="W168" i="3"/>
  <c r="V168" i="3"/>
  <c r="X284" i="3" s="1"/>
  <c r="S168" i="3"/>
  <c r="R168" i="3"/>
  <c r="EF167" i="3"/>
  <c r="AW167" i="3"/>
  <c r="AV167" i="3"/>
  <c r="EL167" i="3" s="1"/>
  <c r="G167" i="3"/>
  <c r="F167" i="3"/>
  <c r="EO167" i="3" s="1"/>
  <c r="EW108" i="3" s="1"/>
  <c r="EF166" i="3"/>
  <c r="AU166" i="3"/>
  <c r="AT166" i="3"/>
  <c r="AK166" i="3"/>
  <c r="AK283" i="3" s="1"/>
  <c r="AJ166" i="3"/>
  <c r="AJ283" i="3" s="1"/>
  <c r="AA166" i="3"/>
  <c r="AA283" i="3" s="1"/>
  <c r="Z166" i="3"/>
  <c r="Z283" i="3" s="1"/>
  <c r="W166" i="3"/>
  <c r="W284" i="3" s="1"/>
  <c r="V166" i="3"/>
  <c r="V283" i="3" s="1"/>
  <c r="G166" i="3"/>
  <c r="F166" i="3"/>
  <c r="E166" i="3"/>
  <c r="K283" i="3" s="1"/>
  <c r="D166" i="3"/>
  <c r="D284" i="3" s="1"/>
  <c r="EF165" i="3"/>
  <c r="AM165" i="3"/>
  <c r="AL165" i="3"/>
  <c r="EL165" i="3" s="1"/>
  <c r="EQ106" i="3" s="1"/>
  <c r="U165" i="3"/>
  <c r="T165" i="3"/>
  <c r="G165" i="3"/>
  <c r="Q282" i="3" s="1"/>
  <c r="F165" i="3"/>
  <c r="F283" i="3" s="1"/>
  <c r="E165" i="3"/>
  <c r="D165" i="3"/>
  <c r="EF164" i="3"/>
  <c r="BA164" i="3"/>
  <c r="AZ164" i="3"/>
  <c r="AU164" i="3"/>
  <c r="AU281" i="3" s="1"/>
  <c r="AT164" i="3"/>
  <c r="AT281" i="3" s="1"/>
  <c r="AE164" i="3"/>
  <c r="AE281" i="3" s="1"/>
  <c r="AD164" i="3"/>
  <c r="AD282" i="3" s="1"/>
  <c r="AA164" i="3"/>
  <c r="AA281" i="3" s="1"/>
  <c r="Z164" i="3"/>
  <c r="Z281" i="3" s="1"/>
  <c r="W164" i="3"/>
  <c r="W282" i="3" s="1"/>
  <c r="V164" i="3"/>
  <c r="V282" i="3" s="1"/>
  <c r="U164" i="3"/>
  <c r="T164" i="3"/>
  <c r="S164" i="3"/>
  <c r="R164" i="3"/>
  <c r="G164" i="3"/>
  <c r="G281" i="3" s="1"/>
  <c r="F164" i="3"/>
  <c r="E164" i="3"/>
  <c r="D164" i="3"/>
  <c r="EF163" i="3"/>
  <c r="BC163" i="3"/>
  <c r="BB163" i="3"/>
  <c r="AU163" i="3"/>
  <c r="AT163" i="3"/>
  <c r="AV280" i="3" s="1"/>
  <c r="AQ163" i="3"/>
  <c r="AQ280" i="3" s="1"/>
  <c r="AP163" i="3"/>
  <c r="AP280" i="3" s="1"/>
  <c r="AO163" i="3"/>
  <c r="AO280" i="3" s="1"/>
  <c r="AN163" i="3"/>
  <c r="AN280" i="3" s="1"/>
  <c r="AM163" i="3"/>
  <c r="AM280" i="3" s="1"/>
  <c r="AL163" i="3"/>
  <c r="AL280" i="3" s="1"/>
  <c r="AI163" i="3"/>
  <c r="AH163" i="3"/>
  <c r="AE163" i="3"/>
  <c r="AE280" i="3" s="1"/>
  <c r="AD163" i="3"/>
  <c r="AD280" i="3" s="1"/>
  <c r="S163" i="3"/>
  <c r="R163" i="3"/>
  <c r="E163" i="3"/>
  <c r="D163" i="3"/>
  <c r="EF162" i="3"/>
  <c r="AM162" i="3"/>
  <c r="AL162" i="3"/>
  <c r="EL162" i="3" s="1"/>
  <c r="EQ103" i="3" s="1"/>
  <c r="AI162" i="3"/>
  <c r="AI279" i="3" s="1"/>
  <c r="AH162" i="3"/>
  <c r="AH279" i="3" s="1"/>
  <c r="AE162" i="3"/>
  <c r="AE279" i="3" s="1"/>
  <c r="AD162" i="3"/>
  <c r="AD279" i="3" s="1"/>
  <c r="S162" i="3"/>
  <c r="R162" i="3"/>
  <c r="K162" i="3"/>
  <c r="K281" i="3" s="1"/>
  <c r="J162" i="3"/>
  <c r="J281" i="3" s="1"/>
  <c r="E162" i="3"/>
  <c r="D162" i="3"/>
  <c r="EF161" i="3"/>
  <c r="AU161" i="3"/>
  <c r="BK278" i="3" s="1"/>
  <c r="BI278" i="3" s="1"/>
  <c r="AT161" i="3"/>
  <c r="BH278" i="3" s="1"/>
  <c r="BF278" i="3" s="1"/>
  <c r="AO161" i="3"/>
  <c r="AO278" i="3" s="1"/>
  <c r="AN161" i="3"/>
  <c r="AN278" i="3" s="1"/>
  <c r="AM161" i="3"/>
  <c r="AM278" i="3" s="1"/>
  <c r="AL161" i="3"/>
  <c r="AL278" i="3" s="1"/>
  <c r="AI161" i="3"/>
  <c r="AH161" i="3"/>
  <c r="AE161" i="3"/>
  <c r="AE278" i="3" s="1"/>
  <c r="AD161" i="3"/>
  <c r="AD278" i="3" s="1"/>
  <c r="AA161" i="3"/>
  <c r="Z161" i="3"/>
  <c r="Y161" i="3"/>
  <c r="X161" i="3"/>
  <c r="W161" i="3"/>
  <c r="V161" i="3"/>
  <c r="U161" i="3"/>
  <c r="U276" i="3" s="1"/>
  <c r="T161" i="3"/>
  <c r="S161" i="3"/>
  <c r="R161" i="3"/>
  <c r="R278" i="3" s="1"/>
  <c r="G161" i="3"/>
  <c r="G278" i="3" s="1"/>
  <c r="F161" i="3"/>
  <c r="F279" i="3" s="1"/>
  <c r="E161" i="3"/>
  <c r="D161" i="3"/>
  <c r="EF160" i="3"/>
  <c r="BC160" i="3"/>
  <c r="BB160" i="3"/>
  <c r="AU160" i="3"/>
  <c r="AT160" i="3"/>
  <c r="AX277" i="3" s="1"/>
  <c r="AS160" i="3"/>
  <c r="AS277" i="3" s="1"/>
  <c r="AR160" i="3"/>
  <c r="AR277" i="3" s="1"/>
  <c r="AM160" i="3"/>
  <c r="AM277" i="3" s="1"/>
  <c r="AL160" i="3"/>
  <c r="AL277" i="3" s="1"/>
  <c r="AI160" i="3"/>
  <c r="AH160" i="3"/>
  <c r="AE160" i="3"/>
  <c r="AE277" i="3" s="1"/>
  <c r="AD160" i="3"/>
  <c r="AD277" i="3" s="1"/>
  <c r="AA160" i="3"/>
  <c r="Z160" i="3"/>
  <c r="W160" i="3"/>
  <c r="V160" i="3"/>
  <c r="S160" i="3"/>
  <c r="R160" i="3"/>
  <c r="O160" i="3"/>
  <c r="O280" i="3" s="1"/>
  <c r="N160" i="3"/>
  <c r="N280" i="3" s="1"/>
  <c r="K160" i="3"/>
  <c r="K278" i="3" s="1"/>
  <c r="J160" i="3"/>
  <c r="J278" i="3" s="1"/>
  <c r="G160" i="3"/>
  <c r="F160" i="3"/>
  <c r="F277" i="3" s="1"/>
  <c r="E160" i="3"/>
  <c r="E275" i="3" s="1"/>
  <c r="D160" i="3"/>
  <c r="D276" i="3" s="1"/>
  <c r="EF159" i="3"/>
  <c r="BC159" i="3"/>
  <c r="BB159" i="3"/>
  <c r="BA159" i="3"/>
  <c r="BA276" i="3" s="1"/>
  <c r="AZ159" i="3"/>
  <c r="AZ276" i="3" s="1"/>
  <c r="AU159" i="3"/>
  <c r="AU276" i="3" s="1"/>
  <c r="AT159" i="3"/>
  <c r="AT276" i="3" s="1"/>
  <c r="AQ159" i="3"/>
  <c r="AP159" i="3"/>
  <c r="AO159" i="3"/>
  <c r="AN159" i="3"/>
  <c r="AI159" i="3"/>
  <c r="AH159" i="3"/>
  <c r="AA159" i="3"/>
  <c r="Z159" i="3"/>
  <c r="W159" i="3"/>
  <c r="Y276" i="3" s="1"/>
  <c r="V159" i="3"/>
  <c r="X276" i="3" s="1"/>
  <c r="O159" i="3"/>
  <c r="N159" i="3"/>
  <c r="P276" i="3" s="1"/>
  <c r="K159" i="3"/>
  <c r="J159" i="3"/>
  <c r="L276" i="3" s="1"/>
  <c r="G159" i="3"/>
  <c r="F159" i="3"/>
  <c r="EF158" i="3"/>
  <c r="BA158" i="3"/>
  <c r="AZ158" i="3"/>
  <c r="AU158" i="3"/>
  <c r="AS275" i="3" s="1"/>
  <c r="AT158" i="3"/>
  <c r="AM158" i="3"/>
  <c r="AL158" i="3"/>
  <c r="AI158" i="3"/>
  <c r="AH158" i="3"/>
  <c r="AF275" i="3" s="1"/>
  <c r="AE158" i="3"/>
  <c r="AE275" i="3" s="1"/>
  <c r="AD158" i="3"/>
  <c r="AD275" i="3" s="1"/>
  <c r="S158" i="3"/>
  <c r="R158" i="3"/>
  <c r="K158" i="3"/>
  <c r="M275" i="3" s="1"/>
  <c r="J158" i="3"/>
  <c r="EF157" i="3"/>
  <c r="BA157" i="3"/>
  <c r="BA274" i="3" s="1"/>
  <c r="AZ157" i="3"/>
  <c r="AU157" i="3"/>
  <c r="AT157" i="3"/>
  <c r="AT274" i="3" s="1"/>
  <c r="AM157" i="3"/>
  <c r="AL157" i="3"/>
  <c r="AI157" i="3"/>
  <c r="AH157" i="3"/>
  <c r="AE157" i="3"/>
  <c r="AE274" i="3" s="1"/>
  <c r="AD157" i="3"/>
  <c r="AD274" i="3" s="1"/>
  <c r="AA157" i="3"/>
  <c r="Z157" i="3"/>
  <c r="AB274" i="3" s="1"/>
  <c r="W157" i="3"/>
  <c r="Y274" i="3" s="1"/>
  <c r="V157" i="3"/>
  <c r="X274" i="3" s="1"/>
  <c r="K157" i="3"/>
  <c r="J157" i="3"/>
  <c r="G157" i="3"/>
  <c r="G275" i="3" s="1"/>
  <c r="F157" i="3"/>
  <c r="F275" i="3" s="1"/>
  <c r="EF156" i="3"/>
  <c r="BC156" i="3"/>
  <c r="BB156" i="3"/>
  <c r="BA156" i="3"/>
  <c r="AZ156" i="3"/>
  <c r="AZ273" i="3" s="1"/>
  <c r="AU156" i="3"/>
  <c r="AU273" i="3" s="1"/>
  <c r="AT156" i="3"/>
  <c r="AT273" i="3" s="1"/>
  <c r="AQ156" i="3"/>
  <c r="AP156" i="3"/>
  <c r="AI156" i="3"/>
  <c r="AH156" i="3"/>
  <c r="AE156" i="3"/>
  <c r="AD156" i="3"/>
  <c r="AA156" i="3"/>
  <c r="Z156" i="3"/>
  <c r="W156" i="3"/>
  <c r="Y273" i="3" s="1"/>
  <c r="V156" i="3"/>
  <c r="X273" i="3" s="1"/>
  <c r="U156" i="3"/>
  <c r="T156" i="3"/>
  <c r="S156" i="3"/>
  <c r="R156" i="3"/>
  <c r="O156" i="3"/>
  <c r="O267" i="3" s="1"/>
  <c r="N156" i="3"/>
  <c r="N267" i="3" s="1"/>
  <c r="K156" i="3"/>
  <c r="J156" i="3"/>
  <c r="L273" i="3" s="1"/>
  <c r="G156" i="3"/>
  <c r="G268" i="3" s="1"/>
  <c r="F156" i="3"/>
  <c r="F267" i="3" s="1"/>
  <c r="EF155" i="3"/>
  <c r="BC155" i="3"/>
  <c r="EM155" i="3" s="1"/>
  <c r="BB155" i="3"/>
  <c r="EL155" i="3" s="1"/>
  <c r="EQ96" i="3" s="1"/>
  <c r="AE155" i="3"/>
  <c r="AD155" i="3"/>
  <c r="AA155" i="3"/>
  <c r="Z155" i="3"/>
  <c r="W155" i="3"/>
  <c r="Y272" i="3" s="1"/>
  <c r="V155" i="3"/>
  <c r="X272" i="3" s="1"/>
  <c r="S155" i="3"/>
  <c r="R155" i="3"/>
  <c r="K155" i="3"/>
  <c r="E272" i="3" s="1"/>
  <c r="J155" i="3"/>
  <c r="L269" i="3" s="1"/>
  <c r="EF154" i="3"/>
  <c r="EF153" i="3"/>
  <c r="BC153" i="3"/>
  <c r="BB153" i="3"/>
  <c r="BA153" i="3"/>
  <c r="AZ153" i="3"/>
  <c r="AY153" i="3"/>
  <c r="AY270" i="3" s="1"/>
  <c r="AX153" i="3"/>
  <c r="EF152" i="3"/>
  <c r="BC152" i="3"/>
  <c r="BB152" i="3"/>
  <c r="BB269" i="3" s="1"/>
  <c r="BA152" i="3"/>
  <c r="AZ152" i="3"/>
  <c r="AY152" i="3"/>
  <c r="AY269" i="3" s="1"/>
  <c r="AX152" i="3"/>
  <c r="EF151" i="3"/>
  <c r="BC151" i="3"/>
  <c r="BB151" i="3"/>
  <c r="BB268" i="3" s="1"/>
  <c r="AY151" i="3"/>
  <c r="AX151" i="3"/>
  <c r="EF150" i="3"/>
  <c r="BC150" i="3"/>
  <c r="BB150" i="3"/>
  <c r="AY150" i="3"/>
  <c r="AX150" i="3"/>
  <c r="EF149" i="3"/>
  <c r="BC149" i="3"/>
  <c r="BB149" i="3"/>
  <c r="BA149" i="3"/>
  <c r="BA266" i="3" s="1"/>
  <c r="AZ149" i="3"/>
  <c r="AZ266" i="3" s="1"/>
  <c r="AY149" i="3"/>
  <c r="AX149" i="3"/>
  <c r="W149" i="3"/>
  <c r="M266" i="3" s="1"/>
  <c r="V149" i="3"/>
  <c r="EO149" i="3" s="1"/>
  <c r="EW90" i="3" s="1"/>
  <c r="EF148" i="3"/>
  <c r="AY148" i="3"/>
  <c r="AX148" i="3"/>
  <c r="U148" i="3"/>
  <c r="M265" i="3" s="1"/>
  <c r="T148" i="3"/>
  <c r="D268" i="3" s="1"/>
  <c r="EF147" i="3"/>
  <c r="BC147" i="3"/>
  <c r="BB147" i="3"/>
  <c r="AY147" i="3"/>
  <c r="AX147" i="3"/>
  <c r="AX264" i="3" s="1"/>
  <c r="EO264" i="3" s="1"/>
  <c r="W147" i="3"/>
  <c r="W264" i="3" s="1"/>
  <c r="V147" i="3"/>
  <c r="V264" i="3" s="1"/>
  <c r="U147" i="3"/>
  <c r="T147" i="3"/>
  <c r="EF146" i="3"/>
  <c r="AU146" i="3"/>
  <c r="AT146" i="3"/>
  <c r="AS146" i="3"/>
  <c r="AR146" i="3"/>
  <c r="Y146" i="3"/>
  <c r="X146" i="3"/>
  <c r="W146" i="3"/>
  <c r="G263" i="3" s="1"/>
  <c r="V146" i="3"/>
  <c r="EF145" i="3"/>
  <c r="AY145" i="3"/>
  <c r="AX145" i="3"/>
  <c r="AW145" i="3"/>
  <c r="AV145" i="3"/>
  <c r="AE145" i="3"/>
  <c r="AD145" i="3"/>
  <c r="AD267" i="3" s="1"/>
  <c r="U145" i="3"/>
  <c r="U263" i="3" s="1"/>
  <c r="T145" i="3"/>
  <c r="T263" i="3" s="1"/>
  <c r="EF144" i="3"/>
  <c r="AU144" i="3"/>
  <c r="AT144" i="3"/>
  <c r="AS144" i="3"/>
  <c r="AR144" i="3"/>
  <c r="Y144" i="3"/>
  <c r="X144" i="3"/>
  <c r="W144" i="3"/>
  <c r="V144" i="3"/>
  <c r="U144" i="3"/>
  <c r="T144" i="3"/>
  <c r="S144" i="3"/>
  <c r="R144" i="3"/>
  <c r="O144" i="3"/>
  <c r="N144" i="3"/>
  <c r="EF143" i="3"/>
  <c r="AW143" i="3"/>
  <c r="AV143" i="3"/>
  <c r="AM143" i="3"/>
  <c r="AL143" i="3"/>
  <c r="AE143" i="3"/>
  <c r="AD143" i="3"/>
  <c r="AC143" i="3"/>
  <c r="AB143" i="3"/>
  <c r="Y143" i="3"/>
  <c r="X143" i="3"/>
  <c r="W143" i="3"/>
  <c r="V143" i="3"/>
  <c r="U143" i="3"/>
  <c r="T143" i="3"/>
  <c r="M143" i="3"/>
  <c r="L143" i="3"/>
  <c r="EF142" i="3"/>
  <c r="AU142" i="3"/>
  <c r="AT142" i="3"/>
  <c r="AQ142" i="3"/>
  <c r="AP142" i="3"/>
  <c r="AM142" i="3"/>
  <c r="AL142" i="3"/>
  <c r="AE142" i="3"/>
  <c r="AD142" i="3"/>
  <c r="AA142" i="3"/>
  <c r="Z142" i="3"/>
  <c r="W142" i="3"/>
  <c r="V142" i="3"/>
  <c r="U142" i="3"/>
  <c r="T142" i="3"/>
  <c r="S142" i="3"/>
  <c r="R142" i="3"/>
  <c r="EF141" i="3"/>
  <c r="AW141" i="3"/>
  <c r="AV141" i="3"/>
  <c r="AQ141" i="3"/>
  <c r="AP141" i="3"/>
  <c r="AM141" i="3"/>
  <c r="AL141" i="3"/>
  <c r="AE141" i="3"/>
  <c r="AD141" i="3"/>
  <c r="AA141" i="3"/>
  <c r="Z141" i="3"/>
  <c r="Y141" i="3"/>
  <c r="X141" i="3"/>
  <c r="W141" i="3"/>
  <c r="V141" i="3"/>
  <c r="EF140" i="3"/>
  <c r="BE140" i="3"/>
  <c r="BD140" i="3"/>
  <c r="AW140" i="3"/>
  <c r="AV140" i="3"/>
  <c r="AU140" i="3"/>
  <c r="AT140" i="3"/>
  <c r="AS140" i="3"/>
  <c r="AR140" i="3"/>
  <c r="AQ140" i="3"/>
  <c r="AP140" i="3"/>
  <c r="AM140" i="3"/>
  <c r="AL140" i="3"/>
  <c r="AK140" i="3"/>
  <c r="AJ140" i="3"/>
  <c r="AC140" i="3"/>
  <c r="AB140" i="3"/>
  <c r="Y140" i="3"/>
  <c r="X140" i="3"/>
  <c r="W140" i="3"/>
  <c r="V140" i="3"/>
  <c r="U140" i="3"/>
  <c r="T140" i="3"/>
  <c r="S140" i="3"/>
  <c r="R140" i="3"/>
  <c r="EF139" i="3"/>
  <c r="AK139" i="3"/>
  <c r="AJ139" i="3"/>
  <c r="EL139" i="3" s="1"/>
  <c r="Y139" i="3"/>
  <c r="X139" i="3"/>
  <c r="EF138" i="3"/>
  <c r="EF137" i="3"/>
  <c r="BA137" i="3"/>
  <c r="AZ137" i="3"/>
  <c r="AS137" i="3"/>
  <c r="AR137" i="3"/>
  <c r="U137" i="3"/>
  <c r="EP137" i="3" s="1"/>
  <c r="EX78" i="3" s="1"/>
  <c r="T137" i="3"/>
  <c r="EF136" i="3"/>
  <c r="BA136" i="3"/>
  <c r="AZ136" i="3"/>
  <c r="AW136" i="3"/>
  <c r="AW253" i="3" s="1"/>
  <c r="AV136" i="3"/>
  <c r="AV253" i="3" s="1"/>
  <c r="AU136" i="3"/>
  <c r="AU253" i="3" s="1"/>
  <c r="AT136" i="3"/>
  <c r="EF135" i="3"/>
  <c r="BA135" i="3"/>
  <c r="BA252" i="3" s="1"/>
  <c r="AZ135" i="3"/>
  <c r="AW135" i="3"/>
  <c r="AW252" i="3" s="1"/>
  <c r="AV135" i="3"/>
  <c r="AQ135" i="3"/>
  <c r="AP135" i="3"/>
  <c r="EF134" i="3"/>
  <c r="BA134" i="3"/>
  <c r="AZ134" i="3"/>
  <c r="AQ134" i="3"/>
  <c r="AQ251" i="3" s="1"/>
  <c r="AP134" i="3"/>
  <c r="EF133" i="3"/>
  <c r="BA133" i="3"/>
  <c r="AZ133" i="3"/>
  <c r="AY133" i="3"/>
  <c r="AY250" i="3" s="1"/>
  <c r="AX133" i="3"/>
  <c r="AX250" i="3" s="1"/>
  <c r="AW133" i="3"/>
  <c r="AW250" i="3" s="1"/>
  <c r="AV133" i="3"/>
  <c r="AU133" i="3"/>
  <c r="AU250" i="3" s="1"/>
  <c r="AT133" i="3"/>
  <c r="AT250" i="3" s="1"/>
  <c r="W133" i="3"/>
  <c r="AI252" i="3" s="1"/>
  <c r="V133" i="3"/>
  <c r="EF132" i="3"/>
  <c r="AY132" i="3"/>
  <c r="AX132" i="3"/>
  <c r="AW132" i="3"/>
  <c r="AW249" i="3" s="1"/>
  <c r="AV132" i="3"/>
  <c r="AV249" i="3" s="1"/>
  <c r="AU132" i="3"/>
  <c r="AU249" i="3" s="1"/>
  <c r="AT132" i="3"/>
  <c r="AT249" i="3" s="1"/>
  <c r="W132" i="3"/>
  <c r="V132" i="3"/>
  <c r="EF131" i="3"/>
  <c r="BA131" i="3"/>
  <c r="AZ131" i="3"/>
  <c r="AY131" i="3"/>
  <c r="AY248" i="3" s="1"/>
  <c r="AX131" i="3"/>
  <c r="AX248" i="3" s="1"/>
  <c r="AW131" i="3"/>
  <c r="AW248" i="3" s="1"/>
  <c r="AV131" i="3"/>
  <c r="AV248" i="3" s="1"/>
  <c r="AU131" i="3"/>
  <c r="AU248" i="3" s="1"/>
  <c r="AT131" i="3"/>
  <c r="AT248" i="3" s="1"/>
  <c r="AE131" i="3"/>
  <c r="AD131" i="3"/>
  <c r="U131" i="3"/>
  <c r="U248" i="3" s="1"/>
  <c r="T131" i="3"/>
  <c r="EF130" i="3"/>
  <c r="BE130" i="3"/>
  <c r="BE247" i="3" s="1"/>
  <c r="BD130" i="3"/>
  <c r="BD247" i="3" s="1"/>
  <c r="BA130" i="3"/>
  <c r="AZ130" i="3"/>
  <c r="AY130" i="3"/>
  <c r="AY247" i="3" s="1"/>
  <c r="AX130" i="3"/>
  <c r="AX247" i="3" s="1"/>
  <c r="AW130" i="3"/>
  <c r="AW247" i="3" s="1"/>
  <c r="AV130" i="3"/>
  <c r="AV247" i="3" s="1"/>
  <c r="AU130" i="3"/>
  <c r="AU247" i="3" s="1"/>
  <c r="AT130" i="3"/>
  <c r="AT247" i="3" s="1"/>
  <c r="AS130" i="3"/>
  <c r="AM247" i="3" s="1"/>
  <c r="AR130" i="3"/>
  <c r="AO130" i="3"/>
  <c r="AO247" i="3" s="1"/>
  <c r="AN130" i="3"/>
  <c r="AN247" i="3" s="1"/>
  <c r="W130" i="3"/>
  <c r="AI247" i="3" s="1"/>
  <c r="V130" i="3"/>
  <c r="EF129" i="3"/>
  <c r="BA129" i="3"/>
  <c r="AZ129" i="3"/>
  <c r="AZ246" i="3" s="1"/>
  <c r="AY129" i="3"/>
  <c r="AY246" i="3" s="1"/>
  <c r="AX129" i="3"/>
  <c r="AW129" i="3"/>
  <c r="AW246" i="3" s="1"/>
  <c r="AV129" i="3"/>
  <c r="AV246" i="3" s="1"/>
  <c r="AU129" i="3"/>
  <c r="AU246" i="3" s="1"/>
  <c r="AT129" i="3"/>
  <c r="AT246" i="3" s="1"/>
  <c r="AS129" i="3"/>
  <c r="AM246" i="3" s="1"/>
  <c r="AR129" i="3"/>
  <c r="AR246" i="3" s="1"/>
  <c r="AC129" i="3"/>
  <c r="AC245" i="3" s="1"/>
  <c r="AB129" i="3"/>
  <c r="AB245" i="3" s="1"/>
  <c r="AA129" i="3"/>
  <c r="AG246" i="3" s="1"/>
  <c r="Z129" i="3"/>
  <c r="Y129" i="3"/>
  <c r="Y246" i="3" s="1"/>
  <c r="X129" i="3"/>
  <c r="X246" i="3" s="1"/>
  <c r="W129" i="3"/>
  <c r="V129" i="3"/>
  <c r="K129" i="3"/>
  <c r="K248" i="3" s="1"/>
  <c r="J129" i="3"/>
  <c r="EF128" i="3"/>
  <c r="BC128" i="3"/>
  <c r="BB128" i="3"/>
  <c r="BA128" i="3"/>
  <c r="AZ128" i="3"/>
  <c r="AZ245" i="3" s="1"/>
  <c r="AY128" i="3"/>
  <c r="AY245" i="3" s="1"/>
  <c r="AX128" i="3"/>
  <c r="AX245" i="3" s="1"/>
  <c r="AW128" i="3"/>
  <c r="AW245" i="3" s="1"/>
  <c r="AV128" i="3"/>
  <c r="AV245" i="3" s="1"/>
  <c r="AU128" i="3"/>
  <c r="AU245" i="3" s="1"/>
  <c r="AT128" i="3"/>
  <c r="AT245" i="3" s="1"/>
  <c r="AS128" i="3"/>
  <c r="AS245" i="3" s="1"/>
  <c r="AR128" i="3"/>
  <c r="AQ128" i="3"/>
  <c r="AP128" i="3"/>
  <c r="AP245" i="3" s="1"/>
  <c r="AA128" i="3"/>
  <c r="Z128" i="3"/>
  <c r="Y128" i="3"/>
  <c r="Y245" i="3" s="1"/>
  <c r="X128" i="3"/>
  <c r="X245" i="3" s="1"/>
  <c r="W128" i="3"/>
  <c r="W245" i="3" s="1"/>
  <c r="V128" i="3"/>
  <c r="V245" i="3" s="1"/>
  <c r="Q128" i="3"/>
  <c r="Q245" i="3" s="1"/>
  <c r="P128" i="3"/>
  <c r="P245" i="3" s="1"/>
  <c r="O128" i="3"/>
  <c r="N128" i="3"/>
  <c r="M128" i="3"/>
  <c r="M245" i="3" s="1"/>
  <c r="L128" i="3"/>
  <c r="L245" i="3" s="1"/>
  <c r="K128" i="3"/>
  <c r="J128" i="3"/>
  <c r="EF127" i="3"/>
  <c r="BC127" i="3"/>
  <c r="BB127" i="3"/>
  <c r="BA127" i="3"/>
  <c r="AZ127" i="3"/>
  <c r="AZ244" i="3" s="1"/>
  <c r="AY127" i="3"/>
  <c r="AY244" i="3" s="1"/>
  <c r="AX127" i="3"/>
  <c r="AX244" i="3" s="1"/>
  <c r="AW127" i="3"/>
  <c r="AW244" i="3" s="1"/>
  <c r="AV127" i="3"/>
  <c r="AV244" i="3" s="1"/>
  <c r="AU127" i="3"/>
  <c r="AU244" i="3" s="1"/>
  <c r="AT127" i="3"/>
  <c r="AT244" i="3" s="1"/>
  <c r="AS127" i="3"/>
  <c r="AR127" i="3"/>
  <c r="AL244" i="3" s="1"/>
  <c r="AC127" i="3"/>
  <c r="AC244" i="3" s="1"/>
  <c r="AB127" i="3"/>
  <c r="AB244" i="3" s="1"/>
  <c r="AA127" i="3"/>
  <c r="AI244" i="3" s="1"/>
  <c r="Z127" i="3"/>
  <c r="Y127" i="3"/>
  <c r="Y244" i="3" s="1"/>
  <c r="X127" i="3"/>
  <c r="X244" i="3" s="1"/>
  <c r="W127" i="3"/>
  <c r="V127" i="3"/>
  <c r="U127" i="3"/>
  <c r="U245" i="3" s="1"/>
  <c r="T127" i="3"/>
  <c r="O127" i="3"/>
  <c r="O244" i="3" s="1"/>
  <c r="N127" i="3"/>
  <c r="N244" i="3" s="1"/>
  <c r="M127" i="3"/>
  <c r="L127" i="3"/>
  <c r="L244" i="3" s="1"/>
  <c r="K127" i="3"/>
  <c r="K244" i="3" s="1"/>
  <c r="J127" i="3"/>
  <c r="J244" i="3" s="1"/>
  <c r="EF126" i="3"/>
  <c r="BC126" i="3"/>
  <c r="BB126" i="3"/>
  <c r="BA126" i="3"/>
  <c r="AZ126" i="3"/>
  <c r="AZ243" i="3" s="1"/>
  <c r="AY126" i="3"/>
  <c r="AY243" i="3" s="1"/>
  <c r="AX126" i="3"/>
  <c r="AX243" i="3" s="1"/>
  <c r="AW126" i="3"/>
  <c r="AW243" i="3" s="1"/>
  <c r="AV126" i="3"/>
  <c r="AV243" i="3" s="1"/>
  <c r="AU126" i="3"/>
  <c r="AU243" i="3" s="1"/>
  <c r="AT126" i="3"/>
  <c r="AT243" i="3" s="1"/>
  <c r="AE126" i="3"/>
  <c r="AE242" i="3" s="1"/>
  <c r="AD126" i="3"/>
  <c r="AD243" i="3" s="1"/>
  <c r="AC126" i="3"/>
  <c r="AC243" i="3" s="1"/>
  <c r="AB126" i="3"/>
  <c r="AB243" i="3" s="1"/>
  <c r="AA126" i="3"/>
  <c r="Z126" i="3"/>
  <c r="Y126" i="3"/>
  <c r="Y243" i="3" s="1"/>
  <c r="X126" i="3"/>
  <c r="X243" i="3" s="1"/>
  <c r="W126" i="3"/>
  <c r="W241" i="3" s="1"/>
  <c r="V126" i="3"/>
  <c r="V241" i="3" s="1"/>
  <c r="S126" i="3"/>
  <c r="S243" i="3" s="1"/>
  <c r="R126" i="3"/>
  <c r="R243" i="3" s="1"/>
  <c r="O126" i="3"/>
  <c r="O243" i="3" s="1"/>
  <c r="N126" i="3"/>
  <c r="N243" i="3" s="1"/>
  <c r="M126" i="3"/>
  <c r="M243" i="3" s="1"/>
  <c r="L126" i="3"/>
  <c r="L243" i="3" s="1"/>
  <c r="K126" i="3"/>
  <c r="K243" i="3" s="1"/>
  <c r="J126" i="3"/>
  <c r="J243" i="3" s="1"/>
  <c r="I126" i="3"/>
  <c r="I243" i="3" s="1"/>
  <c r="H126" i="3"/>
  <c r="EF125" i="3"/>
  <c r="BC125" i="3"/>
  <c r="BB125" i="3"/>
  <c r="BA125" i="3"/>
  <c r="AZ125" i="3"/>
  <c r="AZ242" i="3" s="1"/>
  <c r="AY125" i="3"/>
  <c r="AY242" i="3" s="1"/>
  <c r="AX125" i="3"/>
  <c r="AW125" i="3"/>
  <c r="AW242" i="3" s="1"/>
  <c r="AV125" i="3"/>
  <c r="AV242" i="3" s="1"/>
  <c r="AU125" i="3"/>
  <c r="AU242" i="3" s="1"/>
  <c r="AT125" i="3"/>
  <c r="AT242" i="3" s="1"/>
  <c r="AQ125" i="3"/>
  <c r="AQ242" i="3" s="1"/>
  <c r="AP125" i="3"/>
  <c r="AP242" i="3" s="1"/>
  <c r="AC125" i="3"/>
  <c r="AC242" i="3" s="1"/>
  <c r="AB125" i="3"/>
  <c r="AB242" i="3" s="1"/>
  <c r="AA125" i="3"/>
  <c r="AG242" i="3" s="1"/>
  <c r="Z125" i="3"/>
  <c r="Y125" i="3"/>
  <c r="Y242" i="3" s="1"/>
  <c r="X125" i="3"/>
  <c r="X242" i="3" s="1"/>
  <c r="Q125" i="3"/>
  <c r="P125" i="3"/>
  <c r="P242" i="3" s="1"/>
  <c r="O125" i="3"/>
  <c r="O242" i="3" s="1"/>
  <c r="N125" i="3"/>
  <c r="N242" i="3" s="1"/>
  <c r="M125" i="3"/>
  <c r="M242" i="3" s="1"/>
  <c r="L125" i="3"/>
  <c r="L242" i="3" s="1"/>
  <c r="K125" i="3"/>
  <c r="K242" i="3" s="1"/>
  <c r="J125" i="3"/>
  <c r="J242" i="3" s="1"/>
  <c r="I125" i="3"/>
  <c r="I242" i="3" s="1"/>
  <c r="H125" i="3"/>
  <c r="H242" i="3" s="1"/>
  <c r="G125" i="3"/>
  <c r="F125" i="3"/>
  <c r="EF124" i="3"/>
  <c r="BC124" i="3"/>
  <c r="BB124" i="3"/>
  <c r="AW124" i="3"/>
  <c r="AV124" i="3"/>
  <c r="AV241" i="3" s="1"/>
  <c r="AU124" i="3"/>
  <c r="AU241" i="3" s="1"/>
  <c r="AT124" i="3"/>
  <c r="AT241" i="3" s="1"/>
  <c r="AS124" i="3"/>
  <c r="AS241" i="3" s="1"/>
  <c r="AR124" i="3"/>
  <c r="AN241" i="3" s="1"/>
  <c r="AQ124" i="3"/>
  <c r="AP124" i="3"/>
  <c r="AP240" i="3" s="1"/>
  <c r="AA124" i="3"/>
  <c r="AI241" i="3" s="1"/>
  <c r="Z124" i="3"/>
  <c r="Z241" i="3" s="1"/>
  <c r="Y124" i="3"/>
  <c r="Y241" i="3" s="1"/>
  <c r="X124" i="3"/>
  <c r="X241" i="3" s="1"/>
  <c r="S124" i="3"/>
  <c r="S241" i="3" s="1"/>
  <c r="R124" i="3"/>
  <c r="Q124" i="3"/>
  <c r="Q241" i="3" s="1"/>
  <c r="P124" i="3"/>
  <c r="P241" i="3" s="1"/>
  <c r="O124" i="3"/>
  <c r="O241" i="3" s="1"/>
  <c r="N124" i="3"/>
  <c r="N241" i="3" s="1"/>
  <c r="M124" i="3"/>
  <c r="M241" i="3" s="1"/>
  <c r="L124" i="3"/>
  <c r="L241" i="3" s="1"/>
  <c r="K124" i="3"/>
  <c r="K241" i="3" s="1"/>
  <c r="J124" i="3"/>
  <c r="J241" i="3" s="1"/>
  <c r="I124" i="3"/>
  <c r="I241" i="3" s="1"/>
  <c r="H124" i="3"/>
  <c r="H241" i="3" s="1"/>
  <c r="G124" i="3"/>
  <c r="F124" i="3"/>
  <c r="EF123" i="3"/>
  <c r="BC123" i="3"/>
  <c r="BC240" i="3" s="1"/>
  <c r="BB123" i="3"/>
  <c r="BA123" i="3"/>
  <c r="AZ123" i="3"/>
  <c r="AZ240" i="3" s="1"/>
  <c r="AW123" i="3"/>
  <c r="AV123" i="3"/>
  <c r="AS123" i="3"/>
  <c r="AS240" i="3" s="1"/>
  <c r="AR123" i="3"/>
  <c r="AR240" i="3" s="1"/>
  <c r="AM123" i="3"/>
  <c r="AM243" i="3" s="1"/>
  <c r="AL123" i="3"/>
  <c r="AL243" i="3" s="1"/>
  <c r="AK123" i="3"/>
  <c r="AJ123" i="3"/>
  <c r="AJ240" i="3" s="1"/>
  <c r="AC123" i="3"/>
  <c r="AB123" i="3"/>
  <c r="AB240" i="3" s="1"/>
  <c r="AA123" i="3"/>
  <c r="AG240" i="3" s="1"/>
  <c r="Z123" i="3"/>
  <c r="AF240" i="3" s="1"/>
  <c r="Y123" i="3"/>
  <c r="Y240" i="3" s="1"/>
  <c r="X123" i="3"/>
  <c r="X240" i="3" s="1"/>
  <c r="U123" i="3"/>
  <c r="U240" i="3" s="1"/>
  <c r="T123" i="3"/>
  <c r="T240" i="3" s="1"/>
  <c r="Q123" i="3"/>
  <c r="Q240" i="3" s="1"/>
  <c r="P123" i="3"/>
  <c r="P240" i="3" s="1"/>
  <c r="O123" i="3"/>
  <c r="O240" i="3" s="1"/>
  <c r="N123" i="3"/>
  <c r="N240" i="3" s="1"/>
  <c r="M123" i="3"/>
  <c r="M240" i="3" s="1"/>
  <c r="L123" i="3"/>
  <c r="L240" i="3" s="1"/>
  <c r="I123" i="3"/>
  <c r="I240" i="3" s="1"/>
  <c r="H123" i="3"/>
  <c r="H240" i="3" s="1"/>
  <c r="G123" i="3"/>
  <c r="F123" i="3"/>
  <c r="EF122" i="3"/>
  <c r="AW122" i="3"/>
  <c r="AV122" i="3"/>
  <c r="AU122" i="3"/>
  <c r="AU239" i="3" s="1"/>
  <c r="AT122" i="3"/>
  <c r="AT239" i="3" s="1"/>
  <c r="AA122" i="3"/>
  <c r="AA239" i="3" s="1"/>
  <c r="Z122" i="3"/>
  <c r="Z239" i="3" s="1"/>
  <c r="Y122" i="3"/>
  <c r="Y239" i="3" s="1"/>
  <c r="X122" i="3"/>
  <c r="X239" i="3" s="1"/>
  <c r="S122" i="3"/>
  <c r="S240" i="3" s="1"/>
  <c r="R122" i="3"/>
  <c r="R240" i="3" s="1"/>
  <c r="O122" i="3"/>
  <c r="O239" i="3" s="1"/>
  <c r="N122" i="3"/>
  <c r="N239" i="3" s="1"/>
  <c r="M122" i="3"/>
  <c r="M239" i="3" s="1"/>
  <c r="L122" i="3"/>
  <c r="L239" i="3" s="1"/>
  <c r="G122" i="3"/>
  <c r="G239" i="3" s="1"/>
  <c r="F122" i="3"/>
  <c r="EF121" i="3"/>
  <c r="ET116" i="3"/>
  <c r="BE116" i="3"/>
  <c r="BD116" i="3"/>
  <c r="BB116" i="3"/>
  <c r="AZ116" i="3"/>
  <c r="AX116" i="3"/>
  <c r="AW116" i="3"/>
  <c r="AV116" i="3"/>
  <c r="AU116" i="3"/>
  <c r="AT116" i="3"/>
  <c r="AS116" i="3"/>
  <c r="AR116" i="3"/>
  <c r="AQ116" i="3"/>
  <c r="AP116" i="3"/>
  <c r="AO116" i="3"/>
  <c r="AN116" i="3"/>
  <c r="AM116" i="3"/>
  <c r="AL116" i="3"/>
  <c r="AK116" i="3"/>
  <c r="AJ116" i="3"/>
  <c r="AI116" i="3"/>
  <c r="AH116" i="3"/>
  <c r="AG116" i="3"/>
  <c r="AF116" i="3"/>
  <c r="AE116" i="3"/>
  <c r="AD116" i="3"/>
  <c r="AC116" i="3"/>
  <c r="AB116" i="3"/>
  <c r="AA116" i="3"/>
  <c r="Z116" i="3"/>
  <c r="Y116" i="3"/>
  <c r="X116" i="3"/>
  <c r="W116" i="3"/>
  <c r="V116" i="3"/>
  <c r="U116" i="3"/>
  <c r="T116" i="3"/>
  <c r="S116" i="3"/>
  <c r="R116" i="3"/>
  <c r="Q116" i="3"/>
  <c r="P116" i="3"/>
  <c r="O116" i="3"/>
  <c r="N116" i="3"/>
  <c r="K116" i="3"/>
  <c r="J116" i="3"/>
  <c r="I116" i="3"/>
  <c r="H116" i="3"/>
  <c r="G116" i="3"/>
  <c r="F116" i="3"/>
  <c r="E116" i="3"/>
  <c r="D116" i="3"/>
  <c r="B116" i="3"/>
  <c r="EV115" i="3"/>
  <c r="EU115" i="3"/>
  <c r="ET115" i="3"/>
  <c r="ES115" i="3"/>
  <c r="EM115" i="3"/>
  <c r="EF115" i="3"/>
  <c r="EV114" i="3"/>
  <c r="EU114" i="3"/>
  <c r="ET114" i="3"/>
  <c r="ES114" i="3"/>
  <c r="EM114" i="3"/>
  <c r="EF114" i="3"/>
  <c r="EV113" i="3"/>
  <c r="EU113" i="3"/>
  <c r="ET113" i="3"/>
  <c r="ES113" i="3"/>
  <c r="EM113" i="3"/>
  <c r="EF113" i="3"/>
  <c r="EV112" i="3"/>
  <c r="EU112" i="3"/>
  <c r="ET112" i="3"/>
  <c r="ES112" i="3"/>
  <c r="EM112" i="3"/>
  <c r="EF112" i="3"/>
  <c r="EV111" i="3"/>
  <c r="EU111" i="3"/>
  <c r="ET111" i="3"/>
  <c r="ES111" i="3"/>
  <c r="EM111" i="3"/>
  <c r="EF111" i="3"/>
  <c r="EY110" i="3"/>
  <c r="EX110" i="3"/>
  <c r="EW110" i="3"/>
  <c r="ET110" i="3"/>
  <c r="ES110" i="3"/>
  <c r="EM110" i="3"/>
  <c r="EF110" i="3"/>
  <c r="EU109" i="3"/>
  <c r="EY109" i="3" s="1"/>
  <c r="ET109" i="3"/>
  <c r="ES109" i="3"/>
  <c r="ER109" i="3"/>
  <c r="EQ109" i="3"/>
  <c r="EM109" i="3"/>
  <c r="EF109" i="3"/>
  <c r="EU108" i="3"/>
  <c r="EY108" i="3" s="1"/>
  <c r="ET108" i="3"/>
  <c r="ES108" i="3"/>
  <c r="EM108" i="3"/>
  <c r="EF108" i="3"/>
  <c r="EV107" i="3"/>
  <c r="EU107" i="3"/>
  <c r="ET107" i="3"/>
  <c r="ES107" i="3"/>
  <c r="EM107" i="3"/>
  <c r="EF107" i="3"/>
  <c r="EU106" i="3"/>
  <c r="EY106" i="3" s="1"/>
  <c r="ET106" i="3"/>
  <c r="ES106" i="3"/>
  <c r="EM106" i="3"/>
  <c r="EF106" i="3"/>
  <c r="EV105" i="3"/>
  <c r="EU105" i="3"/>
  <c r="ET105" i="3"/>
  <c r="ES105" i="3"/>
  <c r="EF105" i="3"/>
  <c r="EV104" i="3"/>
  <c r="EU104" i="3"/>
  <c r="ET104" i="3"/>
  <c r="ES104" i="3"/>
  <c r="EM104" i="3"/>
  <c r="EF104" i="3"/>
  <c r="EV103" i="3"/>
  <c r="EU103" i="3"/>
  <c r="ET103" i="3"/>
  <c r="ES103" i="3"/>
  <c r="EM103" i="3"/>
  <c r="EF103" i="3"/>
  <c r="EV102" i="3"/>
  <c r="EU102" i="3"/>
  <c r="ET102" i="3"/>
  <c r="ES102" i="3"/>
  <c r="EM102" i="3"/>
  <c r="EF102" i="3"/>
  <c r="EV101" i="3"/>
  <c r="EU101" i="3"/>
  <c r="ET101" i="3"/>
  <c r="ES101" i="3"/>
  <c r="EM101" i="3"/>
  <c r="EF101" i="3"/>
  <c r="EV100" i="3"/>
  <c r="EU100" i="3"/>
  <c r="ET100" i="3"/>
  <c r="ES100" i="3"/>
  <c r="EM100" i="3"/>
  <c r="EF100" i="3"/>
  <c r="EV99" i="3"/>
  <c r="EU99" i="3"/>
  <c r="ET99" i="3"/>
  <c r="ES99" i="3"/>
  <c r="EM99" i="3"/>
  <c r="EF99" i="3"/>
  <c r="EV98" i="3"/>
  <c r="EU98" i="3"/>
  <c r="ET98" i="3"/>
  <c r="EM98" i="3"/>
  <c r="EF98" i="3"/>
  <c r="EV97" i="3"/>
  <c r="EU97" i="3"/>
  <c r="ET97" i="3"/>
  <c r="EM97" i="3"/>
  <c r="EF97" i="3"/>
  <c r="EV96" i="3"/>
  <c r="EU96" i="3"/>
  <c r="ET96" i="3"/>
  <c r="EM96" i="3"/>
  <c r="EF96" i="3"/>
  <c r="EY95" i="3"/>
  <c r="EX95" i="3"/>
  <c r="EW95" i="3"/>
  <c r="ET95" i="3"/>
  <c r="ER95" i="3"/>
  <c r="EQ95" i="3"/>
  <c r="EM95" i="3"/>
  <c r="EL95" i="3"/>
  <c r="EK95" i="3"/>
  <c r="EF95" i="3"/>
  <c r="EY94" i="3"/>
  <c r="EX94" i="3"/>
  <c r="EW94" i="3"/>
  <c r="ET94" i="3"/>
  <c r="ES94" i="3"/>
  <c r="EM94" i="3"/>
  <c r="EF94" i="3"/>
  <c r="EY93" i="3"/>
  <c r="EX93" i="3"/>
  <c r="EW93" i="3"/>
  <c r="ET93" i="3"/>
  <c r="ES93" i="3"/>
  <c r="EM93" i="3"/>
  <c r="EF93" i="3"/>
  <c r="EY92" i="3"/>
  <c r="EX92" i="3"/>
  <c r="EW92" i="3"/>
  <c r="ET92" i="3"/>
  <c r="ES92" i="3"/>
  <c r="EM92" i="3"/>
  <c r="EF92" i="3"/>
  <c r="EY91" i="3"/>
  <c r="EX91" i="3"/>
  <c r="EW91" i="3"/>
  <c r="ET91" i="3"/>
  <c r="ES91" i="3"/>
  <c r="EF91" i="3"/>
  <c r="EU90" i="3"/>
  <c r="EY90" i="3" s="1"/>
  <c r="ET90" i="3"/>
  <c r="ES90" i="3"/>
  <c r="EF90" i="3"/>
  <c r="EV89" i="3"/>
  <c r="EY89" i="3" s="1"/>
  <c r="ET89" i="3"/>
  <c r="ES89" i="3"/>
  <c r="EM89" i="3"/>
  <c r="EF89" i="3"/>
  <c r="EV88" i="3"/>
  <c r="EY88" i="3" s="1"/>
  <c r="ET88" i="3"/>
  <c r="ES88" i="3"/>
  <c r="EF88" i="3"/>
  <c r="EU87" i="3"/>
  <c r="EY87" i="3" s="1"/>
  <c r="ET87" i="3"/>
  <c r="ES87" i="3"/>
  <c r="EM87" i="3"/>
  <c r="EF87" i="3"/>
  <c r="ET86" i="3"/>
  <c r="ES86" i="3"/>
  <c r="EF86" i="3"/>
  <c r="M86" i="3"/>
  <c r="EJ86" i="3" s="1"/>
  <c r="EM86" i="3" s="1"/>
  <c r="EU85" i="3"/>
  <c r="ET85" i="3"/>
  <c r="ES85" i="3"/>
  <c r="EF85" i="3"/>
  <c r="M85" i="3"/>
  <c r="EJ85" i="3" s="1"/>
  <c r="EV84" i="3"/>
  <c r="EU84" i="3"/>
  <c r="ET84" i="3"/>
  <c r="EF84" i="3"/>
  <c r="AY84" i="3"/>
  <c r="ET83" i="3"/>
  <c r="BC83" i="3"/>
  <c r="BB142" i="3" s="1"/>
  <c r="BA83" i="3"/>
  <c r="M83" i="3"/>
  <c r="L83" i="3"/>
  <c r="L116" i="3" s="1"/>
  <c r="ET82" i="3"/>
  <c r="BC82" i="3"/>
  <c r="BB141" i="3" s="1"/>
  <c r="BA82" i="3"/>
  <c r="BA141" i="3" s="1"/>
  <c r="AY82" i="3"/>
  <c r="AX141" i="3" s="1"/>
  <c r="M82" i="3"/>
  <c r="EU81" i="3"/>
  <c r="ET81" i="3"/>
  <c r="EF81" i="3"/>
  <c r="BA81" i="3"/>
  <c r="AY81" i="3"/>
  <c r="M81" i="3"/>
  <c r="M140" i="3" s="1"/>
  <c r="ET80" i="3"/>
  <c r="ES80" i="3"/>
  <c r="EF80" i="3"/>
  <c r="M80" i="3"/>
  <c r="EV80" i="3" s="1"/>
  <c r="EY80" i="3" s="1"/>
  <c r="EY79" i="3"/>
  <c r="EX79" i="3"/>
  <c r="EW79" i="3"/>
  <c r="ET79" i="3"/>
  <c r="EM79" i="3"/>
  <c r="EF79" i="3"/>
  <c r="EV78" i="3"/>
  <c r="EY78" i="3" s="1"/>
  <c r="ET78" i="3"/>
  <c r="ES78" i="3"/>
  <c r="EM78" i="3"/>
  <c r="EF78" i="3"/>
  <c r="EY77" i="3"/>
  <c r="EX77" i="3"/>
  <c r="EW77" i="3"/>
  <c r="ET77" i="3"/>
  <c r="EM77" i="3"/>
  <c r="EF77" i="3"/>
  <c r="EY76" i="3"/>
  <c r="EX76" i="3"/>
  <c r="EW76" i="3"/>
  <c r="ET76" i="3"/>
  <c r="ES76" i="3"/>
  <c r="EM76" i="3"/>
  <c r="EF76" i="3"/>
  <c r="EY75" i="3"/>
  <c r="EX75" i="3"/>
  <c r="EW75" i="3"/>
  <c r="ET75" i="3"/>
  <c r="ES75" i="3"/>
  <c r="EF75" i="3"/>
  <c r="EV74" i="3"/>
  <c r="EU74" i="3"/>
  <c r="ET74" i="3"/>
  <c r="ES74" i="3"/>
  <c r="EM74" i="3"/>
  <c r="EF74" i="3"/>
  <c r="EV73" i="3"/>
  <c r="EU73" i="3"/>
  <c r="ET73" i="3"/>
  <c r="ES73" i="3"/>
  <c r="EM73" i="3"/>
  <c r="EF73" i="3"/>
  <c r="EV72" i="3"/>
  <c r="EU72" i="3"/>
  <c r="ET72" i="3"/>
  <c r="ES72" i="3"/>
  <c r="EM72" i="3"/>
  <c r="EF72" i="3"/>
  <c r="EV71" i="3"/>
  <c r="EU71" i="3"/>
  <c r="ET71" i="3"/>
  <c r="EM71" i="3"/>
  <c r="EF71" i="3"/>
  <c r="EV70" i="3"/>
  <c r="EU70" i="3"/>
  <c r="ET70" i="3"/>
  <c r="EM70" i="3"/>
  <c r="EF70" i="3"/>
  <c r="EV69" i="3"/>
  <c r="EU69" i="3"/>
  <c r="ET69" i="3"/>
  <c r="ES69" i="3"/>
  <c r="EM69" i="3"/>
  <c r="EF69" i="3"/>
  <c r="EV68" i="3"/>
  <c r="EU68" i="3"/>
  <c r="ET68" i="3"/>
  <c r="ES68" i="3"/>
  <c r="EM68" i="3"/>
  <c r="EF68" i="3"/>
  <c r="EV67" i="3"/>
  <c r="EU67" i="3"/>
  <c r="ET67" i="3"/>
  <c r="ES67" i="3"/>
  <c r="EF67" i="3"/>
  <c r="EV66" i="3"/>
  <c r="EU66" i="3"/>
  <c r="ET66" i="3"/>
  <c r="ES66" i="3"/>
  <c r="EF66" i="3"/>
  <c r="EV65" i="3"/>
  <c r="EU65" i="3"/>
  <c r="ET65" i="3"/>
  <c r="ES65" i="3"/>
  <c r="EM65" i="3"/>
  <c r="EF65" i="3"/>
  <c r="EV64" i="3"/>
  <c r="EU64" i="3"/>
  <c r="ET64" i="3"/>
  <c r="ES64" i="3"/>
  <c r="EM64" i="3"/>
  <c r="EF64" i="3"/>
  <c r="EV63" i="3"/>
  <c r="EU63" i="3"/>
  <c r="ET63" i="3"/>
  <c r="ES63" i="3"/>
  <c r="EM63" i="3"/>
  <c r="EF63" i="3"/>
  <c r="EX62" i="3"/>
  <c r="EW62" i="3"/>
  <c r="EV62" i="3"/>
  <c r="EU62" i="3"/>
  <c r="ET62" i="3"/>
  <c r="EF62" i="3"/>
  <c r="EF56" i="3"/>
  <c r="EF55" i="3"/>
  <c r="EF54" i="3"/>
  <c r="EF53" i="3"/>
  <c r="EF52" i="3"/>
  <c r="EF51" i="3"/>
  <c r="EF50" i="3"/>
  <c r="EF49" i="3"/>
  <c r="EF48" i="3"/>
  <c r="EF47" i="3"/>
  <c r="EF46" i="3"/>
  <c r="EF45" i="3"/>
  <c r="EF44" i="3"/>
  <c r="EF43" i="3"/>
  <c r="EF42" i="3"/>
  <c r="EF41" i="3"/>
  <c r="EF40" i="3"/>
  <c r="EF39" i="3"/>
  <c r="EF38" i="3"/>
  <c r="EF37" i="3"/>
  <c r="EF36" i="3"/>
  <c r="EF35" i="3"/>
  <c r="EF34" i="3"/>
  <c r="EF33" i="3"/>
  <c r="EF32" i="3"/>
  <c r="EF31" i="3"/>
  <c r="EF30" i="3"/>
  <c r="EF29" i="3"/>
  <c r="EF28" i="3"/>
  <c r="EF27" i="3"/>
  <c r="EF26" i="3"/>
  <c r="EF25" i="3"/>
  <c r="EF24" i="3"/>
  <c r="EF23" i="3"/>
  <c r="EF22" i="3"/>
  <c r="EF21" i="3"/>
  <c r="EF20" i="3"/>
  <c r="EF19" i="3"/>
  <c r="EF18" i="3"/>
  <c r="EF17" i="3"/>
  <c r="EF16" i="3"/>
  <c r="EF15" i="3"/>
  <c r="EF14" i="3"/>
  <c r="EF13" i="3"/>
  <c r="EF12" i="3"/>
  <c r="EF11" i="3"/>
  <c r="EF10" i="3"/>
  <c r="EF9" i="3"/>
  <c r="EF8" i="3"/>
  <c r="EF7" i="3"/>
  <c r="EF6" i="3"/>
  <c r="EF5" i="3"/>
  <c r="EF4" i="3"/>
  <c r="M19" i="6"/>
  <c r="L19" i="6"/>
  <c r="K19" i="6"/>
  <c r="J19" i="6"/>
  <c r="I19" i="6"/>
  <c r="H19" i="6"/>
  <c r="G19" i="6"/>
  <c r="D19" i="6"/>
  <c r="C19" i="6"/>
  <c r="B19" i="6"/>
  <c r="M15" i="6"/>
  <c r="M16" i="6" s="1"/>
  <c r="M14" i="6"/>
  <c r="M13" i="6"/>
  <c r="M12" i="6"/>
  <c r="M11" i="6"/>
  <c r="L15" i="6"/>
  <c r="L16" i="6" s="1"/>
  <c r="L14" i="6"/>
  <c r="L13" i="6"/>
  <c r="L12" i="6"/>
  <c r="L11" i="6"/>
  <c r="K15" i="6"/>
  <c r="K16" i="6" s="1"/>
  <c r="K14" i="6"/>
  <c r="K13" i="6"/>
  <c r="K12" i="6"/>
  <c r="K11" i="6"/>
  <c r="J15" i="6"/>
  <c r="J16" i="6" s="1"/>
  <c r="J14" i="6"/>
  <c r="J13" i="6"/>
  <c r="J12" i="6"/>
  <c r="J11" i="6"/>
  <c r="I15" i="6"/>
  <c r="I16" i="6" s="1"/>
  <c r="I14" i="6"/>
  <c r="I13" i="6"/>
  <c r="I12" i="6"/>
  <c r="I11" i="6"/>
  <c r="H15" i="6"/>
  <c r="H16" i="6" s="1"/>
  <c r="H14" i="6"/>
  <c r="H13" i="6"/>
  <c r="H12" i="6"/>
  <c r="H11" i="6"/>
  <c r="G15" i="6"/>
  <c r="G16" i="6" s="1"/>
  <c r="G14" i="6"/>
  <c r="G13" i="6"/>
  <c r="G12" i="6"/>
  <c r="G11" i="6"/>
  <c r="F15" i="6"/>
  <c r="F16" i="6" s="1"/>
  <c r="F14" i="6"/>
  <c r="F13" i="6"/>
  <c r="F12" i="6"/>
  <c r="F11" i="6"/>
  <c r="E15" i="6"/>
  <c r="E16" i="6" s="1"/>
  <c r="E14" i="6"/>
  <c r="E13" i="6"/>
  <c r="E12" i="6"/>
  <c r="E11" i="6"/>
  <c r="D15" i="6"/>
  <c r="D16" i="6" s="1"/>
  <c r="D14" i="6"/>
  <c r="D13" i="6"/>
  <c r="C14" i="6"/>
  <c r="C13" i="6"/>
  <c r="B14" i="6"/>
  <c r="M10" i="6"/>
  <c r="L10" i="6"/>
  <c r="K10" i="6"/>
  <c r="J10" i="6"/>
  <c r="I10" i="6"/>
  <c r="H10" i="6"/>
  <c r="G10" i="6"/>
  <c r="F10" i="6"/>
  <c r="E10" i="6"/>
  <c r="M9" i="6"/>
  <c r="M8" i="6"/>
  <c r="M7" i="6"/>
  <c r="M6" i="6"/>
  <c r="M5" i="6"/>
  <c r="L9" i="6"/>
  <c r="L8" i="6"/>
  <c r="L7" i="6"/>
  <c r="L6" i="6"/>
  <c r="L5" i="6"/>
  <c r="K9" i="6"/>
  <c r="K8" i="6"/>
  <c r="K7" i="6"/>
  <c r="K6" i="6"/>
  <c r="K5" i="6"/>
  <c r="J9" i="6"/>
  <c r="J8" i="6"/>
  <c r="J7" i="6"/>
  <c r="J6" i="6"/>
  <c r="J5" i="6"/>
  <c r="I9" i="6"/>
  <c r="I8" i="6"/>
  <c r="I7" i="6"/>
  <c r="I6" i="6"/>
  <c r="I5" i="6"/>
  <c r="H9" i="6"/>
  <c r="H8" i="6"/>
  <c r="H7" i="6"/>
  <c r="H6" i="6"/>
  <c r="H5" i="6"/>
  <c r="G9" i="6"/>
  <c r="G8" i="6"/>
  <c r="G7" i="6"/>
  <c r="G6" i="6"/>
  <c r="G5" i="6"/>
  <c r="F9" i="6"/>
  <c r="F8" i="6"/>
  <c r="F7" i="6"/>
  <c r="F6" i="6"/>
  <c r="F5" i="6"/>
  <c r="E9" i="6"/>
  <c r="E8" i="6"/>
  <c r="E7" i="6"/>
  <c r="E6" i="6"/>
  <c r="E5" i="6"/>
  <c r="E4" i="6"/>
  <c r="D6" i="6"/>
  <c r="C7" i="6"/>
  <c r="M4" i="6"/>
  <c r="L4" i="6"/>
  <c r="K4" i="6"/>
  <c r="J4" i="6"/>
  <c r="I4" i="6"/>
  <c r="H4" i="6"/>
  <c r="G4" i="6"/>
  <c r="F4" i="6"/>
  <c r="F33" i="6"/>
  <c r="F32" i="6"/>
  <c r="O17" i="6"/>
  <c r="O15" i="6"/>
  <c r="O14" i="6"/>
  <c r="O13" i="6"/>
  <c r="O12" i="6"/>
  <c r="O11" i="6"/>
  <c r="O10" i="6"/>
  <c r="O9" i="6"/>
  <c r="AL33" i="6"/>
  <c r="AZ33" i="6" s="1"/>
  <c r="AJ33" i="6"/>
  <c r="AJ35" i="6" s="1"/>
  <c r="AI33" i="6"/>
  <c r="AI35" i="6" s="1"/>
  <c r="AH33" i="6"/>
  <c r="AH35" i="6" s="1"/>
  <c r="AG33" i="6"/>
  <c r="AG35" i="6" s="1"/>
  <c r="O8" i="6"/>
  <c r="AL32" i="6"/>
  <c r="AJ32" i="6"/>
  <c r="AJ34" i="6" s="1"/>
  <c r="AI32" i="6"/>
  <c r="AI34" i="6" s="1"/>
  <c r="AH32" i="6"/>
  <c r="AH34" i="6" s="1"/>
  <c r="AG32" i="6"/>
  <c r="AG34" i="6" s="1"/>
  <c r="O7" i="6"/>
  <c r="O6" i="6"/>
  <c r="O5" i="6"/>
  <c r="O4" i="6"/>
  <c r="AA3" i="6"/>
  <c r="Z3" i="6"/>
  <c r="Y3" i="6"/>
  <c r="X3" i="6"/>
  <c r="W3" i="6"/>
  <c r="V3" i="6"/>
  <c r="U3" i="6"/>
  <c r="T3" i="6"/>
  <c r="S3" i="6"/>
  <c r="R3" i="6"/>
  <c r="Q3" i="6"/>
  <c r="P3" i="6"/>
  <c r="O3" i="6"/>
  <c r="AG14" i="1"/>
  <c r="AG13" i="1"/>
  <c r="BK277" i="3" l="1"/>
  <c r="BH280" i="3"/>
  <c r="BF280" i="3" s="1"/>
  <c r="BF279" i="3" s="1"/>
  <c r="EY105" i="3"/>
  <c r="BH243" i="3"/>
  <c r="BF243" i="3" s="1"/>
  <c r="BH277" i="3"/>
  <c r="BF277" i="3" s="1"/>
  <c r="EK263" i="3"/>
  <c r="BI277" i="3"/>
  <c r="BB245" i="3"/>
  <c r="BH245" i="3"/>
  <c r="BF245" i="3" s="1"/>
  <c r="F107" i="7"/>
  <c r="F48" i="7"/>
  <c r="BH242" i="3"/>
  <c r="BK242" i="3"/>
  <c r="BK244" i="3"/>
  <c r="BI244" i="3" s="1"/>
  <c r="BK280" i="3"/>
  <c r="BI280" i="3" s="1"/>
  <c r="EK278" i="3"/>
  <c r="EK279" i="3"/>
  <c r="C107" i="7"/>
  <c r="C48" i="7"/>
  <c r="D107" i="7"/>
  <c r="D48" i="7"/>
  <c r="G107" i="7"/>
  <c r="G48" i="7"/>
  <c r="BG279" i="3"/>
  <c r="BK243" i="3"/>
  <c r="BI243" i="3" s="1"/>
  <c r="BH244" i="3"/>
  <c r="BF244" i="3" s="1"/>
  <c r="EY96" i="3"/>
  <c r="BK245" i="3"/>
  <c r="BI245" i="3" s="1"/>
  <c r="EP168" i="3"/>
  <c r="EX109" i="3" s="1"/>
  <c r="EY65" i="3"/>
  <c r="EH198" i="3"/>
  <c r="AH241" i="3"/>
  <c r="EJ252" i="3"/>
  <c r="EM151" i="3"/>
  <c r="ER92" i="3" s="1"/>
  <c r="EL166" i="3"/>
  <c r="EQ107" i="3" s="1"/>
  <c r="EH246" i="3"/>
  <c r="E284" i="3"/>
  <c r="W291" i="3"/>
  <c r="EY97" i="3"/>
  <c r="EP156" i="3"/>
  <c r="EX97" i="3" s="1"/>
  <c r="EI174" i="3"/>
  <c r="EK115" i="3" s="1"/>
  <c r="EH250" i="3"/>
  <c r="EH251" i="3"/>
  <c r="EH252" i="3"/>
  <c r="EH263" i="3"/>
  <c r="EN271" i="3"/>
  <c r="EK277" i="3"/>
  <c r="AF290" i="3"/>
  <c r="F34" i="6"/>
  <c r="AI36" i="6"/>
  <c r="AJ36" i="6"/>
  <c r="AG36" i="6"/>
  <c r="AL35" i="6"/>
  <c r="AZ35" i="6" s="1"/>
  <c r="AL34" i="6"/>
  <c r="AZ32" i="6"/>
  <c r="AH36" i="6"/>
  <c r="EY67" i="3"/>
  <c r="EY84" i="3"/>
  <c r="EI129" i="3"/>
  <c r="EK70" i="3" s="1"/>
  <c r="EL147" i="3"/>
  <c r="EQ88" i="3" s="1"/>
  <c r="AA244" i="3"/>
  <c r="AR244" i="3"/>
  <c r="EK276" i="3"/>
  <c r="EN280" i="3"/>
  <c r="Y288" i="3"/>
  <c r="EM127" i="3"/>
  <c r="ER68" i="3" s="1"/>
  <c r="AV288" i="3"/>
  <c r="EV85" i="3"/>
  <c r="EY85" i="3" s="1"/>
  <c r="EY114" i="3"/>
  <c r="EP147" i="3"/>
  <c r="EX88" i="3" s="1"/>
  <c r="EI148" i="3"/>
  <c r="EK89" i="3" s="1"/>
  <c r="AO240" i="3"/>
  <c r="AG244" i="3"/>
  <c r="EK257" i="3"/>
  <c r="EH260" i="3"/>
  <c r="EN272" i="3"/>
  <c r="AS273" i="3"/>
  <c r="EK280" i="3"/>
  <c r="EH285" i="3"/>
  <c r="EN288" i="3"/>
  <c r="F285" i="3"/>
  <c r="EY66" i="3"/>
  <c r="EY115" i="3"/>
  <c r="EP166" i="3"/>
  <c r="EX107" i="3" s="1"/>
  <c r="EN265" i="3"/>
  <c r="AT277" i="3"/>
  <c r="AL279" i="3"/>
  <c r="EO279" i="3" s="1"/>
  <c r="X289" i="3"/>
  <c r="Q291" i="3"/>
  <c r="EY70" i="3"/>
  <c r="EP83" i="3"/>
  <c r="ES83" i="3" s="1"/>
  <c r="EI122" i="3"/>
  <c r="EK63" i="3" s="1"/>
  <c r="EL136" i="3"/>
  <c r="EQ77" i="3" s="1"/>
  <c r="AZ141" i="3"/>
  <c r="EL141" i="3" s="1"/>
  <c r="EQ82" i="3" s="1"/>
  <c r="EL144" i="3"/>
  <c r="EQ85" i="3" s="1"/>
  <c r="M145" i="3"/>
  <c r="M264" i="3" s="1"/>
  <c r="EO146" i="3"/>
  <c r="EW87" i="3" s="1"/>
  <c r="EL146" i="3"/>
  <c r="EQ87" i="3" s="1"/>
  <c r="EL149" i="3"/>
  <c r="EQ90" i="3" s="1"/>
  <c r="EP149" i="3"/>
  <c r="EX90" i="3" s="1"/>
  <c r="EM150" i="3"/>
  <c r="ER91" i="3" s="1"/>
  <c r="EI164" i="3"/>
  <c r="EL164" i="3"/>
  <c r="EQ105" i="3" s="1"/>
  <c r="EI168" i="3"/>
  <c r="EK109" i="3" s="1"/>
  <c r="EM173" i="3"/>
  <c r="ER114" i="3" s="1"/>
  <c r="AR242" i="3"/>
  <c r="EK242" i="3"/>
  <c r="AL246" i="3"/>
  <c r="EH257" i="3"/>
  <c r="EK261" i="3"/>
  <c r="EK265" i="3"/>
  <c r="E266" i="3"/>
  <c r="EN266" i="3"/>
  <c r="G267" i="3"/>
  <c r="EN269" i="3"/>
  <c r="EP271" i="3"/>
  <c r="V275" i="3"/>
  <c r="E276" i="3"/>
  <c r="EN282" i="3"/>
  <c r="O284" i="3"/>
  <c r="V285" i="3"/>
  <c r="P287" i="3"/>
  <c r="AM287" i="3"/>
  <c r="EH288" i="3"/>
  <c r="H289" i="3"/>
  <c r="EH289" i="3"/>
  <c r="EL153" i="3"/>
  <c r="EQ94" i="3" s="1"/>
  <c r="F286" i="3"/>
  <c r="EO171" i="3"/>
  <c r="EW112" i="3" s="1"/>
  <c r="EY63" i="3"/>
  <c r="EY74" i="3"/>
  <c r="EV81" i="3"/>
  <c r="EY81" i="3" s="1"/>
  <c r="EI131" i="3"/>
  <c r="EK72" i="3" s="1"/>
  <c r="L145" i="3"/>
  <c r="EI145" i="3" s="1"/>
  <c r="EK86" i="3" s="1"/>
  <c r="EL145" i="3"/>
  <c r="EQ86" i="3" s="1"/>
  <c r="EP146" i="3"/>
  <c r="EX87" i="3" s="1"/>
  <c r="EM147" i="3"/>
  <c r="ER88" i="3" s="1"/>
  <c r="EL152" i="3"/>
  <c r="EQ93" i="3" s="1"/>
  <c r="EM153" i="3"/>
  <c r="ER94" i="3" s="1"/>
  <c r="EO158" i="3"/>
  <c r="EW99" i="3" s="1"/>
  <c r="EP159" i="3"/>
  <c r="EX100" i="3" s="1"/>
  <c r="EP161" i="3"/>
  <c r="EX102" i="3" s="1"/>
  <c r="EI162" i="3"/>
  <c r="EK103" i="3" s="1"/>
  <c r="EI165" i="3"/>
  <c r="EK106" i="3" s="1"/>
  <c r="EK246" i="3"/>
  <c r="EK258" i="3"/>
  <c r="EK266" i="3"/>
  <c r="EK269" i="3"/>
  <c r="EO271" i="3"/>
  <c r="M272" i="3"/>
  <c r="N275" i="3"/>
  <c r="AT280" i="3"/>
  <c r="EK282" i="3"/>
  <c r="N284" i="3"/>
  <c r="P285" i="3"/>
  <c r="AL287" i="3"/>
  <c r="I288" i="3"/>
  <c r="W290" i="3"/>
  <c r="AG290" i="3"/>
  <c r="AH291" i="3"/>
  <c r="EI137" i="3"/>
  <c r="EK78" i="3" s="1"/>
  <c r="BD245" i="3"/>
  <c r="EL128" i="3"/>
  <c r="EQ69" i="3" s="1"/>
  <c r="EM133" i="3"/>
  <c r="ER74" i="3" s="1"/>
  <c r="EJ133" i="3"/>
  <c r="EL74" i="3" s="1"/>
  <c r="AT253" i="3"/>
  <c r="EI136" i="3"/>
  <c r="EK77" i="3" s="1"/>
  <c r="EM137" i="3"/>
  <c r="ER78" i="3" s="1"/>
  <c r="EJ137" i="3"/>
  <c r="EL78" i="3" s="1"/>
  <c r="AX268" i="3"/>
  <c r="EO268" i="3" s="1"/>
  <c r="EI151" i="3"/>
  <c r="EK92" i="3" s="1"/>
  <c r="AW280" i="3"/>
  <c r="EJ163" i="3"/>
  <c r="EL104" i="3" s="1"/>
  <c r="AW284" i="3"/>
  <c r="EP284" i="3" s="1"/>
  <c r="EJ167" i="3"/>
  <c r="EL108" i="3" s="1"/>
  <c r="EM167" i="3"/>
  <c r="ER108" i="3" s="1"/>
  <c r="EJ122" i="3"/>
  <c r="EL63" i="3" s="1"/>
  <c r="EM122" i="3"/>
  <c r="ER63" i="3" s="1"/>
  <c r="AH250" i="3"/>
  <c r="EI133" i="3"/>
  <c r="EK74" i="3" s="1"/>
  <c r="AP251" i="3"/>
  <c r="EI134" i="3"/>
  <c r="EK75" i="3" s="1"/>
  <c r="EM139" i="3"/>
  <c r="ER80" i="3" s="1"/>
  <c r="EJ149" i="3"/>
  <c r="EL90" i="3" s="1"/>
  <c r="BB267" i="3"/>
  <c r="EL150" i="3"/>
  <c r="EQ91" i="3" s="1"/>
  <c r="AX270" i="3"/>
  <c r="EI153" i="3"/>
  <c r="EK94" i="3" s="1"/>
  <c r="EM165" i="3"/>
  <c r="ER106" i="3" s="1"/>
  <c r="EJ165" i="3"/>
  <c r="EL106" i="3" s="1"/>
  <c r="BB291" i="3"/>
  <c r="EL173" i="3"/>
  <c r="EQ114" i="3" s="1"/>
  <c r="M257" i="3"/>
  <c r="EM257" i="3" s="1"/>
  <c r="EG198" i="3"/>
  <c r="BC258" i="3"/>
  <c r="BB233" i="3"/>
  <c r="BB294" i="3" s="1"/>
  <c r="L139" i="3"/>
  <c r="EJ80" i="3"/>
  <c r="EM80" i="3" s="1"/>
  <c r="AX140" i="3"/>
  <c r="EP81" i="3"/>
  <c r="ES81" i="3" s="1"/>
  <c r="EU83" i="3"/>
  <c r="EI83" i="3"/>
  <c r="AV239" i="3"/>
  <c r="EL122" i="3"/>
  <c r="EQ63" i="3" s="1"/>
  <c r="BB240" i="3"/>
  <c r="EL123" i="3"/>
  <c r="EQ64" i="3" s="1"/>
  <c r="EJ124" i="3"/>
  <c r="EL65" i="3" s="1"/>
  <c r="F242" i="3"/>
  <c r="EI125" i="3"/>
  <c r="EK66" i="3" s="1"/>
  <c r="BB242" i="3"/>
  <c r="EL125" i="3"/>
  <c r="EQ66" i="3" s="1"/>
  <c r="BC243" i="3"/>
  <c r="EM126" i="3"/>
  <c r="ER67" i="3" s="1"/>
  <c r="BA244" i="3"/>
  <c r="EJ127" i="3"/>
  <c r="EL68" i="3" s="1"/>
  <c r="EO128" i="3"/>
  <c r="EW69" i="3" s="1"/>
  <c r="EI128" i="3"/>
  <c r="EK69" i="3" s="1"/>
  <c r="EM129" i="3"/>
  <c r="ER70" i="3" s="1"/>
  <c r="EJ129" i="3"/>
  <c r="EL70" i="3" s="1"/>
  <c r="EM131" i="3"/>
  <c r="ER72" i="3" s="1"/>
  <c r="EJ131" i="3"/>
  <c r="EL72" i="3" s="1"/>
  <c r="EM134" i="3"/>
  <c r="ER75" i="3" s="1"/>
  <c r="EJ134" i="3"/>
  <c r="EL75" i="3" s="1"/>
  <c r="AY265" i="3"/>
  <c r="EM148" i="3"/>
  <c r="ER89" i="3" s="1"/>
  <c r="EJ148" i="3"/>
  <c r="EL89" i="3" s="1"/>
  <c r="D266" i="3"/>
  <c r="EI149" i="3"/>
  <c r="EK90" i="3" s="1"/>
  <c r="AY267" i="3"/>
  <c r="EJ150" i="3"/>
  <c r="EL91" i="3" s="1"/>
  <c r="EJ153" i="3"/>
  <c r="EL94" i="3" s="1"/>
  <c r="EM157" i="3"/>
  <c r="ER98" i="3" s="1"/>
  <c r="EJ157" i="3"/>
  <c r="EL98" i="3" s="1"/>
  <c r="BA275" i="3"/>
  <c r="EM158" i="3"/>
  <c r="ER99" i="3" s="1"/>
  <c r="EJ158" i="3"/>
  <c r="EL99" i="3" s="1"/>
  <c r="AM279" i="3"/>
  <c r="EP279" i="3" s="1"/>
  <c r="EM162" i="3"/>
  <c r="ER103" i="3" s="1"/>
  <c r="EJ162" i="3"/>
  <c r="EL103" i="3" s="1"/>
  <c r="J283" i="3"/>
  <c r="EI166" i="3"/>
  <c r="EK107" i="3" s="1"/>
  <c r="AX287" i="3"/>
  <c r="EL170" i="3"/>
  <c r="EQ111" i="3" s="1"/>
  <c r="BA288" i="3"/>
  <c r="EM171" i="3"/>
  <c r="ER112" i="3" s="1"/>
  <c r="EJ171" i="3"/>
  <c r="BA289" i="3"/>
  <c r="EJ172" i="3"/>
  <c r="EL113" i="3" s="1"/>
  <c r="EM172" i="3"/>
  <c r="ER113" i="3" s="1"/>
  <c r="BA290" i="3"/>
  <c r="EJ173" i="3"/>
  <c r="EL114" i="3" s="1"/>
  <c r="BA291" i="3"/>
  <c r="EJ174" i="3"/>
  <c r="EL115" i="3" s="1"/>
  <c r="EM174" i="3"/>
  <c r="ER115" i="3" s="1"/>
  <c r="EP126" i="3"/>
  <c r="EX67" i="3" s="1"/>
  <c r="EL135" i="3"/>
  <c r="EQ76" i="3" s="1"/>
  <c r="EJ156" i="3"/>
  <c r="EL97" i="3" s="1"/>
  <c r="EJ160" i="3"/>
  <c r="EL101" i="3" s="1"/>
  <c r="AY257" i="3"/>
  <c r="EP257" i="3" s="1"/>
  <c r="AZ281" i="3"/>
  <c r="EO281" i="3" s="1"/>
  <c r="AO286" i="3"/>
  <c r="AT287" i="3"/>
  <c r="EY99" i="3"/>
  <c r="EY104" i="3"/>
  <c r="AZ142" i="3"/>
  <c r="EL142" i="3" s="1"/>
  <c r="EQ83" i="3" s="1"/>
  <c r="EL161" i="3"/>
  <c r="EQ102" i="3" s="1"/>
  <c r="AD242" i="3"/>
  <c r="AP247" i="3"/>
  <c r="T248" i="3"/>
  <c r="EN249" i="3"/>
  <c r="AH251" i="3"/>
  <c r="EL251" i="3" s="1"/>
  <c r="EN270" i="3"/>
  <c r="BA273" i="3"/>
  <c r="EN274" i="3"/>
  <c r="G279" i="3"/>
  <c r="D282" i="3"/>
  <c r="AU282" i="3"/>
  <c r="EY69" i="3"/>
  <c r="EY73" i="3"/>
  <c r="EP82" i="3"/>
  <c r="ES82" i="3" s="1"/>
  <c r="EY102" i="3"/>
  <c r="EY113" i="3"/>
  <c r="EI123" i="3"/>
  <c r="EK64" i="3" s="1"/>
  <c r="EP130" i="3"/>
  <c r="EX71" i="3" s="1"/>
  <c r="EI146" i="3"/>
  <c r="EK87" i="3" s="1"/>
  <c r="EJ147" i="3"/>
  <c r="EL88" i="3" s="1"/>
  <c r="EL151" i="3"/>
  <c r="EQ92" i="3" s="1"/>
  <c r="EJ152" i="3"/>
  <c r="EL93" i="3" s="1"/>
  <c r="EM156" i="3"/>
  <c r="EM159" i="3"/>
  <c r="ER100" i="3" s="1"/>
  <c r="EM160" i="3"/>
  <c r="ER101" i="3" s="1"/>
  <c r="EM163" i="3"/>
  <c r="ER104" i="3" s="1"/>
  <c r="EO168" i="3"/>
  <c r="EW109" i="3" s="1"/>
  <c r="EH200" i="3"/>
  <c r="EI202" i="3"/>
  <c r="AJ239" i="3"/>
  <c r="AB241" i="3"/>
  <c r="AW241" i="3"/>
  <c r="S242" i="3"/>
  <c r="EK245" i="3"/>
  <c r="AG247" i="3"/>
  <c r="EM247" i="3" s="1"/>
  <c r="EK249" i="3"/>
  <c r="V250" i="3"/>
  <c r="EN250" i="3"/>
  <c r="AX251" i="3"/>
  <c r="EN254" i="3"/>
  <c r="EK256" i="3"/>
  <c r="EH258" i="3"/>
  <c r="M261" i="3"/>
  <c r="EJ261" i="3" s="1"/>
  <c r="N265" i="3"/>
  <c r="U265" i="3"/>
  <c r="L266" i="3"/>
  <c r="EK267" i="3"/>
  <c r="EK268" i="3"/>
  <c r="EK270" i="3"/>
  <c r="EJ271" i="3"/>
  <c r="EK271" i="3"/>
  <c r="EP272" i="3"/>
  <c r="EK272" i="3"/>
  <c r="EN273" i="3"/>
  <c r="EK274" i="3"/>
  <c r="EN275" i="3"/>
  <c r="N277" i="3"/>
  <c r="F278" i="3"/>
  <c r="EN281" i="3"/>
  <c r="AM282" i="3"/>
  <c r="E283" i="3"/>
  <c r="EN283" i="3"/>
  <c r="O285" i="3"/>
  <c r="X285" i="3"/>
  <c r="V286" i="3"/>
  <c r="N287" i="3"/>
  <c r="P288" i="3"/>
  <c r="AE288" i="3"/>
  <c r="AN288" i="3"/>
  <c r="W289" i="3"/>
  <c r="AE289" i="3"/>
  <c r="AM289" i="3"/>
  <c r="BC289" i="3"/>
  <c r="AE290" i="3"/>
  <c r="AG291" i="3"/>
  <c r="AM291" i="3"/>
  <c r="BC291" i="3"/>
  <c r="EJ84" i="3"/>
  <c r="EM84" i="3" s="1"/>
  <c r="EP84" i="3"/>
  <c r="ES84" i="3" s="1"/>
  <c r="BC241" i="3"/>
  <c r="EM124" i="3"/>
  <c r="ER65" i="3" s="1"/>
  <c r="AH247" i="3"/>
  <c r="EI130" i="3"/>
  <c r="EK71" i="3" s="1"/>
  <c r="AZ247" i="3"/>
  <c r="EL130" i="3"/>
  <c r="EQ71" i="3" s="1"/>
  <c r="AY249" i="3"/>
  <c r="EP249" i="3" s="1"/>
  <c r="EJ132" i="3"/>
  <c r="EL73" i="3" s="1"/>
  <c r="EM132" i="3"/>
  <c r="ER73" i="3" s="1"/>
  <c r="AP252" i="3"/>
  <c r="EI135" i="3"/>
  <c r="EK76" i="3" s="1"/>
  <c r="EM145" i="3"/>
  <c r="ER86" i="3" s="1"/>
  <c r="D272" i="3"/>
  <c r="EI155" i="3"/>
  <c r="EK96" i="3" s="1"/>
  <c r="EJ159" i="3"/>
  <c r="EL100" i="3" s="1"/>
  <c r="EM161" i="3"/>
  <c r="ER102" i="3" s="1"/>
  <c r="EJ161" i="3"/>
  <c r="AX286" i="3"/>
  <c r="EL169" i="3"/>
  <c r="EQ110" i="3" s="1"/>
  <c r="EI169" i="3"/>
  <c r="EK110" i="3" s="1"/>
  <c r="EO170" i="3"/>
  <c r="EW111" i="3" s="1"/>
  <c r="EI170" i="3"/>
  <c r="EK111" i="3" s="1"/>
  <c r="L233" i="3"/>
  <c r="L294" i="3" s="1"/>
  <c r="EG199" i="3"/>
  <c r="EV83" i="3"/>
  <c r="EJ83" i="3"/>
  <c r="BB241" i="3"/>
  <c r="EL124" i="3"/>
  <c r="EQ65" i="3" s="1"/>
  <c r="BB244" i="3"/>
  <c r="EL127" i="3"/>
  <c r="EQ68" i="3" s="1"/>
  <c r="AX249" i="3"/>
  <c r="EO249" i="3" s="1"/>
  <c r="EL132" i="3"/>
  <c r="EQ73" i="3" s="1"/>
  <c r="AZ250" i="3"/>
  <c r="EL133" i="3"/>
  <c r="EQ74" i="3" s="1"/>
  <c r="AZ254" i="3"/>
  <c r="EO254" i="3" s="1"/>
  <c r="EL137" i="3"/>
  <c r="EQ78" i="3" s="1"/>
  <c r="AX269" i="3"/>
  <c r="EI152" i="3"/>
  <c r="EK93" i="3" s="1"/>
  <c r="Y285" i="3"/>
  <c r="EJ168" i="3"/>
  <c r="EL109" i="3" s="1"/>
  <c r="AY287" i="3"/>
  <c r="EJ170" i="3"/>
  <c r="EL111" i="3" s="1"/>
  <c r="EM170" i="3"/>
  <c r="ER111" i="3" s="1"/>
  <c r="L140" i="3"/>
  <c r="EO140" i="3" s="1"/>
  <c r="EW81" i="3" s="1"/>
  <c r="EJ81" i="3"/>
  <c r="EM81" i="3" s="1"/>
  <c r="M141" i="3"/>
  <c r="EP141" i="3" s="1"/>
  <c r="EX82" i="3" s="1"/>
  <c r="EJ82" i="3"/>
  <c r="EM82" i="3" s="1"/>
  <c r="BA240" i="3"/>
  <c r="EJ123" i="3"/>
  <c r="EL64" i="3" s="1"/>
  <c r="BA242" i="3"/>
  <c r="EJ125" i="3"/>
  <c r="EL66" i="3" s="1"/>
  <c r="H243" i="3"/>
  <c r="EI126" i="3"/>
  <c r="BB243" i="3"/>
  <c r="EO243" i="3" s="1"/>
  <c r="EL126" i="3"/>
  <c r="EQ67" i="3" s="1"/>
  <c r="BE245" i="3"/>
  <c r="EM128" i="3"/>
  <c r="ER69" i="3" s="1"/>
  <c r="EM130" i="3"/>
  <c r="ER71" i="3" s="1"/>
  <c r="EJ130" i="3"/>
  <c r="EL71" i="3" s="1"/>
  <c r="AZ251" i="3"/>
  <c r="EL134" i="3"/>
  <c r="EQ75" i="3" s="1"/>
  <c r="EM135" i="3"/>
  <c r="ER76" i="3" s="1"/>
  <c r="EJ135" i="3"/>
  <c r="EL76" i="3" s="1"/>
  <c r="EM136" i="3"/>
  <c r="ER77" i="3" s="1"/>
  <c r="EJ136" i="3"/>
  <c r="EL77" i="3" s="1"/>
  <c r="EM144" i="3"/>
  <c r="ER85" i="3" s="1"/>
  <c r="EM146" i="3"/>
  <c r="ER87" i="3" s="1"/>
  <c r="EJ146" i="3"/>
  <c r="EL87" i="3" s="1"/>
  <c r="EI147" i="3"/>
  <c r="EK88" i="3" s="1"/>
  <c r="AX265" i="3"/>
  <c r="EL148" i="3"/>
  <c r="EQ89" i="3" s="1"/>
  <c r="AX267" i="3"/>
  <c r="EI150" i="3"/>
  <c r="EK91" i="3" s="1"/>
  <c r="AY268" i="3"/>
  <c r="EJ151" i="3"/>
  <c r="EL92" i="3" s="1"/>
  <c r="EI156" i="3"/>
  <c r="EK97" i="3" s="1"/>
  <c r="AZ275" i="3"/>
  <c r="EL158" i="3"/>
  <c r="EQ99" i="3" s="1"/>
  <c r="BB277" i="3"/>
  <c r="EL160" i="3"/>
  <c r="EQ101" i="3" s="1"/>
  <c r="EO163" i="3"/>
  <c r="EW104" i="3" s="1"/>
  <c r="EI163" i="3"/>
  <c r="EK104" i="3" s="1"/>
  <c r="BB280" i="3"/>
  <c r="EL163" i="3"/>
  <c r="EQ104" i="3" s="1"/>
  <c r="EM164" i="3"/>
  <c r="ER105" i="3" s="1"/>
  <c r="EJ164" i="3"/>
  <c r="EL105" i="3" s="1"/>
  <c r="EM166" i="3"/>
  <c r="ER107" i="3" s="1"/>
  <c r="EJ166" i="3"/>
  <c r="EL107" i="3" s="1"/>
  <c r="AY286" i="3"/>
  <c r="EM169" i="3"/>
  <c r="ER110" i="3" s="1"/>
  <c r="EJ169" i="3"/>
  <c r="EL110" i="3" s="1"/>
  <c r="EI171" i="3"/>
  <c r="EK112" i="3" s="1"/>
  <c r="EL171" i="3"/>
  <c r="EQ112" i="3" s="1"/>
  <c r="D289" i="3"/>
  <c r="EI172" i="3"/>
  <c r="EK113" i="3" s="1"/>
  <c r="AZ289" i="3"/>
  <c r="EL172" i="3"/>
  <c r="EQ113" i="3" s="1"/>
  <c r="D290" i="3"/>
  <c r="EI173" i="3"/>
  <c r="EK114" i="3" s="1"/>
  <c r="AZ291" i="3"/>
  <c r="EL174" i="3"/>
  <c r="EQ115" i="3" s="1"/>
  <c r="M256" i="3"/>
  <c r="EG197" i="3"/>
  <c r="AY258" i="3"/>
  <c r="EH199" i="3"/>
  <c r="EI201" i="3"/>
  <c r="EG201" i="3"/>
  <c r="EJ126" i="3"/>
  <c r="EL67" i="3" s="1"/>
  <c r="BA142" i="3"/>
  <c r="EM152" i="3"/>
  <c r="ER93" i="3" s="1"/>
  <c r="AE243" i="3"/>
  <c r="EP252" i="3"/>
  <c r="AW291" i="3"/>
  <c r="EY101" i="3"/>
  <c r="EM123" i="3"/>
  <c r="ER64" i="3" s="1"/>
  <c r="EM125" i="3"/>
  <c r="ER66" i="3" s="1"/>
  <c r="EJ128" i="3"/>
  <c r="EL69" i="3" s="1"/>
  <c r="AW240" i="3"/>
  <c r="W265" i="3"/>
  <c r="BC267" i="3"/>
  <c r="EN267" i="3"/>
  <c r="EN268" i="3"/>
  <c r="AU275" i="3"/>
  <c r="E285" i="3"/>
  <c r="W286" i="3"/>
  <c r="AO288" i="3"/>
  <c r="AO289" i="3"/>
  <c r="AW290" i="3"/>
  <c r="AV291" i="3"/>
  <c r="EY68" i="3"/>
  <c r="EY100" i="3"/>
  <c r="EY103" i="3"/>
  <c r="AY116" i="3"/>
  <c r="EI124" i="3"/>
  <c r="EK65" i="3" s="1"/>
  <c r="EI127" i="3"/>
  <c r="EK68" i="3" s="1"/>
  <c r="EL129" i="3"/>
  <c r="EQ70" i="3" s="1"/>
  <c r="EO130" i="3"/>
  <c r="EW71" i="3" s="1"/>
  <c r="EL131" i="3"/>
  <c r="EQ72" i="3" s="1"/>
  <c r="EI132" i="3"/>
  <c r="EK73" i="3" s="1"/>
  <c r="AY140" i="3"/>
  <c r="BC142" i="3"/>
  <c r="EO148" i="3"/>
  <c r="EW89" i="3" s="1"/>
  <c r="EM149" i="3"/>
  <c r="ER90" i="3" s="1"/>
  <c r="EJ155" i="3"/>
  <c r="EL96" i="3" s="1"/>
  <c r="EL156" i="3"/>
  <c r="EQ97" i="3" s="1"/>
  <c r="EI157" i="3"/>
  <c r="EK98" i="3" s="1"/>
  <c r="EL157" i="3"/>
  <c r="EQ98" i="3" s="1"/>
  <c r="EI158" i="3"/>
  <c r="EK99" i="3" s="1"/>
  <c r="EI159" i="3"/>
  <c r="EK100" i="3" s="1"/>
  <c r="EL159" i="3"/>
  <c r="EQ100" i="3" s="1"/>
  <c r="EI160" i="3"/>
  <c r="EK101" i="3" s="1"/>
  <c r="EI161" i="3"/>
  <c r="EK102" i="3" s="1"/>
  <c r="EP164" i="3"/>
  <c r="EX105" i="3" s="1"/>
  <c r="EI167" i="3"/>
  <c r="EK108" i="3" s="1"/>
  <c r="EP170" i="3"/>
  <c r="EX111" i="3" s="1"/>
  <c r="EG200" i="3"/>
  <c r="EN239" i="3"/>
  <c r="BD240" i="3"/>
  <c r="EN241" i="3"/>
  <c r="EK243" i="3"/>
  <c r="AI246" i="3"/>
  <c r="BA246" i="3"/>
  <c r="AF247" i="3"/>
  <c r="AZ248" i="3"/>
  <c r="AH252" i="3"/>
  <c r="EL252" i="3" s="1"/>
  <c r="AZ252" i="3"/>
  <c r="EK252" i="3"/>
  <c r="EK253" i="3"/>
  <c r="EH254" i="3"/>
  <c r="EN260" i="3"/>
  <c r="W263" i="3"/>
  <c r="AY264" i="3"/>
  <c r="EP264" i="3" s="1"/>
  <c r="F265" i="3"/>
  <c r="T265" i="3"/>
  <c r="F266" i="3"/>
  <c r="L267" i="3"/>
  <c r="M269" i="3"/>
  <c r="BC269" i="3"/>
  <c r="L270" i="3"/>
  <c r="EL270" i="3" s="1"/>
  <c r="EI271" i="3"/>
  <c r="EO272" i="3"/>
  <c r="EK273" i="3"/>
  <c r="W275" i="3"/>
  <c r="EK275" i="3"/>
  <c r="EN276" i="3"/>
  <c r="EN277" i="3"/>
  <c r="EN278" i="3"/>
  <c r="EN279" i="3"/>
  <c r="BC280" i="3"/>
  <c r="O281" i="3"/>
  <c r="BA281" i="3"/>
  <c r="EP281" i="3" s="1"/>
  <c r="EK281" i="3"/>
  <c r="AL282" i="3"/>
  <c r="D283" i="3"/>
  <c r="EK283" i="3"/>
  <c r="L284" i="3"/>
  <c r="EO284" i="3"/>
  <c r="W285" i="3"/>
  <c r="P286" i="3"/>
  <c r="F287" i="3"/>
  <c r="AU287" i="3"/>
  <c r="BC288" i="3"/>
  <c r="AH289" i="3"/>
  <c r="AH290" i="3"/>
  <c r="AF291" i="3"/>
  <c r="J17" i="6"/>
  <c r="J21" i="6" s="1"/>
  <c r="G17" i="6"/>
  <c r="M17" i="6"/>
  <c r="M21" i="6" s="1"/>
  <c r="E17" i="6"/>
  <c r="J34" i="6" s="1"/>
  <c r="AF242" i="3"/>
  <c r="Z242" i="3"/>
  <c r="AE267" i="3"/>
  <c r="AY277" i="3"/>
  <c r="AX308" i="3"/>
  <c r="AY308" i="3"/>
  <c r="AZ308" i="3"/>
  <c r="BA308" i="3"/>
  <c r="F239" i="3"/>
  <c r="AM242" i="3"/>
  <c r="AM241" i="3"/>
  <c r="AM240" i="3"/>
  <c r="BE240" i="3"/>
  <c r="R242" i="3"/>
  <c r="R241" i="3"/>
  <c r="BC242" i="3"/>
  <c r="AN244" i="3"/>
  <c r="BA253" i="3"/>
  <c r="EJ253" i="3" s="1"/>
  <c r="Q272" i="3"/>
  <c r="S268" i="3"/>
  <c r="S267" i="3"/>
  <c r="EP155" i="3"/>
  <c r="EX96" i="3" s="1"/>
  <c r="ER96" i="3"/>
  <c r="EO164" i="3"/>
  <c r="EW105" i="3" s="1"/>
  <c r="F281" i="3"/>
  <c r="F280" i="3"/>
  <c r="EK105" i="3"/>
  <c r="I285" i="3"/>
  <c r="Q284" i="3"/>
  <c r="G284" i="3"/>
  <c r="EP167" i="3"/>
  <c r="EX108" i="3" s="1"/>
  <c r="EK255" i="3"/>
  <c r="EN255" i="3"/>
  <c r="EH255" i="3"/>
  <c r="EK287" i="3"/>
  <c r="EN287" i="3"/>
  <c r="AQ240" i="3"/>
  <c r="AQ241" i="3"/>
  <c r="K245" i="3"/>
  <c r="EP128" i="3"/>
  <c r="EX69" i="3" s="1"/>
  <c r="BA245" i="3"/>
  <c r="AI250" i="3"/>
  <c r="AI251" i="3"/>
  <c r="EP133" i="3"/>
  <c r="EX74" i="3" s="1"/>
  <c r="BA250" i="3"/>
  <c r="AZ253" i="3"/>
  <c r="U264" i="3"/>
  <c r="E264" i="3"/>
  <c r="G264" i="3"/>
  <c r="I264" i="3"/>
  <c r="K264" i="3"/>
  <c r="AW266" i="3"/>
  <c r="AY266" i="3"/>
  <c r="I273" i="3"/>
  <c r="E273" i="3"/>
  <c r="M273" i="3"/>
  <c r="H275" i="3"/>
  <c r="J275" i="3"/>
  <c r="L275" i="3"/>
  <c r="Q276" i="3"/>
  <c r="O275" i="3"/>
  <c r="O276" i="3"/>
  <c r="AO276" i="3"/>
  <c r="AO275" i="3"/>
  <c r="AO273" i="3"/>
  <c r="AG278" i="3"/>
  <c r="AI278" i="3"/>
  <c r="AK278" i="3"/>
  <c r="EP173" i="3"/>
  <c r="EX114" i="3" s="1"/>
  <c r="G290" i="3"/>
  <c r="BC290" i="3"/>
  <c r="EK244" i="3"/>
  <c r="EN244" i="3"/>
  <c r="EH284" i="3"/>
  <c r="EK284" i="3"/>
  <c r="EK290" i="3"/>
  <c r="EN290" i="3"/>
  <c r="EP143" i="3"/>
  <c r="EX84" i="3" s="1"/>
  <c r="AU265" i="3"/>
  <c r="EM66" i="3"/>
  <c r="ES70" i="3"/>
  <c r="EY72" i="3"/>
  <c r="EM90" i="3"/>
  <c r="EY107" i="3"/>
  <c r="EY112" i="3"/>
  <c r="AZ140" i="3"/>
  <c r="EO147" i="3"/>
  <c r="EW88" i="3" s="1"/>
  <c r="EO161" i="3"/>
  <c r="EW102" i="3" s="1"/>
  <c r="AN240" i="3"/>
  <c r="AR241" i="3"/>
  <c r="AO244" i="3"/>
  <c r="EM252" i="3"/>
  <c r="AR296" i="3"/>
  <c r="EL260" i="3"/>
  <c r="H264" i="3"/>
  <c r="AU288" i="3"/>
  <c r="P291" i="3"/>
  <c r="EM67" i="3"/>
  <c r="ES71" i="3"/>
  <c r="EM75" i="3"/>
  <c r="L141" i="3"/>
  <c r="AH240" i="3"/>
  <c r="AA241" i="3"/>
  <c r="AM245" i="3"/>
  <c r="BC276" i="3"/>
  <c r="G285" i="3"/>
  <c r="H290" i="3"/>
  <c r="BA140" i="3"/>
  <c r="BA116" i="3"/>
  <c r="EQ80" i="3"/>
  <c r="AA275" i="3"/>
  <c r="AC274" i="3"/>
  <c r="AV283" i="3"/>
  <c r="EQ108" i="3"/>
  <c r="EM260" i="3"/>
  <c r="K246" i="3"/>
  <c r="EP129" i="3"/>
  <c r="EX70" i="3" s="1"/>
  <c r="J246" i="3"/>
  <c r="J248" i="3"/>
  <c r="U273" i="3"/>
  <c r="U275" i="3"/>
  <c r="ER97" i="3"/>
  <c r="I276" i="3"/>
  <c r="K276" i="3"/>
  <c r="M276" i="3"/>
  <c r="M144" i="3"/>
  <c r="EP144" i="3" s="1"/>
  <c r="EX85" i="3" s="1"/>
  <c r="EM85" i="3"/>
  <c r="G240" i="3"/>
  <c r="EP123" i="3"/>
  <c r="EX64" i="3" s="1"/>
  <c r="AC241" i="3"/>
  <c r="AC240" i="3"/>
  <c r="F241" i="3"/>
  <c r="G242" i="3"/>
  <c r="EP125" i="3"/>
  <c r="EX66" i="3" s="1"/>
  <c r="AY240" i="3"/>
  <c r="AY239" i="3"/>
  <c r="EO143" i="3"/>
  <c r="EW84" i="3" s="1"/>
  <c r="AZ269" i="3"/>
  <c r="AZ270" i="3"/>
  <c r="F268" i="3"/>
  <c r="EO156" i="3"/>
  <c r="EW97" i="3" s="1"/>
  <c r="T273" i="3"/>
  <c r="T275" i="3"/>
  <c r="AJ273" i="3"/>
  <c r="H274" i="3"/>
  <c r="L274" i="3"/>
  <c r="H276" i="3"/>
  <c r="J276" i="3"/>
  <c r="EO159" i="3"/>
  <c r="EW100" i="3" s="1"/>
  <c r="AR287" i="3"/>
  <c r="AR286" i="3"/>
  <c r="AR285" i="3"/>
  <c r="EO285" i="3" s="1"/>
  <c r="AB290" i="3"/>
  <c r="AB289" i="3"/>
  <c r="AX288" i="3"/>
  <c r="M259" i="3"/>
  <c r="EI200" i="3"/>
  <c r="EH247" i="3"/>
  <c r="EK247" i="3"/>
  <c r="EN247" i="3"/>
  <c r="EK264" i="3"/>
  <c r="EN264" i="3"/>
  <c r="EH264" i="3"/>
  <c r="EK286" i="3"/>
  <c r="EN286" i="3"/>
  <c r="EP157" i="3"/>
  <c r="EX98" i="3" s="1"/>
  <c r="BA248" i="3"/>
  <c r="AE268" i="3"/>
  <c r="EY64" i="3"/>
  <c r="AY143" i="3"/>
  <c r="BC245" i="3"/>
  <c r="O279" i="3"/>
  <c r="ES77" i="3"/>
  <c r="EK67" i="3"/>
  <c r="AX143" i="3"/>
  <c r="S239" i="3"/>
  <c r="EM239" i="3" s="1"/>
  <c r="AW239" i="3"/>
  <c r="AV240" i="3"/>
  <c r="AC246" i="3"/>
  <c r="AW251" i="3"/>
  <c r="EL261" i="3"/>
  <c r="BC268" i="3"/>
  <c r="BA270" i="3"/>
  <c r="EP270" i="3" s="1"/>
  <c r="O277" i="3"/>
  <c r="O278" i="3"/>
  <c r="X275" i="3"/>
  <c r="P275" i="3"/>
  <c r="R275" i="3"/>
  <c r="U246" i="3"/>
  <c r="U244" i="3"/>
  <c r="U243" i="3"/>
  <c r="J245" i="3"/>
  <c r="AR245" i="3"/>
  <c r="AL245" i="3"/>
  <c r="BA251" i="3"/>
  <c r="AG275" i="3"/>
  <c r="AI275" i="3"/>
  <c r="G241" i="3"/>
  <c r="EP124" i="3"/>
  <c r="EX65" i="3" s="1"/>
  <c r="T246" i="3"/>
  <c r="T244" i="3"/>
  <c r="T245" i="3"/>
  <c r="T243" i="3"/>
  <c r="AX246" i="3"/>
  <c r="BA269" i="3"/>
  <c r="I274" i="3"/>
  <c r="G277" i="3"/>
  <c r="EP160" i="3"/>
  <c r="EX101" i="3" s="1"/>
  <c r="F240" i="3"/>
  <c r="EO123" i="3"/>
  <c r="EW64" i="3" s="1"/>
  <c r="EO125" i="3"/>
  <c r="EW66" i="3" s="1"/>
  <c r="AX242" i="3"/>
  <c r="AX239" i="3"/>
  <c r="AX241" i="3"/>
  <c r="AX240" i="3"/>
  <c r="AF244" i="3"/>
  <c r="AH244" i="3"/>
  <c r="Z244" i="3"/>
  <c r="AF246" i="3"/>
  <c r="AH246" i="3"/>
  <c r="AS247" i="3"/>
  <c r="AS250" i="3"/>
  <c r="BA247" i="3"/>
  <c r="AG249" i="3"/>
  <c r="AI249" i="3"/>
  <c r="W249" i="3"/>
  <c r="EP132" i="3"/>
  <c r="EX73" i="3" s="1"/>
  <c r="AV252" i="3"/>
  <c r="Q265" i="3"/>
  <c r="I265" i="3"/>
  <c r="K265" i="3"/>
  <c r="E268" i="3"/>
  <c r="O265" i="3"/>
  <c r="E267" i="3"/>
  <c r="E265" i="3"/>
  <c r="S284" i="3"/>
  <c r="S283" i="3"/>
  <c r="S282" i="3"/>
  <c r="AG281" i="3"/>
  <c r="AE282" i="3"/>
  <c r="Q289" i="3"/>
  <c r="Q286" i="3"/>
  <c r="Y290" i="3"/>
  <c r="Y289" i="3"/>
  <c r="EK248" i="3"/>
  <c r="EN248" i="3"/>
  <c r="EH248" i="3"/>
  <c r="EP140" i="3"/>
  <c r="EX81" i="3" s="1"/>
  <c r="EM91" i="3"/>
  <c r="AB273" i="3"/>
  <c r="AD296" i="3" s="1"/>
  <c r="W283" i="3"/>
  <c r="ES97" i="3"/>
  <c r="EP148" i="3"/>
  <c r="EX89" i="3" s="1"/>
  <c r="EP162" i="3"/>
  <c r="EX103" i="3" s="1"/>
  <c r="EO172" i="3"/>
  <c r="EW113" i="3" s="1"/>
  <c r="C292" i="3"/>
  <c r="Z240" i="3"/>
  <c r="AB246" i="3"/>
  <c r="AS248" i="3"/>
  <c r="Q264" i="3"/>
  <c r="G265" i="3"/>
  <c r="U274" i="3"/>
  <c r="G282" i="3"/>
  <c r="O282" i="3"/>
  <c r="AP291" i="3"/>
  <c r="BA254" i="3"/>
  <c r="EP254" i="3" s="1"/>
  <c r="BD256" i="3"/>
  <c r="AU274" i="3"/>
  <c r="EP274" i="3" s="1"/>
  <c r="AR275" i="3"/>
  <c r="AT275" i="3"/>
  <c r="AG248" i="3"/>
  <c r="EM248" i="3" s="1"/>
  <c r="EP131" i="3"/>
  <c r="EX72" i="3" s="1"/>
  <c r="T264" i="3"/>
  <c r="D264" i="3"/>
  <c r="F264" i="3"/>
  <c r="J264" i="3"/>
  <c r="P264" i="3"/>
  <c r="AF278" i="3"/>
  <c r="AH278" i="3"/>
  <c r="AJ278" i="3"/>
  <c r="P282" i="3"/>
  <c r="EO165" i="3"/>
  <c r="EW106" i="3" s="1"/>
  <c r="EP171" i="3"/>
  <c r="EX112" i="3" s="1"/>
  <c r="G288" i="3"/>
  <c r="AK289" i="3"/>
  <c r="AK288" i="3"/>
  <c r="M258" i="3"/>
  <c r="EM258" i="3" s="1"/>
  <c r="EM271" i="3"/>
  <c r="BB140" i="3"/>
  <c r="BC140" i="3"/>
  <c r="BC116" i="3"/>
  <c r="AY141" i="3"/>
  <c r="EV86" i="3"/>
  <c r="EY86" i="3" s="1"/>
  <c r="M244" i="3"/>
  <c r="EP127" i="3"/>
  <c r="EX68" i="3" s="1"/>
  <c r="BC244" i="3"/>
  <c r="AH245" i="3"/>
  <c r="Z245" i="3"/>
  <c r="AF245" i="3"/>
  <c r="AF249" i="3"/>
  <c r="AH249" i="3"/>
  <c r="V249" i="3"/>
  <c r="EO132" i="3"/>
  <c r="EW73" i="3" s="1"/>
  <c r="AV250" i="3"/>
  <c r="AV251" i="3"/>
  <c r="BE256" i="3"/>
  <c r="EP256" i="3" s="1"/>
  <c r="P263" i="3"/>
  <c r="H263" i="3"/>
  <c r="F263" i="3"/>
  <c r="V263" i="3"/>
  <c r="AZ274" i="3"/>
  <c r="EO274" i="3" s="1"/>
  <c r="Q275" i="3"/>
  <c r="S275" i="3"/>
  <c r="D275" i="3"/>
  <c r="D274" i="3"/>
  <c r="EO160" i="3"/>
  <c r="EW101" i="3" s="1"/>
  <c r="AF277" i="3"/>
  <c r="BB278" i="3"/>
  <c r="R284" i="3"/>
  <c r="R283" i="3"/>
  <c r="R282" i="3"/>
  <c r="AF281" i="3"/>
  <c r="AD281" i="3"/>
  <c r="D291" i="3"/>
  <c r="EO174" i="3"/>
  <c r="EW115" i="3" s="1"/>
  <c r="EK291" i="3"/>
  <c r="EH291" i="3"/>
  <c r="EN291" i="3"/>
  <c r="EV82" i="3"/>
  <c r="EY82" i="3" s="1"/>
  <c r="EY98" i="3"/>
  <c r="EY111" i="3"/>
  <c r="EO126" i="3"/>
  <c r="EW67" i="3" s="1"/>
  <c r="EO129" i="3"/>
  <c r="EW70" i="3" s="1"/>
  <c r="EL262" i="3"/>
  <c r="AR273" i="3"/>
  <c r="M274" i="3"/>
  <c r="EY71" i="3"/>
  <c r="EM88" i="3"/>
  <c r="ES98" i="3"/>
  <c r="EM105" i="3"/>
  <c r="EO122" i="3"/>
  <c r="EW63" i="3" s="1"/>
  <c r="EO124" i="3"/>
  <c r="EW65" i="3" s="1"/>
  <c r="L144" i="3"/>
  <c r="EI144" i="3" s="1"/>
  <c r="EO157" i="3"/>
  <c r="EW98" i="3" s="1"/>
  <c r="B292" i="3"/>
  <c r="AY241" i="3"/>
  <c r="W243" i="3"/>
  <c r="BA243" i="3"/>
  <c r="EP243" i="3" s="1"/>
  <c r="W250" i="3"/>
  <c r="AK273" i="3"/>
  <c r="T274" i="3"/>
  <c r="AU277" i="3"/>
  <c r="N281" i="3"/>
  <c r="F282" i="3"/>
  <c r="N282" i="3"/>
  <c r="G283" i="3"/>
  <c r="G287" i="3"/>
  <c r="Q287" i="3"/>
  <c r="R290" i="3"/>
  <c r="AI240" i="3"/>
  <c r="AA240" i="3"/>
  <c r="AR247" i="3"/>
  <c r="AR250" i="3"/>
  <c r="AL247" i="3"/>
  <c r="P265" i="3"/>
  <c r="H265" i="3"/>
  <c r="J265" i="3"/>
  <c r="H273" i="3"/>
  <c r="I275" i="3"/>
  <c r="K275" i="3"/>
  <c r="AN276" i="3"/>
  <c r="AN275" i="3"/>
  <c r="AN273" i="3"/>
  <c r="AG277" i="3"/>
  <c r="EP163" i="3"/>
  <c r="EX104" i="3" s="1"/>
  <c r="P284" i="3"/>
  <c r="AS287" i="3"/>
  <c r="AS286" i="3"/>
  <c r="AS285" i="3"/>
  <c r="EP285" i="3" s="1"/>
  <c r="BA259" i="3"/>
  <c r="EP259" i="3" s="1"/>
  <c r="L289" i="3"/>
  <c r="EI230" i="3"/>
  <c r="M289" i="3"/>
  <c r="EK262" i="3"/>
  <c r="EN262" i="3"/>
  <c r="EP122" i="3"/>
  <c r="EX63" i="3" s="1"/>
  <c r="EO137" i="3"/>
  <c r="EW78" i="3" s="1"/>
  <c r="EL102" i="3"/>
  <c r="R239" i="3"/>
  <c r="AS242" i="3"/>
  <c r="EL257" i="3"/>
  <c r="EL259" i="3"/>
  <c r="L265" i="3"/>
  <c r="V265" i="3"/>
  <c r="AT265" i="3"/>
  <c r="AD268" i="3"/>
  <c r="M270" i="3"/>
  <c r="L272" i="3"/>
  <c r="AC273" i="3"/>
  <c r="T276" i="3"/>
  <c r="BB276" i="3"/>
  <c r="BC277" i="3"/>
  <c r="N278" i="3"/>
  <c r="AT282" i="3"/>
  <c r="V284" i="3"/>
  <c r="H285" i="3"/>
  <c r="EN285" i="3"/>
  <c r="AN289" i="3"/>
  <c r="AL241" i="3"/>
  <c r="AL240" i="3"/>
  <c r="AG243" i="3"/>
  <c r="AI243" i="3"/>
  <c r="AA243" i="3"/>
  <c r="AQ247" i="3"/>
  <c r="AQ245" i="3"/>
  <c r="AD248" i="3"/>
  <c r="AF248" i="3"/>
  <c r="AV266" i="3"/>
  <c r="AX296" i="3" s="1"/>
  <c r="AX266" i="3"/>
  <c r="P272" i="3"/>
  <c r="R268" i="3"/>
  <c r="R267" i="3"/>
  <c r="Q274" i="3"/>
  <c r="Q273" i="3"/>
  <c r="Z275" i="3"/>
  <c r="AB296" i="3" s="1"/>
  <c r="AZ288" i="3"/>
  <c r="BB288" i="3"/>
  <c r="M142" i="3"/>
  <c r="EP142" i="3" s="1"/>
  <c r="EX83" i="3" s="1"/>
  <c r="EP165" i="3"/>
  <c r="EX106" i="3" s="1"/>
  <c r="EP172" i="3"/>
  <c r="EX113" i="3" s="1"/>
  <c r="V243" i="3"/>
  <c r="AR248" i="3"/>
  <c r="EL258" i="3"/>
  <c r="E274" i="3"/>
  <c r="AU278" i="3"/>
  <c r="BC278" i="3"/>
  <c r="N279" i="3"/>
  <c r="G280" i="3"/>
  <c r="E282" i="3"/>
  <c r="AN286" i="3"/>
  <c r="X288" i="3"/>
  <c r="AW289" i="3"/>
  <c r="AV290" i="3"/>
  <c r="AU291" i="3"/>
  <c r="AK239" i="3"/>
  <c r="AK240" i="3"/>
  <c r="Q243" i="3"/>
  <c r="Q242" i="3"/>
  <c r="AH243" i="3"/>
  <c r="Z243" i="3"/>
  <c r="AS244" i="3"/>
  <c r="AM244" i="3"/>
  <c r="S266" i="3"/>
  <c r="K266" i="3"/>
  <c r="I272" i="3"/>
  <c r="K269" i="3"/>
  <c r="K268" i="3"/>
  <c r="K267" i="3"/>
  <c r="P274" i="3"/>
  <c r="P273" i="3"/>
  <c r="AG280" i="3"/>
  <c r="AI282" i="3"/>
  <c r="AI280" i="3"/>
  <c r="U288" i="3"/>
  <c r="U287" i="3"/>
  <c r="U286" i="3"/>
  <c r="AY260" i="3"/>
  <c r="EP260" i="3" s="1"/>
  <c r="EK240" i="3"/>
  <c r="EK259" i="3"/>
  <c r="EN259" i="3"/>
  <c r="EO127" i="3"/>
  <c r="EW68" i="3" s="1"/>
  <c r="EO131" i="3"/>
  <c r="EW72" i="3" s="1"/>
  <c r="EO133" i="3"/>
  <c r="EW74" i="3" s="1"/>
  <c r="M139" i="3"/>
  <c r="EP139" i="3" s="1"/>
  <c r="EX80" i="3" s="1"/>
  <c r="BC141" i="3"/>
  <c r="L142" i="3"/>
  <c r="EO155" i="3"/>
  <c r="EW96" i="3" s="1"/>
  <c r="AZ233" i="3"/>
  <c r="AZ294" i="3" s="1"/>
  <c r="AP241" i="3"/>
  <c r="D265" i="3"/>
  <c r="D267" i="3"/>
  <c r="N276" i="3"/>
  <c r="AT278" i="3"/>
  <c r="AU283" i="3"/>
  <c r="F284" i="3"/>
  <c r="AH288" i="3"/>
  <c r="AG245" i="3"/>
  <c r="AI245" i="3"/>
  <c r="AA245" i="3"/>
  <c r="Q263" i="3"/>
  <c r="I263" i="3"/>
  <c r="R266" i="3"/>
  <c r="J266" i="3"/>
  <c r="H272" i="3"/>
  <c r="J269" i="3"/>
  <c r="J268" i="3"/>
  <c r="J267" i="3"/>
  <c r="S278" i="3"/>
  <c r="S277" i="3"/>
  <c r="AF280" i="3"/>
  <c r="AH282" i="3"/>
  <c r="AH280" i="3"/>
  <c r="T288" i="3"/>
  <c r="T287" i="3"/>
  <c r="T286" i="3"/>
  <c r="T285" i="3"/>
  <c r="AC290" i="3"/>
  <c r="AC289" i="3"/>
  <c r="AY289" i="3"/>
  <c r="AY288" i="3"/>
  <c r="E291" i="3"/>
  <c r="EP174" i="3"/>
  <c r="EX115" i="3" s="1"/>
  <c r="M262" i="3"/>
  <c r="EJ262" i="3" s="1"/>
  <c r="EI203" i="3"/>
  <c r="M116" i="3"/>
  <c r="EP158" i="3"/>
  <c r="EX99" i="3" s="1"/>
  <c r="EO162" i="3"/>
  <c r="EW103" i="3" s="1"/>
  <c r="EO166" i="3"/>
  <c r="EW107" i="3" s="1"/>
  <c r="AX233" i="3"/>
  <c r="AX294" i="3" s="1"/>
  <c r="AO241" i="3"/>
  <c r="AA242" i="3"/>
  <c r="AL242" i="3"/>
  <c r="P243" i="3"/>
  <c r="AF243" i="3"/>
  <c r="AS246" i="3"/>
  <c r="AY251" i="3"/>
  <c r="EN251" i="3"/>
  <c r="G266" i="3"/>
  <c r="M267" i="3"/>
  <c r="D273" i="3"/>
  <c r="AU280" i="3"/>
  <c r="AT283" i="3"/>
  <c r="EN289" i="3"/>
  <c r="EL112" i="3"/>
  <c r="K277" i="3"/>
  <c r="AY282" i="3"/>
  <c r="D285" i="3"/>
  <c r="E286" i="3"/>
  <c r="E287" i="3"/>
  <c r="M287" i="3"/>
  <c r="AL288" i="3"/>
  <c r="V289" i="3"/>
  <c r="AL289" i="3"/>
  <c r="BB289" i="3"/>
  <c r="V290" i="3"/>
  <c r="BB290" i="3"/>
  <c r="EO173" i="3"/>
  <c r="EW114" i="3" s="1"/>
  <c r="EH245" i="3"/>
  <c r="EH253" i="3"/>
  <c r="EH256" i="3"/>
  <c r="EH261" i="3"/>
  <c r="AH275" i="3"/>
  <c r="J277" i="3"/>
  <c r="R277" i="3"/>
  <c r="AX282" i="3"/>
  <c r="AA285" i="3"/>
  <c r="D286" i="3"/>
  <c r="D287" i="3"/>
  <c r="L287" i="3"/>
  <c r="AS288" i="3"/>
  <c r="E289" i="3"/>
  <c r="AW283" i="3"/>
  <c r="Y284" i="3"/>
  <c r="Z285" i="3"/>
  <c r="AJ288" i="3"/>
  <c r="AR288" i="3"/>
  <c r="AZ290" i="3"/>
  <c r="Q285" i="3"/>
  <c r="S290" i="3"/>
  <c r="L17" i="6"/>
  <c r="L21" i="6" s="1"/>
  <c r="H17" i="6"/>
  <c r="I17" i="6"/>
  <c r="F17" i="6"/>
  <c r="J35" i="6" s="1"/>
  <c r="K17" i="6"/>
  <c r="K21" i="6" s="1"/>
  <c r="EO242" i="3" l="1"/>
  <c r="EJ240" i="3"/>
  <c r="G340" i="7"/>
  <c r="C340" i="7"/>
  <c r="G283" i="7"/>
  <c r="EJ243" i="3"/>
  <c r="EI244" i="3"/>
  <c r="EJ244" i="3"/>
  <c r="EI241" i="3"/>
  <c r="EI243" i="3"/>
  <c r="EJ239" i="3"/>
  <c r="EI242" i="3"/>
  <c r="EJ241" i="3"/>
  <c r="EI240" i="3"/>
  <c r="EJ242" i="3"/>
  <c r="EI239" i="3"/>
  <c r="F340" i="7"/>
  <c r="D340" i="7"/>
  <c r="EP276" i="3"/>
  <c r="EP267" i="3"/>
  <c r="AL36" i="6"/>
  <c r="C283" i="7"/>
  <c r="BM300" i="3"/>
  <c r="G109" i="7"/>
  <c r="C49" i="7"/>
  <c r="C341" i="7" s="1"/>
  <c r="BH279" i="3"/>
  <c r="BL296" i="3" s="1"/>
  <c r="O358" i="7" s="1"/>
  <c r="F49" i="7"/>
  <c r="F341" i="7" s="1"/>
  <c r="G49" i="7"/>
  <c r="G341" i="7" s="1"/>
  <c r="D49" i="7"/>
  <c r="D341" i="7" s="1"/>
  <c r="BG292" i="3"/>
  <c r="BI242" i="3"/>
  <c r="BI292" i="3" s="1"/>
  <c r="BK292" i="3"/>
  <c r="BG300" i="3"/>
  <c r="C47" i="7"/>
  <c r="C339" i="7" s="1"/>
  <c r="G47" i="7"/>
  <c r="G339" i="7" s="1"/>
  <c r="D47" i="7"/>
  <c r="D339" i="7" s="1"/>
  <c r="AX298" i="3"/>
  <c r="ET262" i="3" s="1"/>
  <c r="EP275" i="3"/>
  <c r="E107" i="7"/>
  <c r="H107" i="7"/>
  <c r="D283" i="7"/>
  <c r="BF242" i="3"/>
  <c r="BF292" i="3" s="1"/>
  <c r="BF298" i="3"/>
  <c r="F47" i="7"/>
  <c r="F339" i="7" s="1"/>
  <c r="BP300" i="3"/>
  <c r="F283" i="7"/>
  <c r="F109" i="7"/>
  <c r="EO246" i="3"/>
  <c r="EO287" i="3"/>
  <c r="E48" i="7"/>
  <c r="H48" i="7"/>
  <c r="D109" i="7"/>
  <c r="C109" i="7"/>
  <c r="EP268" i="3"/>
  <c r="EM279" i="3"/>
  <c r="L264" i="3"/>
  <c r="EL264" i="3" s="1"/>
  <c r="EI279" i="3"/>
  <c r="EL278" i="3"/>
  <c r="EO276" i="3"/>
  <c r="EM261" i="3"/>
  <c r="EL247" i="3"/>
  <c r="EP280" i="3"/>
  <c r="EM262" i="3"/>
  <c r="EM269" i="3"/>
  <c r="EO248" i="3"/>
  <c r="BB298" i="3"/>
  <c r="ET264" i="3" s="1"/>
  <c r="EO240" i="3"/>
  <c r="EP286" i="3"/>
  <c r="AN296" i="3"/>
  <c r="ES257" i="3" s="1"/>
  <c r="EO267" i="3"/>
  <c r="EO270" i="3"/>
  <c r="AZ34" i="6"/>
  <c r="BD298" i="3"/>
  <c r="ET265" i="3" s="1"/>
  <c r="EJ281" i="3"/>
  <c r="M263" i="3"/>
  <c r="M300" i="3" s="1"/>
  <c r="EV243" i="3" s="1"/>
  <c r="EM272" i="3"/>
  <c r="EP290" i="3"/>
  <c r="EM141" i="3"/>
  <c r="ER82" i="3" s="1"/>
  <c r="EP248" i="3"/>
  <c r="EP269" i="3"/>
  <c r="EP145" i="3"/>
  <c r="EX86" i="3" s="1"/>
  <c r="EO244" i="3"/>
  <c r="EL242" i="3"/>
  <c r="EP241" i="3"/>
  <c r="EJ257" i="3"/>
  <c r="Y300" i="3"/>
  <c r="EV249" i="3" s="1"/>
  <c r="EO239" i="3"/>
  <c r="AZ296" i="3"/>
  <c r="ES263" i="3" s="1"/>
  <c r="AQ292" i="3"/>
  <c r="EP250" i="3"/>
  <c r="AQ300" i="3"/>
  <c r="EV258" i="3" s="1"/>
  <c r="EJ145" i="3"/>
  <c r="EL86" i="3" s="1"/>
  <c r="Z298" i="3"/>
  <c r="ET250" i="3" s="1"/>
  <c r="AF296" i="3"/>
  <c r="ES253" i="3" s="1"/>
  <c r="EL249" i="3"/>
  <c r="EJ249" i="3"/>
  <c r="EP247" i="3"/>
  <c r="AC300" i="3"/>
  <c r="EV251" i="3" s="1"/>
  <c r="EP242" i="3"/>
  <c r="EO277" i="3"/>
  <c r="EI286" i="3"/>
  <c r="F296" i="3"/>
  <c r="ES240" i="3" s="1"/>
  <c r="EJ266" i="3"/>
  <c r="EL248" i="3"/>
  <c r="EP277" i="3"/>
  <c r="EJ268" i="3"/>
  <c r="BB296" i="3"/>
  <c r="ES264" i="3" s="1"/>
  <c r="EI290" i="3"/>
  <c r="EI291" i="3"/>
  <c r="EO280" i="3"/>
  <c r="EI277" i="3"/>
  <c r="EI250" i="3"/>
  <c r="EJ139" i="3"/>
  <c r="EL80" i="3" s="1"/>
  <c r="EM290" i="3"/>
  <c r="EP283" i="3"/>
  <c r="EL287" i="3"/>
  <c r="EL277" i="3"/>
  <c r="EO289" i="3"/>
  <c r="EJ287" i="3"/>
  <c r="EI267" i="3"/>
  <c r="EO290" i="3"/>
  <c r="EO241" i="3"/>
  <c r="X298" i="3"/>
  <c r="ET249" i="3" s="1"/>
  <c r="AS292" i="3"/>
  <c r="EO275" i="3"/>
  <c r="EO247" i="3"/>
  <c r="EM250" i="3"/>
  <c r="EP251" i="3"/>
  <c r="EJ259" i="3"/>
  <c r="L263" i="3"/>
  <c r="EI263" i="3" s="1"/>
  <c r="EM281" i="3"/>
  <c r="EL250" i="3"/>
  <c r="EI281" i="3"/>
  <c r="EM83" i="3"/>
  <c r="EJ247" i="3"/>
  <c r="EJ260" i="3"/>
  <c r="AG292" i="3"/>
  <c r="EI275" i="3"/>
  <c r="EI283" i="3"/>
  <c r="EO283" i="3"/>
  <c r="EO250" i="3"/>
  <c r="EM249" i="3"/>
  <c r="AJ296" i="3"/>
  <c r="ES255" i="3" s="1"/>
  <c r="AT298" i="3"/>
  <c r="ET260" i="3" s="1"/>
  <c r="EI141" i="3"/>
  <c r="EK82" i="3" s="1"/>
  <c r="EJ272" i="3"/>
  <c r="Y292" i="3"/>
  <c r="EP246" i="3"/>
  <c r="EI285" i="3"/>
  <c r="EI272" i="3"/>
  <c r="AJ298" i="3"/>
  <c r="ET255" i="3" s="1"/>
  <c r="P296" i="3"/>
  <c r="ES245" i="3" s="1"/>
  <c r="EP244" i="3"/>
  <c r="EO286" i="3"/>
  <c r="EP287" i="3"/>
  <c r="AP296" i="3"/>
  <c r="ES258" i="3" s="1"/>
  <c r="EJ275" i="3"/>
  <c r="AA292" i="3"/>
  <c r="AM300" i="3"/>
  <c r="EV256" i="3" s="1"/>
  <c r="EL291" i="3"/>
  <c r="EJ141" i="3"/>
  <c r="EL82" i="3" s="1"/>
  <c r="AT296" i="3"/>
  <c r="ES260" i="3" s="1"/>
  <c r="EO245" i="3"/>
  <c r="EL290" i="3"/>
  <c r="EO145" i="3"/>
  <c r="EW86" i="3" s="1"/>
  <c r="EJ276" i="3"/>
  <c r="EJ284" i="3"/>
  <c r="EL283" i="3"/>
  <c r="EP258" i="3"/>
  <c r="EO291" i="3"/>
  <c r="EP291" i="3"/>
  <c r="EI254" i="3"/>
  <c r="H292" i="3"/>
  <c r="EI273" i="3"/>
  <c r="EL143" i="3"/>
  <c r="EQ84" i="3" s="1"/>
  <c r="EM280" i="3"/>
  <c r="EJ280" i="3"/>
  <c r="EI256" i="3"/>
  <c r="BF296" i="3"/>
  <c r="EO256" i="3"/>
  <c r="EM143" i="3"/>
  <c r="ER84" i="3" s="1"/>
  <c r="EJ143" i="3"/>
  <c r="EL84" i="3" s="1"/>
  <c r="EM142" i="3"/>
  <c r="ER83" i="3" s="1"/>
  <c r="EJ256" i="3"/>
  <c r="EM256" i="3"/>
  <c r="EI139" i="3"/>
  <c r="EK80" i="3" s="1"/>
  <c r="EO139" i="3"/>
  <c r="EW80" i="3" s="1"/>
  <c r="EI253" i="3"/>
  <c r="EO253" i="3"/>
  <c r="EL276" i="3"/>
  <c r="AI292" i="3"/>
  <c r="EL288" i="3"/>
  <c r="AK300" i="3"/>
  <c r="EV255" i="3" s="1"/>
  <c r="EI268" i="3"/>
  <c r="AH298" i="3"/>
  <c r="ET254" i="3" s="1"/>
  <c r="V298" i="3"/>
  <c r="ET248" i="3" s="1"/>
  <c r="AS300" i="3"/>
  <c r="EV259" i="3" s="1"/>
  <c r="EI287" i="3"/>
  <c r="EI249" i="3"/>
  <c r="EJ142" i="3"/>
  <c r="EL83" i="3" s="1"/>
  <c r="EO266" i="3"/>
  <c r="EP266" i="3"/>
  <c r="EP253" i="3"/>
  <c r="EJ291" i="3"/>
  <c r="EI269" i="3"/>
  <c r="EJ269" i="3"/>
  <c r="BC300" i="3"/>
  <c r="EV264" i="3" s="1"/>
  <c r="EJ270" i="3"/>
  <c r="O292" i="3"/>
  <c r="AD298" i="3"/>
  <c r="ET252" i="3" s="1"/>
  <c r="EO273" i="3"/>
  <c r="EM241" i="3"/>
  <c r="EI248" i="3"/>
  <c r="AE300" i="3"/>
  <c r="EV252" i="3" s="1"/>
  <c r="EI280" i="3"/>
  <c r="EI266" i="3"/>
  <c r="EP245" i="3"/>
  <c r="EI278" i="3"/>
  <c r="EJ254" i="3"/>
  <c r="AN298" i="3"/>
  <c r="ET257" i="3" s="1"/>
  <c r="O300" i="3"/>
  <c r="EV244" i="3" s="1"/>
  <c r="AF298" i="3"/>
  <c r="ET253" i="3" s="1"/>
  <c r="AO292" i="3"/>
  <c r="EL280" i="3"/>
  <c r="T296" i="3"/>
  <c r="ES247" i="3" s="1"/>
  <c r="AP292" i="3"/>
  <c r="Z292" i="3"/>
  <c r="EP240" i="3"/>
  <c r="EJ274" i="3"/>
  <c r="AR292" i="3"/>
  <c r="EL268" i="3"/>
  <c r="BD296" i="3"/>
  <c r="ES265" i="3" s="1"/>
  <c r="EL272" i="3"/>
  <c r="V292" i="3"/>
  <c r="N298" i="3"/>
  <c r="ET244" i="3" s="1"/>
  <c r="EI282" i="3"/>
  <c r="EJ288" i="3"/>
  <c r="AV296" i="3"/>
  <c r="ES261" i="3" s="1"/>
  <c r="EJ267" i="3"/>
  <c r="T292" i="3"/>
  <c r="EM278" i="3"/>
  <c r="EM259" i="3"/>
  <c r="AZ298" i="3"/>
  <c r="ET263" i="3" s="1"/>
  <c r="V296" i="3"/>
  <c r="ES248" i="3" s="1"/>
  <c r="AC292" i="3"/>
  <c r="W300" i="3"/>
  <c r="EV248" i="3" s="1"/>
  <c r="EJ246" i="3"/>
  <c r="J296" i="3"/>
  <c r="ES242" i="3" s="1"/>
  <c r="L298" i="3"/>
  <c r="ET243" i="3" s="1"/>
  <c r="EJ273" i="3"/>
  <c r="BA292" i="3"/>
  <c r="AG300" i="3"/>
  <c r="EV253" i="3" s="1"/>
  <c r="EI270" i="3"/>
  <c r="EJ248" i="3"/>
  <c r="EO252" i="3"/>
  <c r="EP282" i="3"/>
  <c r="EY83" i="3"/>
  <c r="EO251" i="3"/>
  <c r="EJ278" i="3"/>
  <c r="EM251" i="3"/>
  <c r="EJ251" i="3"/>
  <c r="EM277" i="3"/>
  <c r="EJ277" i="3"/>
  <c r="J292" i="3"/>
  <c r="EI245" i="3"/>
  <c r="AT292" i="3"/>
  <c r="EO265" i="3"/>
  <c r="Q292" i="3"/>
  <c r="EP288" i="3"/>
  <c r="EI246" i="3"/>
  <c r="AF292" i="3"/>
  <c r="EI247" i="3"/>
  <c r="EO269" i="3"/>
  <c r="EJ290" i="3"/>
  <c r="EI288" i="3"/>
  <c r="AA300" i="3"/>
  <c r="EV250" i="3" s="1"/>
  <c r="EI142" i="3"/>
  <c r="EK83" i="3" s="1"/>
  <c r="U300" i="3"/>
  <c r="EV247" i="3" s="1"/>
  <c r="EP239" i="3"/>
  <c r="EL244" i="3"/>
  <c r="EP273" i="3"/>
  <c r="EJ258" i="3"/>
  <c r="EO278" i="3"/>
  <c r="EI276" i="3"/>
  <c r="EJ250" i="3"/>
  <c r="EI289" i="3"/>
  <c r="EJ144" i="3"/>
  <c r="EL85" i="3" s="1"/>
  <c r="EO288" i="3"/>
  <c r="EJ289" i="3"/>
  <c r="EL286" i="3"/>
  <c r="EL289" i="3"/>
  <c r="EJ286" i="3"/>
  <c r="EI284" i="3"/>
  <c r="EJ282" i="3"/>
  <c r="J298" i="3"/>
  <c r="ET242" i="3" s="1"/>
  <c r="EM270" i="3"/>
  <c r="R296" i="3"/>
  <c r="ES246" i="3" s="1"/>
  <c r="EP289" i="3"/>
  <c r="AH296" i="3"/>
  <c r="ES254" i="3" s="1"/>
  <c r="EL269" i="3"/>
  <c r="AB298" i="3"/>
  <c r="ET251" i="3" s="1"/>
  <c r="EJ265" i="3"/>
  <c r="EM244" i="3"/>
  <c r="X292" i="3"/>
  <c r="EI274" i="3"/>
  <c r="EP265" i="3"/>
  <c r="EP278" i="3"/>
  <c r="EJ264" i="3"/>
  <c r="EJ245" i="3"/>
  <c r="BE300" i="3"/>
  <c r="EV265" i="3" s="1"/>
  <c r="BD292" i="3"/>
  <c r="EO282" i="3"/>
  <c r="EI265" i="3"/>
  <c r="EI252" i="3"/>
  <c r="EJ285" i="3"/>
  <c r="EI143" i="3"/>
  <c r="EK84" i="3" s="1"/>
  <c r="EJ283" i="3"/>
  <c r="EJ279" i="3"/>
  <c r="EI251" i="3"/>
  <c r="EI140" i="3"/>
  <c r="EK81" i="3" s="1"/>
  <c r="EL140" i="3"/>
  <c r="EQ81" i="3" s="1"/>
  <c r="EM140" i="3"/>
  <c r="ER81" i="3" s="1"/>
  <c r="EJ140" i="3"/>
  <c r="EL81" i="3" s="1"/>
  <c r="I21" i="6"/>
  <c r="J38" i="6"/>
  <c r="G21" i="6"/>
  <c r="J36" i="6"/>
  <c r="H21" i="6"/>
  <c r="J37" i="6"/>
  <c r="B293" i="3"/>
  <c r="ES252" i="3"/>
  <c r="ES251" i="3"/>
  <c r="EM282" i="3"/>
  <c r="EM273" i="3"/>
  <c r="F292" i="3"/>
  <c r="EM291" i="3"/>
  <c r="G300" i="3"/>
  <c r="EV240" i="3" s="1"/>
  <c r="EM265" i="3"/>
  <c r="EL240" i="3"/>
  <c r="EL281" i="3"/>
  <c r="R292" i="3"/>
  <c r="AI300" i="3"/>
  <c r="EV254" i="3" s="1"/>
  <c r="AY292" i="3"/>
  <c r="EL266" i="3"/>
  <c r="EM285" i="3"/>
  <c r="EL265" i="3"/>
  <c r="EM276" i="3"/>
  <c r="EM246" i="3"/>
  <c r="AV298" i="3"/>
  <c r="ET261" i="3" s="1"/>
  <c r="BE292" i="3"/>
  <c r="EM266" i="3"/>
  <c r="AU300" i="3"/>
  <c r="EV260" i="3" s="1"/>
  <c r="U292" i="3"/>
  <c r="EL267" i="3"/>
  <c r="K292" i="3"/>
  <c r="AP298" i="3"/>
  <c r="ET258" i="3" s="1"/>
  <c r="AZ292" i="3"/>
  <c r="EM283" i="3"/>
  <c r="T298" i="3"/>
  <c r="ET247" i="3" s="1"/>
  <c r="EL275" i="3"/>
  <c r="AB292" i="3"/>
  <c r="EL246" i="3"/>
  <c r="EM288" i="3"/>
  <c r="L296" i="3"/>
  <c r="AL292" i="3"/>
  <c r="N292" i="3"/>
  <c r="X296" i="3"/>
  <c r="BC292" i="3"/>
  <c r="P292" i="3"/>
  <c r="EM275" i="3"/>
  <c r="ES262" i="3"/>
  <c r="AX292" i="3"/>
  <c r="AL296" i="3"/>
  <c r="ES259" i="3"/>
  <c r="BB292" i="3"/>
  <c r="I300" i="3"/>
  <c r="EV241" i="3" s="1"/>
  <c r="EM284" i="3"/>
  <c r="EL243" i="3"/>
  <c r="R298" i="3"/>
  <c r="ET246" i="3" s="1"/>
  <c r="AE292" i="3"/>
  <c r="AD292" i="3"/>
  <c r="EL279" i="3"/>
  <c r="EL274" i="3"/>
  <c r="AJ292" i="3"/>
  <c r="AW292" i="3"/>
  <c r="AL298" i="3"/>
  <c r="ET256" i="3" s="1"/>
  <c r="AW300" i="3"/>
  <c r="EV261" i="3" s="1"/>
  <c r="H298" i="3"/>
  <c r="ET241" i="3" s="1"/>
  <c r="P298" i="3"/>
  <c r="ET245" i="3" s="1"/>
  <c r="EK85" i="3"/>
  <c r="EO144" i="3"/>
  <c r="EW85" i="3" s="1"/>
  <c r="EM268" i="3"/>
  <c r="EL282" i="3"/>
  <c r="EM267" i="3"/>
  <c r="EM286" i="3"/>
  <c r="EO141" i="3"/>
  <c r="EW82" i="3" s="1"/>
  <c r="EM245" i="3"/>
  <c r="BA300" i="3"/>
  <c r="EV263" i="3" s="1"/>
  <c r="Q300" i="3"/>
  <c r="EV245" i="3" s="1"/>
  <c r="EL245" i="3"/>
  <c r="F298" i="3"/>
  <c r="ET240" i="3" s="1"/>
  <c r="EL273" i="3"/>
  <c r="EL285" i="3"/>
  <c r="S300" i="3"/>
  <c r="EV246" i="3" s="1"/>
  <c r="AV292" i="3"/>
  <c r="I292" i="3"/>
  <c r="AN292" i="3"/>
  <c r="AY300" i="3"/>
  <c r="EV262" i="3" s="1"/>
  <c r="Z296" i="3"/>
  <c r="EL284" i="3"/>
  <c r="EM264" i="3"/>
  <c r="EM274" i="3"/>
  <c r="AK292" i="3"/>
  <c r="EM289" i="3"/>
  <c r="EO142" i="3"/>
  <c r="EW83" i="3" s="1"/>
  <c r="EM287" i="3"/>
  <c r="G292" i="3"/>
  <c r="EM240" i="3"/>
  <c r="AU292" i="3"/>
  <c r="EL239" i="3"/>
  <c r="EM243" i="3"/>
  <c r="AH292" i="3"/>
  <c r="S292" i="3"/>
  <c r="AR298" i="3"/>
  <c r="ET259" i="3" s="1"/>
  <c r="W292" i="3"/>
  <c r="EM242" i="3"/>
  <c r="AO300" i="3"/>
  <c r="EV257" i="3" s="1"/>
  <c r="E292" i="3"/>
  <c r="EL241" i="3"/>
  <c r="K300" i="3"/>
  <c r="EV242" i="3" s="1"/>
  <c r="D292" i="3"/>
  <c r="H296" i="3"/>
  <c r="AM292" i="3"/>
  <c r="O41" i="1" l="1"/>
  <c r="R41" i="1" s="1"/>
  <c r="O362" i="7"/>
  <c r="G342" i="7"/>
  <c r="EU260" i="3"/>
  <c r="H283" i="7"/>
  <c r="C342" i="7"/>
  <c r="EJ263" i="3"/>
  <c r="EM263" i="3"/>
  <c r="EM292" i="3" s="1"/>
  <c r="H340" i="7"/>
  <c r="AF293" i="3"/>
  <c r="D342" i="7"/>
  <c r="H109" i="7"/>
  <c r="F342" i="7"/>
  <c r="E340" i="7"/>
  <c r="I51" i="6"/>
  <c r="BF293" i="3"/>
  <c r="E283" i="7"/>
  <c r="EU242" i="3"/>
  <c r="BH292" i="3"/>
  <c r="H47" i="7"/>
  <c r="H339" i="7" s="1"/>
  <c r="M41" i="1"/>
  <c r="P41" i="1" s="1"/>
  <c r="AH41" i="1" s="1"/>
  <c r="BL302" i="3"/>
  <c r="O364" i="7" s="1"/>
  <c r="E49" i="7"/>
  <c r="E341" i="7" s="1"/>
  <c r="E47" i="7"/>
  <c r="E339" i="7" s="1"/>
  <c r="N296" i="3"/>
  <c r="ES244" i="3" s="1"/>
  <c r="EU244" i="3" s="1"/>
  <c r="EI264" i="3"/>
  <c r="EI292" i="3" s="1"/>
  <c r="E109" i="7"/>
  <c r="H49" i="7"/>
  <c r="H341" i="7" s="1"/>
  <c r="M292" i="3"/>
  <c r="L292" i="3"/>
  <c r="X293" i="3"/>
  <c r="Z293" i="3"/>
  <c r="T293" i="3"/>
  <c r="AP293" i="3"/>
  <c r="AZ36" i="6"/>
  <c r="ET266" i="3"/>
  <c r="N40" i="1"/>
  <c r="Q40" i="1" s="1"/>
  <c r="AI40" i="1" s="1"/>
  <c r="AN293" i="3"/>
  <c r="AB293" i="3"/>
  <c r="EU248" i="3"/>
  <c r="EU265" i="3"/>
  <c r="EU255" i="3"/>
  <c r="EL263" i="3"/>
  <c r="EL292" i="3" s="1"/>
  <c r="EV266" i="3"/>
  <c r="O40" i="1"/>
  <c r="R40" i="1" s="1"/>
  <c r="H293" i="3"/>
  <c r="AF302" i="3"/>
  <c r="V293" i="3"/>
  <c r="AT293" i="3"/>
  <c r="N293" i="3"/>
  <c r="AD302" i="3"/>
  <c r="V302" i="3"/>
  <c r="AR293" i="3"/>
  <c r="EJ292" i="3"/>
  <c r="EU251" i="3"/>
  <c r="AJ302" i="3"/>
  <c r="EU254" i="3"/>
  <c r="BB302" i="3"/>
  <c r="BD302" i="3"/>
  <c r="M40" i="1"/>
  <c r="P40" i="1" s="1"/>
  <c r="AH40" i="1" s="1"/>
  <c r="ES266" i="3"/>
  <c r="BF302" i="3"/>
  <c r="EU257" i="3"/>
  <c r="P293" i="3"/>
  <c r="AZ293" i="3"/>
  <c r="AB302" i="3"/>
  <c r="EU263" i="3"/>
  <c r="AH293" i="3"/>
  <c r="BD293" i="3"/>
  <c r="EU261" i="3"/>
  <c r="EU245" i="3"/>
  <c r="EU252" i="3"/>
  <c r="EU264" i="3"/>
  <c r="J293" i="3"/>
  <c r="EU258" i="3"/>
  <c r="EU253" i="3"/>
  <c r="AT302" i="3"/>
  <c r="AV293" i="3"/>
  <c r="AH302" i="3"/>
  <c r="T302" i="3"/>
  <c r="J302" i="3"/>
  <c r="EU240" i="3"/>
  <c r="F302" i="3"/>
  <c r="D293" i="3"/>
  <c r="BB293" i="3"/>
  <c r="AX293" i="3"/>
  <c r="ES250" i="3"/>
  <c r="EU250" i="3" s="1"/>
  <c r="Z302" i="3"/>
  <c r="EP292" i="3"/>
  <c r="EU259" i="3"/>
  <c r="EU262" i="3"/>
  <c r="AL293" i="3"/>
  <c r="F293" i="3"/>
  <c r="AP302" i="3"/>
  <c r="EU247" i="3"/>
  <c r="X302" i="3"/>
  <c r="ES249" i="3"/>
  <c r="EU249" i="3" s="1"/>
  <c r="AD293" i="3"/>
  <c r="AV302" i="3"/>
  <c r="EU246" i="3"/>
  <c r="ES256" i="3"/>
  <c r="EU256" i="3" s="1"/>
  <c r="AL302" i="3"/>
  <c r="AN302" i="3"/>
  <c r="AZ302" i="3"/>
  <c r="H302" i="3"/>
  <c r="ES241" i="3"/>
  <c r="EU241" i="3" s="1"/>
  <c r="ES243" i="3"/>
  <c r="EU243" i="3" s="1"/>
  <c r="L302" i="3"/>
  <c r="EO292" i="3"/>
  <c r="R293" i="3"/>
  <c r="AJ293" i="3"/>
  <c r="R302" i="3"/>
  <c r="AR302" i="3"/>
  <c r="AX302" i="3"/>
  <c r="P302" i="3"/>
  <c r="H342" i="7" l="1"/>
  <c r="K362" i="7" s="1"/>
  <c r="E342" i="7"/>
  <c r="AU40" i="1"/>
  <c r="AP40" i="1"/>
  <c r="AO31" i="6"/>
  <c r="AO56" i="6"/>
  <c r="AO62" i="6" s="1"/>
  <c r="I50" i="6"/>
  <c r="AN31" i="6" s="1"/>
  <c r="AQ40" i="1"/>
  <c r="AP41" i="1"/>
  <c r="N302" i="3"/>
  <c r="L293" i="3"/>
  <c r="EU266" i="3"/>
  <c r="AS40" i="1" l="1"/>
  <c r="AN37" i="6" l="1"/>
  <c r="AN56" i="6"/>
  <c r="AN62" i="6" l="1"/>
  <c r="AU6" i="1"/>
  <c r="AE38" i="1"/>
  <c r="AE37" i="1"/>
  <c r="AE35" i="1"/>
  <c r="AE33" i="1"/>
  <c r="AE32" i="1"/>
  <c r="AE27" i="1"/>
  <c r="AF37" i="1"/>
  <c r="AF36" i="1"/>
  <c r="AF35" i="1"/>
  <c r="AF34" i="1"/>
  <c r="AF33" i="1"/>
  <c r="AF32" i="1"/>
  <c r="AF28" i="1"/>
  <c r="AF27" i="1"/>
  <c r="AG29" i="1"/>
  <c r="AG15" i="1"/>
  <c r="AU8" i="1" l="1"/>
  <c r="AU10" i="1"/>
  <c r="AU12" i="1"/>
  <c r="AU7" i="1"/>
  <c r="AU9" i="1"/>
  <c r="AU11" i="1"/>
  <c r="AC38" i="1"/>
  <c r="AR38" i="2"/>
  <c r="H39" i="1" s="1"/>
  <c r="AQ36" i="2"/>
  <c r="E39" i="1" s="1"/>
  <c r="AQ40" i="2" l="1"/>
  <c r="B39" i="1"/>
  <c r="BD56" i="4" l="1"/>
  <c r="S39" i="1" s="1"/>
  <c r="V39" i="1" s="1"/>
  <c r="T39" i="1"/>
  <c r="W39" i="1" s="1"/>
  <c r="U39" i="1" l="1"/>
  <c r="X39" i="1" s="1"/>
  <c r="BD63" i="4"/>
  <c r="U38" i="1" l="1"/>
  <c r="X38" i="1" s="1"/>
  <c r="O39" i="1"/>
  <c r="R39" i="1" s="1"/>
  <c r="N39" i="1"/>
  <c r="Q39" i="1" s="1"/>
  <c r="AI39" i="1" s="1"/>
  <c r="AU39" i="1" l="1"/>
  <c r="I49" i="6"/>
  <c r="AQ39" i="1"/>
  <c r="M39" i="1"/>
  <c r="P39" i="1" s="1"/>
  <c r="AH39" i="1" s="1"/>
  <c r="AS39" i="1" l="1"/>
  <c r="AP39" i="1"/>
  <c r="AM31" i="6" l="1"/>
  <c r="AM37" i="6" s="1"/>
  <c r="B63" i="4"/>
  <c r="T38" i="1"/>
  <c r="W38" i="1" s="1"/>
  <c r="BB56" i="4"/>
  <c r="S38" i="1" s="1"/>
  <c r="V38" i="1" s="1"/>
  <c r="AZ56" i="4"/>
  <c r="AX56" i="4"/>
  <c r="AV56" i="4"/>
  <c r="AT56" i="4"/>
  <c r="AR56" i="4"/>
  <c r="AP56" i="4"/>
  <c r="AN56" i="4"/>
  <c r="AL56" i="4"/>
  <c r="AL63" i="4" s="1"/>
  <c r="AJ56" i="4"/>
  <c r="AH56" i="4"/>
  <c r="AF56" i="4"/>
  <c r="AD56" i="4"/>
  <c r="AB56" i="4"/>
  <c r="Z56" i="4"/>
  <c r="X56" i="4"/>
  <c r="V56" i="4"/>
  <c r="V63" i="4" s="1"/>
  <c r="T56" i="4"/>
  <c r="R56" i="4"/>
  <c r="P56" i="4"/>
  <c r="N56" i="4"/>
  <c r="L56" i="4"/>
  <c r="J56" i="4"/>
  <c r="H56" i="4"/>
  <c r="F56" i="4"/>
  <c r="F63" i="4" s="1"/>
  <c r="D56" i="4"/>
  <c r="T63" i="4" l="1"/>
  <c r="AJ63" i="4"/>
  <c r="AZ63" i="4"/>
  <c r="D63" i="4"/>
  <c r="L63" i="4"/>
  <c r="AB63" i="4"/>
  <c r="AR63" i="4"/>
  <c r="N63" i="4"/>
  <c r="AD63" i="4"/>
  <c r="AT63" i="4"/>
  <c r="R63" i="4"/>
  <c r="Z63" i="4"/>
  <c r="AH63" i="4"/>
  <c r="AP63" i="4"/>
  <c r="AX63" i="4"/>
  <c r="J63" i="4"/>
  <c r="H63" i="4"/>
  <c r="P63" i="4"/>
  <c r="X63" i="4"/>
  <c r="AF63" i="4"/>
  <c r="AN63" i="4"/>
  <c r="AV63" i="4"/>
  <c r="BB63" i="4"/>
  <c r="O38" i="1"/>
  <c r="R38" i="1" s="1"/>
  <c r="M38" i="1"/>
  <c r="P38" i="1" s="1"/>
  <c r="U37" i="1"/>
  <c r="X37" i="1" s="1"/>
  <c r="T37" i="1"/>
  <c r="W37" i="1" s="1"/>
  <c r="S37" i="1"/>
  <c r="V37" i="1" s="1"/>
  <c r="O37" i="1"/>
  <c r="R37" i="1" s="1"/>
  <c r="N37" i="1"/>
  <c r="Q37" i="1" s="1"/>
  <c r="M37" i="1"/>
  <c r="P37" i="1" s="1"/>
  <c r="U36" i="1" l="1"/>
  <c r="X36" i="1" s="1"/>
  <c r="T36" i="1"/>
  <c r="W36" i="1" s="1"/>
  <c r="S36" i="1"/>
  <c r="V36" i="1" s="1"/>
  <c r="O36" i="1"/>
  <c r="R36" i="1" s="1"/>
  <c r="N36" i="1"/>
  <c r="Q36" i="1" s="1"/>
  <c r="M36" i="1"/>
  <c r="P36" i="1" s="1"/>
  <c r="AC35" i="1"/>
  <c r="U35" i="1"/>
  <c r="X35" i="1" s="1"/>
  <c r="T35" i="1"/>
  <c r="W35" i="1" s="1"/>
  <c r="S35" i="1"/>
  <c r="V35" i="1" s="1"/>
  <c r="O35" i="1"/>
  <c r="R35" i="1" s="1"/>
  <c r="N35" i="1"/>
  <c r="Q35" i="1" s="1"/>
  <c r="M35" i="1"/>
  <c r="P35" i="1" s="1"/>
  <c r="N38" i="1" l="1"/>
  <c r="Q38" i="1" s="1"/>
  <c r="AC34" i="1"/>
  <c r="U34" i="1"/>
  <c r="X34" i="1" s="1"/>
  <c r="T34" i="1"/>
  <c r="W34" i="1" s="1"/>
  <c r="S34" i="1"/>
  <c r="V34" i="1" s="1"/>
  <c r="O34" i="1"/>
  <c r="R34" i="1" s="1"/>
  <c r="N34" i="1"/>
  <c r="Q34" i="1" s="1"/>
  <c r="M34" i="1"/>
  <c r="P34" i="1" s="1"/>
  <c r="U33" i="1"/>
  <c r="X33" i="1" s="1"/>
  <c r="T33" i="1"/>
  <c r="W33" i="1" s="1"/>
  <c r="S33" i="1"/>
  <c r="V33" i="1" s="1"/>
  <c r="O33" i="1"/>
  <c r="R33" i="1" s="1"/>
  <c r="N33" i="1"/>
  <c r="Q33" i="1" s="1"/>
  <c r="M33" i="1"/>
  <c r="P33" i="1" s="1"/>
  <c r="U32" i="1"/>
  <c r="X32" i="1" s="1"/>
  <c r="T32" i="1"/>
  <c r="W32" i="1" s="1"/>
  <c r="S32" i="1"/>
  <c r="V32" i="1" s="1"/>
  <c r="O32" i="1"/>
  <c r="R32" i="1" s="1"/>
  <c r="N32" i="1"/>
  <c r="Q32" i="1" s="1"/>
  <c r="M32" i="1"/>
  <c r="P32" i="1" s="1"/>
  <c r="M18" i="6" l="1"/>
  <c r="U31" i="1" l="1"/>
  <c r="X31" i="1" s="1"/>
  <c r="T31" i="1"/>
  <c r="W31" i="1" s="1"/>
  <c r="S31" i="1"/>
  <c r="V31" i="1" s="1"/>
  <c r="O31" i="1"/>
  <c r="R31" i="1" s="1"/>
  <c r="N31" i="1"/>
  <c r="Q31" i="1" s="1"/>
  <c r="M31" i="1"/>
  <c r="P31" i="1" s="1"/>
  <c r="L18" i="6" l="1"/>
  <c r="U30" i="1"/>
  <c r="X30" i="1" s="1"/>
  <c r="T30" i="1"/>
  <c r="W30" i="1" s="1"/>
  <c r="S30" i="1"/>
  <c r="V30" i="1" s="1"/>
  <c r="O30" i="1"/>
  <c r="R30" i="1" s="1"/>
  <c r="N30" i="1"/>
  <c r="Q30" i="1" s="1"/>
  <c r="M30" i="1"/>
  <c r="P30" i="1" s="1"/>
  <c r="U29" i="1"/>
  <c r="X29" i="1" s="1"/>
  <c r="T29" i="1"/>
  <c r="W29" i="1" s="1"/>
  <c r="S29" i="1"/>
  <c r="V29" i="1" s="1"/>
  <c r="O29" i="1"/>
  <c r="R29" i="1" s="1"/>
  <c r="N29" i="1"/>
  <c r="Q29" i="1" s="1"/>
  <c r="M29" i="1"/>
  <c r="P29" i="1" s="1"/>
  <c r="K18" i="6" l="1"/>
  <c r="J18" i="6"/>
  <c r="U28" i="1"/>
  <c r="X28" i="1" s="1"/>
  <c r="T28" i="1"/>
  <c r="W28" i="1" s="1"/>
  <c r="S28" i="1"/>
  <c r="V28" i="1" s="1"/>
  <c r="O28" i="1"/>
  <c r="R28" i="1" s="1"/>
  <c r="N28" i="1"/>
  <c r="Q28" i="1" s="1"/>
  <c r="M28" i="1"/>
  <c r="P28" i="1" s="1"/>
  <c r="U27" i="1"/>
  <c r="X27" i="1" s="1"/>
  <c r="T27" i="1"/>
  <c r="W27" i="1" s="1"/>
  <c r="S27" i="1"/>
  <c r="V27" i="1" s="1"/>
  <c r="O27" i="1"/>
  <c r="R27" i="1" s="1"/>
  <c r="N27" i="1"/>
  <c r="Q27" i="1" s="1"/>
  <c r="M27" i="1"/>
  <c r="P27" i="1" s="1"/>
  <c r="U26" i="1"/>
  <c r="X26" i="1" s="1"/>
  <c r="T26" i="1"/>
  <c r="W26" i="1" s="1"/>
  <c r="S26" i="1"/>
  <c r="V26" i="1" s="1"/>
  <c r="O26" i="1"/>
  <c r="R26" i="1" s="1"/>
  <c r="N26" i="1"/>
  <c r="Q26" i="1" s="1"/>
  <c r="M26" i="1"/>
  <c r="P26" i="1" s="1"/>
  <c r="U25" i="1"/>
  <c r="X25" i="1" s="1"/>
  <c r="T25" i="1"/>
  <c r="W25" i="1" s="1"/>
  <c r="S25" i="1"/>
  <c r="V25" i="1" s="1"/>
  <c r="O25" i="1"/>
  <c r="R25" i="1" s="1"/>
  <c r="N25" i="1"/>
  <c r="Q25" i="1" s="1"/>
  <c r="M25" i="1"/>
  <c r="P25" i="1" s="1"/>
  <c r="U24" i="1"/>
  <c r="X24" i="1" s="1"/>
  <c r="T24" i="1"/>
  <c r="W24" i="1" s="1"/>
  <c r="S24" i="1"/>
  <c r="V24" i="1" s="1"/>
  <c r="O24" i="1"/>
  <c r="R24" i="1" s="1"/>
  <c r="N24" i="1"/>
  <c r="Q24" i="1" s="1"/>
  <c r="M24" i="1"/>
  <c r="P24" i="1" s="1"/>
  <c r="U23" i="1"/>
  <c r="X23" i="1" s="1"/>
  <c r="T23" i="1"/>
  <c r="W23" i="1" s="1"/>
  <c r="S23" i="1"/>
  <c r="V23" i="1" s="1"/>
  <c r="O23" i="1"/>
  <c r="R23" i="1" s="1"/>
  <c r="N23" i="1"/>
  <c r="Q23" i="1" s="1"/>
  <c r="M23" i="1"/>
  <c r="P23" i="1" s="1"/>
  <c r="G18" i="6" l="1"/>
  <c r="F18" i="6"/>
  <c r="D18" i="6"/>
  <c r="H18" i="6"/>
  <c r="I18" i="6"/>
  <c r="E18" i="6"/>
  <c r="U22" i="1"/>
  <c r="X22" i="1" s="1"/>
  <c r="T22" i="1"/>
  <c r="W22" i="1" s="1"/>
  <c r="S22" i="1"/>
  <c r="V22" i="1" s="1"/>
  <c r="O22" i="1"/>
  <c r="R22" i="1" s="1"/>
  <c r="N22" i="1"/>
  <c r="Q22" i="1" s="1"/>
  <c r="M22" i="1"/>
  <c r="P22" i="1" s="1"/>
  <c r="U21" i="1"/>
  <c r="X21" i="1" s="1"/>
  <c r="T21" i="1"/>
  <c r="W21" i="1" s="1"/>
  <c r="S21" i="1"/>
  <c r="V21" i="1" s="1"/>
  <c r="O21" i="1"/>
  <c r="R21" i="1" s="1"/>
  <c r="N21" i="1"/>
  <c r="Q21" i="1" s="1"/>
  <c r="M21" i="1"/>
  <c r="P21" i="1" s="1"/>
  <c r="U20" i="1"/>
  <c r="X20" i="1" s="1"/>
  <c r="T20" i="1"/>
  <c r="W20" i="1" s="1"/>
  <c r="S20" i="1"/>
  <c r="V20" i="1" s="1"/>
  <c r="O20" i="1"/>
  <c r="R20" i="1" s="1"/>
  <c r="N20" i="1"/>
  <c r="Q20" i="1" s="1"/>
  <c r="M20" i="1"/>
  <c r="P20" i="1" s="1"/>
  <c r="U19" i="1"/>
  <c r="X19" i="1" s="1"/>
  <c r="T19" i="1"/>
  <c r="W19" i="1" s="1"/>
  <c r="S19" i="1"/>
  <c r="V19" i="1" s="1"/>
  <c r="O19" i="1"/>
  <c r="R19" i="1" s="1"/>
  <c r="N19" i="1"/>
  <c r="Q19" i="1" s="1"/>
  <c r="M19" i="1"/>
  <c r="P19" i="1" s="1"/>
  <c r="U18" i="1"/>
  <c r="X18" i="1" s="1"/>
  <c r="T18" i="1"/>
  <c r="W18" i="1" s="1"/>
  <c r="S18" i="1"/>
  <c r="V18" i="1" s="1"/>
  <c r="O18" i="1"/>
  <c r="R18" i="1" s="1"/>
  <c r="N18" i="1"/>
  <c r="Q18" i="1" s="1"/>
  <c r="M18" i="1"/>
  <c r="P18" i="1" s="1"/>
  <c r="U17" i="1"/>
  <c r="X17" i="1" s="1"/>
  <c r="T17" i="1"/>
  <c r="W17" i="1" s="1"/>
  <c r="S17" i="1"/>
  <c r="V17" i="1" s="1"/>
  <c r="O17" i="1"/>
  <c r="R17" i="1" s="1"/>
  <c r="N17" i="1"/>
  <c r="Q17" i="1" s="1"/>
  <c r="M17" i="1"/>
  <c r="P17" i="1" s="1"/>
  <c r="U16" i="1"/>
  <c r="X16" i="1" s="1"/>
  <c r="T16" i="1"/>
  <c r="W16" i="1" s="1"/>
  <c r="S16" i="1"/>
  <c r="V16" i="1" s="1"/>
  <c r="O16" i="1"/>
  <c r="R16" i="1" s="1"/>
  <c r="N16" i="1"/>
  <c r="Q16" i="1" s="1"/>
  <c r="M16" i="1"/>
  <c r="P16" i="1" s="1"/>
  <c r="U15" i="1"/>
  <c r="X15" i="1" s="1"/>
  <c r="T15" i="1"/>
  <c r="W15" i="1" s="1"/>
  <c r="S15" i="1"/>
  <c r="V15" i="1" s="1"/>
  <c r="O15" i="1"/>
  <c r="R15" i="1" s="1"/>
  <c r="N15" i="1"/>
  <c r="Q15" i="1" s="1"/>
  <c r="M15" i="1"/>
  <c r="P15" i="1" s="1"/>
  <c r="U14" i="1"/>
  <c r="X14" i="1" s="1"/>
  <c r="T14" i="1"/>
  <c r="W14" i="1" s="1"/>
  <c r="S14" i="1"/>
  <c r="V14" i="1" s="1"/>
  <c r="O14" i="1"/>
  <c r="R14" i="1" s="1"/>
  <c r="N14" i="1"/>
  <c r="Q14" i="1" s="1"/>
  <c r="M14" i="1"/>
  <c r="P14" i="1" s="1"/>
  <c r="U13" i="1"/>
  <c r="X13" i="1" s="1"/>
  <c r="AJ13" i="1" s="1"/>
  <c r="T13" i="1"/>
  <c r="W13" i="1" s="1"/>
  <c r="AI13" i="1" s="1"/>
  <c r="S13" i="1"/>
  <c r="V13" i="1" s="1"/>
  <c r="AQ12" i="1"/>
  <c r="AP12" i="1"/>
  <c r="AJ18" i="1" l="1"/>
  <c r="AI19" i="1"/>
  <c r="AH17" i="1"/>
  <c r="AJ20" i="1"/>
  <c r="AV20" i="1" s="1"/>
  <c r="AJ14" i="1"/>
  <c r="AJ16" i="1"/>
  <c r="AH19" i="1"/>
  <c r="AI14" i="1"/>
  <c r="AI16" i="1"/>
  <c r="AH15" i="1"/>
  <c r="AI18" i="1"/>
  <c r="AI20" i="1"/>
  <c r="AI15" i="1"/>
  <c r="AI17" i="1"/>
  <c r="AH14" i="1"/>
  <c r="AJ15" i="1"/>
  <c r="AV15" i="1" s="1"/>
  <c r="AH16" i="1"/>
  <c r="AJ17" i="1"/>
  <c r="AH18" i="1"/>
  <c r="AJ19" i="1"/>
  <c r="AV19" i="1" s="1"/>
  <c r="AH20" i="1"/>
  <c r="AR14" i="1"/>
  <c r="AR18" i="1"/>
  <c r="AR20" i="1"/>
  <c r="AR15" i="1"/>
  <c r="AR17" i="1"/>
  <c r="AR19" i="1"/>
  <c r="AR16" i="1"/>
  <c r="AR13" i="1"/>
  <c r="AV17" i="1"/>
  <c r="AV14" i="1"/>
  <c r="AV16" i="1"/>
  <c r="AV18" i="1"/>
  <c r="AV13" i="1"/>
  <c r="C18" i="6"/>
  <c r="AQ13" i="1"/>
  <c r="B18" i="6"/>
  <c r="AQ15" i="1"/>
  <c r="AQ16" i="1"/>
  <c r="AQ17" i="1"/>
  <c r="AQ18" i="1"/>
  <c r="AP13" i="1"/>
  <c r="AP19" i="1"/>
  <c r="AQ20" i="1"/>
  <c r="AP14" i="1"/>
  <c r="AT12" i="1"/>
  <c r="AQ14" i="1"/>
  <c r="AP15" i="1"/>
  <c r="AP16" i="1"/>
  <c r="AP17" i="1"/>
  <c r="AP18" i="1"/>
  <c r="AQ19" i="1"/>
  <c r="AQ11" i="1"/>
  <c r="AP11" i="1"/>
  <c r="AQ10" i="1"/>
  <c r="AP10" i="1"/>
  <c r="AQ9" i="1"/>
  <c r="AP9" i="1"/>
  <c r="AQ8" i="1"/>
  <c r="AP8" i="1"/>
  <c r="AQ7" i="1"/>
  <c r="AP7" i="1"/>
  <c r="AW18" i="1" l="1"/>
  <c r="AW14" i="1"/>
  <c r="AW17" i="1"/>
  <c r="AW20" i="1"/>
  <c r="AW16" i="1"/>
  <c r="AW13" i="1"/>
  <c r="AW19" i="1"/>
  <c r="AW15" i="1"/>
  <c r="AU14" i="1"/>
  <c r="AU15" i="1"/>
  <c r="AU18" i="1"/>
  <c r="AU20" i="1"/>
  <c r="AU19" i="1"/>
  <c r="AU16" i="1"/>
  <c r="AU17" i="1"/>
  <c r="AU13" i="1"/>
  <c r="AT18" i="1"/>
  <c r="AT15" i="1"/>
  <c r="AT19" i="1"/>
  <c r="AS14" i="1"/>
  <c r="AS18" i="1"/>
  <c r="AT16" i="1"/>
  <c r="AS20" i="1"/>
  <c r="AT8" i="1"/>
  <c r="AS8" i="1" s="1"/>
  <c r="AT10" i="1"/>
  <c r="AS10" i="1" s="1"/>
  <c r="AT7" i="1"/>
  <c r="AS7" i="1" s="1"/>
  <c r="AT9" i="1"/>
  <c r="AS9" i="1" s="1"/>
  <c r="AT11" i="1"/>
  <c r="AS11" i="1" s="1"/>
  <c r="AT20" i="1"/>
  <c r="AS12" i="1"/>
  <c r="AS19" i="1"/>
  <c r="AS15" i="1"/>
  <c r="AS16" i="1"/>
  <c r="AT14" i="1"/>
  <c r="AT17" i="1"/>
  <c r="AS17" i="1" s="1"/>
  <c r="AQ6" i="1"/>
  <c r="AP6" i="1"/>
  <c r="AT6" i="1"/>
  <c r="AP38" i="2"/>
  <c r="H38" i="1" s="1"/>
  <c r="AN38" i="2"/>
  <c r="H37" i="1" s="1"/>
  <c r="AL38" i="2"/>
  <c r="H36" i="1" s="1"/>
  <c r="AJ38" i="2"/>
  <c r="H35" i="1" s="1"/>
  <c r="AH38" i="2"/>
  <c r="H34" i="1" s="1"/>
  <c r="AF38" i="2"/>
  <c r="H33" i="1" s="1"/>
  <c r="AD38" i="2"/>
  <c r="H32" i="1" s="1"/>
  <c r="AB38" i="2"/>
  <c r="H31" i="1" s="1"/>
  <c r="I41" i="6" l="1"/>
  <c r="I42" i="6"/>
  <c r="I43" i="6"/>
  <c r="I47" i="6"/>
  <c r="AK31" i="6" s="1"/>
  <c r="AK37" i="6" s="1"/>
  <c r="I48" i="6"/>
  <c r="AL31" i="6" s="1"/>
  <c r="AW29" i="6" s="1"/>
  <c r="I45" i="6"/>
  <c r="AI31" i="6" s="1"/>
  <c r="AI37" i="6" s="1"/>
  <c r="I44" i="6"/>
  <c r="I46" i="6"/>
  <c r="AJ31" i="6" s="1"/>
  <c r="AS6" i="1"/>
  <c r="Z38" i="2"/>
  <c r="H30" i="1" s="1"/>
  <c r="X38" i="2"/>
  <c r="H29" i="1" s="1"/>
  <c r="V38" i="2"/>
  <c r="H28" i="1" s="1"/>
  <c r="T38" i="2"/>
  <c r="H27" i="1" s="1"/>
  <c r="R38" i="2"/>
  <c r="H26" i="1" s="1"/>
  <c r="P38" i="2"/>
  <c r="N38" i="2"/>
  <c r="H24" i="1" s="1"/>
  <c r="AR24" i="1" s="1"/>
  <c r="AO36" i="2"/>
  <c r="E38" i="1" s="1"/>
  <c r="AI38" i="1" s="1"/>
  <c r="AM36" i="2"/>
  <c r="E37" i="1" s="1"/>
  <c r="AI37" i="1" s="1"/>
  <c r="AK36" i="2"/>
  <c r="E36" i="1" s="1"/>
  <c r="AI36" i="1" s="1"/>
  <c r="AI36" i="2"/>
  <c r="E35" i="1" s="1"/>
  <c r="AI35" i="1" s="1"/>
  <c r="AG36" i="2"/>
  <c r="E34" i="1" s="1"/>
  <c r="AI34" i="1" s="1"/>
  <c r="AE36" i="2"/>
  <c r="E33" i="1" s="1"/>
  <c r="AI33" i="1" s="1"/>
  <c r="AC36" i="2"/>
  <c r="E32" i="1" s="1"/>
  <c r="AI32" i="1" s="1"/>
  <c r="Y36" i="2"/>
  <c r="E30" i="1" s="1"/>
  <c r="AI30" i="1" s="1"/>
  <c r="W36" i="2"/>
  <c r="E29" i="1" s="1"/>
  <c r="AI29" i="1" s="1"/>
  <c r="U36" i="2"/>
  <c r="E28" i="1" s="1"/>
  <c r="AI28" i="1" s="1"/>
  <c r="S36" i="2"/>
  <c r="E27" i="1" s="1"/>
  <c r="AI27" i="1" s="1"/>
  <c r="Q36" i="2"/>
  <c r="E26" i="1" s="1"/>
  <c r="AI26" i="1" s="1"/>
  <c r="O36" i="2"/>
  <c r="E25" i="1" s="1"/>
  <c r="AI25" i="1" s="1"/>
  <c r="M36" i="2"/>
  <c r="E24" i="1" s="1"/>
  <c r="AI24" i="1" s="1"/>
  <c r="AO34" i="2"/>
  <c r="AM34" i="2"/>
  <c r="AK34" i="2"/>
  <c r="B36" i="1" s="1"/>
  <c r="AH36" i="1" s="1"/>
  <c r="AI34" i="2"/>
  <c r="B35" i="1" s="1"/>
  <c r="AH35" i="1" s="1"/>
  <c r="AG34" i="2"/>
  <c r="AE34" i="2"/>
  <c r="AC34" i="2"/>
  <c r="AA34" i="2"/>
  <c r="Y34" i="2"/>
  <c r="B30" i="1" s="1"/>
  <c r="AH30" i="1" s="1"/>
  <c r="W34" i="2"/>
  <c r="U34" i="2"/>
  <c r="S34" i="2"/>
  <c r="B27" i="1" s="1"/>
  <c r="AH27" i="1" s="1"/>
  <c r="Q34" i="2"/>
  <c r="B26" i="1" s="1"/>
  <c r="AH26" i="1" s="1"/>
  <c r="O34" i="2"/>
  <c r="B25" i="1" s="1"/>
  <c r="AH25" i="1" s="1"/>
  <c r="M34" i="2"/>
  <c r="AP32" i="2"/>
  <c r="AO32" i="2"/>
  <c r="AN32" i="2"/>
  <c r="AM32" i="2" s="1"/>
  <c r="AL32" i="2"/>
  <c r="AK32" i="2" s="1"/>
  <c r="AJ32" i="2"/>
  <c r="AI32" i="2" s="1"/>
  <c r="AH32" i="2"/>
  <c r="AG32" i="2" s="1"/>
  <c r="AF32" i="2"/>
  <c r="AE32" i="2" s="1"/>
  <c r="AD32" i="2" s="1"/>
  <c r="AC32" i="2" s="1"/>
  <c r="AB32" i="2" s="1"/>
  <c r="AA32" i="2" s="1"/>
  <c r="Z32" i="2" s="1"/>
  <c r="Y32" i="2" s="1"/>
  <c r="X32" i="2"/>
  <c r="W32" i="2"/>
  <c r="V32" i="2"/>
  <c r="U32" i="2"/>
  <c r="T32" i="2"/>
  <c r="S32" i="2"/>
  <c r="R32" i="2"/>
  <c r="Q32" i="2"/>
  <c r="P32" i="2"/>
  <c r="O32" i="2"/>
  <c r="N32" i="2"/>
  <c r="M32" i="2"/>
  <c r="AP31" i="2"/>
  <c r="AO31" i="2"/>
  <c r="AN31" i="2"/>
  <c r="AM31" i="2"/>
  <c r="AL31" i="2"/>
  <c r="AK31" i="2"/>
  <c r="AJ31" i="2"/>
  <c r="AI31" i="2"/>
  <c r="AH31" i="2"/>
  <c r="AG31" i="2" s="1"/>
  <c r="AF31" i="2"/>
  <c r="AE31" i="2"/>
  <c r="AD31" i="2"/>
  <c r="AD33" i="2" s="1"/>
  <c r="AC31" i="2"/>
  <c r="AB31" i="2"/>
  <c r="AA31" i="2"/>
  <c r="Z31" i="2"/>
  <c r="Y31" i="2"/>
  <c r="X31" i="2"/>
  <c r="W31" i="2"/>
  <c r="V31" i="2"/>
  <c r="U31" i="2"/>
  <c r="T31" i="2"/>
  <c r="S31" i="2"/>
  <c r="R31" i="2"/>
  <c r="Q31" i="2"/>
  <c r="P31" i="2"/>
  <c r="O31" i="2"/>
  <c r="N31" i="2"/>
  <c r="M31" i="2"/>
  <c r="L31" i="2"/>
  <c r="K31" i="2"/>
  <c r="J31" i="2"/>
  <c r="I31" i="2"/>
  <c r="H31" i="2"/>
  <c r="G31" i="2"/>
  <c r="E31" i="2"/>
  <c r="J30" i="2"/>
  <c r="D9" i="6" s="1"/>
  <c r="I30" i="2"/>
  <c r="H30" i="2"/>
  <c r="C9" i="6" s="1"/>
  <c r="G30" i="2"/>
  <c r="F30" i="2"/>
  <c r="B9" i="6" s="1"/>
  <c r="E30" i="2"/>
  <c r="D30" i="2"/>
  <c r="J28" i="2"/>
  <c r="D8" i="6" s="1"/>
  <c r="I28" i="2"/>
  <c r="H28" i="2"/>
  <c r="C8" i="6" s="1"/>
  <c r="G28" i="2"/>
  <c r="F28" i="2"/>
  <c r="B8" i="6" s="1"/>
  <c r="E28" i="2"/>
  <c r="D28" i="2"/>
  <c r="J26" i="2"/>
  <c r="D7" i="6" s="1"/>
  <c r="I26" i="2"/>
  <c r="G26" i="2"/>
  <c r="F26" i="2"/>
  <c r="B7" i="6" s="1"/>
  <c r="E26" i="2"/>
  <c r="D26" i="2"/>
  <c r="I24" i="2"/>
  <c r="H24" i="2"/>
  <c r="C6" i="6" s="1"/>
  <c r="G24" i="2"/>
  <c r="F24" i="2"/>
  <c r="B6" i="6" s="1"/>
  <c r="E24" i="2"/>
  <c r="D24" i="2"/>
  <c r="J22" i="2"/>
  <c r="D5" i="6" s="1"/>
  <c r="I22" i="2"/>
  <c r="H22" i="2"/>
  <c r="C5" i="6" s="1"/>
  <c r="G22" i="2"/>
  <c r="F22" i="2"/>
  <c r="B5" i="6" s="1"/>
  <c r="E22" i="2"/>
  <c r="D22" i="2"/>
  <c r="J20" i="2"/>
  <c r="D4" i="6" s="1"/>
  <c r="I20" i="2"/>
  <c r="H20" i="2"/>
  <c r="C4" i="6" s="1"/>
  <c r="G20" i="2"/>
  <c r="F20" i="2"/>
  <c r="B4" i="6" s="1"/>
  <c r="E20" i="2"/>
  <c r="D20" i="2"/>
  <c r="J18" i="2"/>
  <c r="C15" i="6" s="1"/>
  <c r="C16" i="6" s="1"/>
  <c r="I18" i="2"/>
  <c r="H18" i="2"/>
  <c r="B15" i="6" s="1"/>
  <c r="B16" i="6" s="1"/>
  <c r="G18" i="2"/>
  <c r="F18" i="2"/>
  <c r="E18" i="2"/>
  <c r="D18" i="2"/>
  <c r="I16" i="2"/>
  <c r="E16" i="2"/>
  <c r="K14" i="2"/>
  <c r="H14" i="2"/>
  <c r="B13" i="6" s="1"/>
  <c r="G14" i="2"/>
  <c r="L12" i="2"/>
  <c r="D12" i="6" s="1"/>
  <c r="K12" i="2"/>
  <c r="J12" i="2"/>
  <c r="C12" i="6" s="1"/>
  <c r="I12" i="2"/>
  <c r="H12" i="2"/>
  <c r="B12" i="6" s="1"/>
  <c r="G12" i="2"/>
  <c r="E12" i="2"/>
  <c r="L10" i="2"/>
  <c r="D11" i="6" s="1"/>
  <c r="K10" i="2"/>
  <c r="J10" i="2"/>
  <c r="C11" i="6" s="1"/>
  <c r="I10" i="2"/>
  <c r="H10" i="2"/>
  <c r="B11" i="6" s="1"/>
  <c r="G10" i="2"/>
  <c r="E10" i="2"/>
  <c r="L8" i="2"/>
  <c r="D10" i="6" s="1"/>
  <c r="J8" i="2"/>
  <c r="C10" i="6" s="1"/>
  <c r="I8" i="2"/>
  <c r="H8" i="2"/>
  <c r="B10" i="6" s="1"/>
  <c r="G8" i="2"/>
  <c r="E8" i="2"/>
  <c r="AV29" i="6" l="1"/>
  <c r="AV30" i="6" s="1"/>
  <c r="AR28" i="1"/>
  <c r="AJ28" i="1"/>
  <c r="AV28" i="1" s="1"/>
  <c r="AR26" i="1"/>
  <c r="AJ26" i="1"/>
  <c r="AV26" i="1" s="1"/>
  <c r="AR27" i="1"/>
  <c r="AJ27" i="1"/>
  <c r="AV27" i="1" s="1"/>
  <c r="AT29" i="6"/>
  <c r="AT32" i="6" s="1"/>
  <c r="AU29" i="6"/>
  <c r="Z33" i="2"/>
  <c r="AB33" i="2"/>
  <c r="AS29" i="6"/>
  <c r="Y33" i="2"/>
  <c r="AA33" i="2"/>
  <c r="AP33" i="2"/>
  <c r="AG33" i="2"/>
  <c r="AF33" i="2" s="1"/>
  <c r="AJ33" i="2"/>
  <c r="AU26" i="1"/>
  <c r="AU30" i="1"/>
  <c r="AU27" i="1"/>
  <c r="AU24" i="1"/>
  <c r="AU28" i="1"/>
  <c r="AU33" i="1"/>
  <c r="AU25" i="1"/>
  <c r="AU29" i="1"/>
  <c r="AU34" i="1"/>
  <c r="AE33" i="2"/>
  <c r="I39" i="6"/>
  <c r="K34" i="2"/>
  <c r="B23" i="1" s="1"/>
  <c r="AH23" i="1" s="1"/>
  <c r="I34" i="2"/>
  <c r="B22" i="1" s="1"/>
  <c r="AH22" i="1" s="1"/>
  <c r="I40" i="6"/>
  <c r="I36" i="6"/>
  <c r="AJ37" i="6"/>
  <c r="AO29" i="6"/>
  <c r="K36" i="2"/>
  <c r="E23" i="1" s="1"/>
  <c r="AI23" i="1" s="1"/>
  <c r="I37" i="6"/>
  <c r="H25" i="1"/>
  <c r="AR25" i="1" s="1"/>
  <c r="E34" i="2"/>
  <c r="G34" i="2"/>
  <c r="B21" i="1" s="1"/>
  <c r="X33" i="2"/>
  <c r="W33" i="2" s="1"/>
  <c r="V33" i="2" s="1"/>
  <c r="U33" i="2" s="1"/>
  <c r="T33" i="2" s="1"/>
  <c r="S33" i="2" s="1"/>
  <c r="R33" i="2" s="1"/>
  <c r="Q33" i="2" s="1"/>
  <c r="P33" i="2" s="1"/>
  <c r="O33" i="2" s="1"/>
  <c r="N33" i="2" s="1"/>
  <c r="M33" i="2" s="1"/>
  <c r="AL33" i="2"/>
  <c r="AH33" i="2"/>
  <c r="I38" i="6"/>
  <c r="AZ31" i="6"/>
  <c r="AL37" i="6"/>
  <c r="AP20" i="1"/>
  <c r="I36" i="2"/>
  <c r="E22" i="1" s="1"/>
  <c r="AI22" i="1" s="1"/>
  <c r="D17" i="6"/>
  <c r="AC33" i="2"/>
  <c r="B28" i="1"/>
  <c r="AH28" i="1" s="1"/>
  <c r="U40" i="2"/>
  <c r="S40" i="2" s="1"/>
  <c r="Q40" i="2" s="1"/>
  <c r="AP36" i="1"/>
  <c r="AQ28" i="1"/>
  <c r="B29" i="1"/>
  <c r="AH29" i="1" s="1"/>
  <c r="W40" i="2"/>
  <c r="AQ29" i="1"/>
  <c r="AP27" i="1"/>
  <c r="B17" i="6"/>
  <c r="B24" i="1"/>
  <c r="AH24" i="1" s="1"/>
  <c r="M40" i="2"/>
  <c r="B32" i="1"/>
  <c r="AH32" i="1" s="1"/>
  <c r="AC40" i="2"/>
  <c r="AQ24" i="1"/>
  <c r="AQ33" i="1"/>
  <c r="AQ27" i="1"/>
  <c r="AQ30" i="1"/>
  <c r="B31" i="1"/>
  <c r="AH31" i="1" s="1"/>
  <c r="AA36" i="2"/>
  <c r="E31" i="1" s="1"/>
  <c r="AI31" i="1" s="1"/>
  <c r="B33" i="1"/>
  <c r="AH33" i="1" s="1"/>
  <c r="AE40" i="2"/>
  <c r="AQ25" i="1"/>
  <c r="AQ34" i="1"/>
  <c r="L32" i="2"/>
  <c r="K32" i="2" s="1"/>
  <c r="J32" i="2" s="1"/>
  <c r="I32" i="2" s="1"/>
  <c r="H32" i="2" s="1"/>
  <c r="G32" i="2" s="1"/>
  <c r="E32" i="2" s="1"/>
  <c r="E33" i="2" s="1"/>
  <c r="AP35" i="1"/>
  <c r="AP30" i="1"/>
  <c r="L38" i="2"/>
  <c r="H23" i="1" s="1"/>
  <c r="C17" i="6"/>
  <c r="AP26" i="1"/>
  <c r="B34" i="1"/>
  <c r="AH34" i="1" s="1"/>
  <c r="AG40" i="2"/>
  <c r="AQ26" i="1"/>
  <c r="AP25" i="1"/>
  <c r="O40" i="2"/>
  <c r="AQ37" i="1"/>
  <c r="B37" i="1"/>
  <c r="AH37" i="1" s="1"/>
  <c r="AM40" i="2"/>
  <c r="AK33" i="2"/>
  <c r="AO33" i="2"/>
  <c r="AN33" i="2" s="1"/>
  <c r="AM33" i="2" s="1"/>
  <c r="B38" i="1"/>
  <c r="AH38" i="1" s="1"/>
  <c r="AO40" i="2"/>
  <c r="AK40" i="2"/>
  <c r="AI33" i="2"/>
  <c r="AI40" i="2"/>
  <c r="AV33" i="6" l="1"/>
  <c r="AV35" i="6" s="1"/>
  <c r="AV32" i="6"/>
  <c r="AV34" i="6" s="1"/>
  <c r="AW30" i="6"/>
  <c r="AW33" i="6"/>
  <c r="AW35" i="6" s="1"/>
  <c r="AW32" i="6"/>
  <c r="AW34" i="6" s="1"/>
  <c r="AP21" i="1"/>
  <c r="AH21" i="1"/>
  <c r="AR23" i="1"/>
  <c r="AJ23" i="1"/>
  <c r="AV23" i="1" s="1"/>
  <c r="AZ37" i="6"/>
  <c r="S25" i="6" s="1"/>
  <c r="B12" i="8" s="1"/>
  <c r="AU32" i="6"/>
  <c r="AU34" i="6" s="1"/>
  <c r="AU33" i="6"/>
  <c r="AU35" i="6" s="1"/>
  <c r="AU30" i="6"/>
  <c r="AT30" i="6"/>
  <c r="AT33" i="6"/>
  <c r="AT35" i="6" s="1"/>
  <c r="AU31" i="1"/>
  <c r="AU23" i="1"/>
  <c r="AP22" i="1"/>
  <c r="AA40" i="2"/>
  <c r="Y40" i="2" s="1"/>
  <c r="AW26" i="1"/>
  <c r="AW27" i="1"/>
  <c r="AW28" i="1"/>
  <c r="I33" i="6"/>
  <c r="K40" i="2"/>
  <c r="AO32" i="6"/>
  <c r="AO34" i="6" s="1"/>
  <c r="AO30" i="6"/>
  <c r="AO33" i="6"/>
  <c r="AO35" i="6" s="1"/>
  <c r="AT27" i="1"/>
  <c r="AT28" i="1"/>
  <c r="AS27" i="1"/>
  <c r="AS24" i="1"/>
  <c r="AS30" i="1"/>
  <c r="AS34" i="1"/>
  <c r="AQ32" i="1"/>
  <c r="AU32" i="1"/>
  <c r="AQ31" i="1"/>
  <c r="AP32" i="1"/>
  <c r="AP23" i="1"/>
  <c r="AQ23" i="1"/>
  <c r="C21" i="6"/>
  <c r="J32" i="6"/>
  <c r="G20" i="6"/>
  <c r="D21" i="6"/>
  <c r="J33" i="6"/>
  <c r="J38" i="2"/>
  <c r="H22" i="1" s="1"/>
  <c r="AP31" i="1"/>
  <c r="AT26" i="1"/>
  <c r="AS26" i="1" s="1"/>
  <c r="AP24" i="1"/>
  <c r="AS28" i="1"/>
  <c r="AS29" i="1"/>
  <c r="AP33" i="1"/>
  <c r="G36" i="2"/>
  <c r="H20" i="6"/>
  <c r="AP34" i="1"/>
  <c r="AS25" i="1"/>
  <c r="J31" i="6"/>
  <c r="B22" i="6"/>
  <c r="B21" i="6"/>
  <c r="AP28" i="1"/>
  <c r="I20" i="6"/>
  <c r="AS33" i="1"/>
  <c r="AP29" i="1"/>
  <c r="L33" i="2"/>
  <c r="K33" i="2" s="1"/>
  <c r="J33" i="2" s="1"/>
  <c r="I33" i="2" s="1"/>
  <c r="H33" i="2" s="1"/>
  <c r="G33" i="2" s="1"/>
  <c r="AU37" i="1"/>
  <c r="AQ38" i="1"/>
  <c r="AS37" i="1"/>
  <c r="AP37" i="1"/>
  <c r="AP38" i="1"/>
  <c r="AQ36" i="1"/>
  <c r="AQ35" i="1"/>
  <c r="AS13" i="1"/>
  <c r="AT13" i="1"/>
  <c r="AV36" i="6" l="1"/>
  <c r="AV37" i="6" s="1"/>
  <c r="AW36" i="6"/>
  <c r="AR22" i="1"/>
  <c r="AJ22" i="1"/>
  <c r="AV22" i="1" s="1"/>
  <c r="AU36" i="6"/>
  <c r="AT34" i="6"/>
  <c r="AT36" i="6" s="1"/>
  <c r="AT40" i="6"/>
  <c r="E21" i="1"/>
  <c r="AI21" i="1" s="1"/>
  <c r="AW23" i="1"/>
  <c r="I32" i="6"/>
  <c r="AO36" i="6"/>
  <c r="AS31" i="1"/>
  <c r="U9" i="6"/>
  <c r="U15" i="6"/>
  <c r="U6" i="6"/>
  <c r="U13" i="6"/>
  <c r="U12" i="6"/>
  <c r="U11" i="6"/>
  <c r="U4" i="6"/>
  <c r="U8" i="6"/>
  <c r="U7" i="6"/>
  <c r="U5" i="6"/>
  <c r="U10" i="6"/>
  <c r="U16" i="6"/>
  <c r="U14" i="6"/>
  <c r="W5" i="6"/>
  <c r="W7" i="6"/>
  <c r="W9" i="6"/>
  <c r="W15" i="6"/>
  <c r="W14" i="6"/>
  <c r="W16" i="6"/>
  <c r="W6" i="6"/>
  <c r="W11" i="6"/>
  <c r="W10" i="6"/>
  <c r="W8" i="6"/>
  <c r="W12" i="6"/>
  <c r="W13" i="6"/>
  <c r="W4" i="6"/>
  <c r="H38" i="2"/>
  <c r="H21" i="1" s="1"/>
  <c r="I40" i="2"/>
  <c r="AU22" i="1"/>
  <c r="AQ22" i="1"/>
  <c r="V6" i="6"/>
  <c r="V14" i="6"/>
  <c r="V5" i="6"/>
  <c r="V8" i="6"/>
  <c r="V9" i="6"/>
  <c r="V11" i="6"/>
  <c r="V7" i="6"/>
  <c r="V10" i="6"/>
  <c r="V12" i="6"/>
  <c r="V13" i="6"/>
  <c r="V16" i="6"/>
  <c r="V15" i="6"/>
  <c r="V4" i="6"/>
  <c r="AS32" i="1"/>
  <c r="AS38" i="1"/>
  <c r="AU38" i="1"/>
  <c r="AU36" i="1"/>
  <c r="AU35" i="1"/>
  <c r="AS35" i="1"/>
  <c r="AS36" i="1"/>
  <c r="AW37" i="6" l="1"/>
  <c r="AR21" i="1"/>
  <c r="AJ21" i="1"/>
  <c r="AV21" i="1" s="1"/>
  <c r="AU37" i="6"/>
  <c r="AT37" i="6"/>
  <c r="AU21" i="1"/>
  <c r="AO37" i="6"/>
  <c r="AW22" i="1"/>
  <c r="I31" i="6"/>
  <c r="AT23" i="1"/>
  <c r="AS23" i="1" s="1"/>
  <c r="U17" i="6"/>
  <c r="V17" i="6"/>
  <c r="D20" i="6"/>
  <c r="AT22" i="1"/>
  <c r="AS22" i="1" s="1"/>
  <c r="G40" i="2"/>
  <c r="W17" i="6"/>
  <c r="AQ21" i="1"/>
  <c r="AW21" i="1" l="1"/>
  <c r="R16" i="6"/>
  <c r="R13" i="6"/>
  <c r="R15" i="6"/>
  <c r="R14" i="6"/>
  <c r="R6" i="6"/>
  <c r="R5" i="6"/>
  <c r="R7" i="6"/>
  <c r="R8" i="6"/>
  <c r="R9" i="6"/>
  <c r="R4" i="6"/>
  <c r="R10" i="6"/>
  <c r="R11" i="6"/>
  <c r="R12" i="6"/>
  <c r="AS21" i="1"/>
  <c r="C20" i="6"/>
  <c r="Q14" i="6" l="1"/>
  <c r="Q7" i="6"/>
  <c r="Q15" i="6"/>
  <c r="Q13" i="6"/>
  <c r="Q4" i="6"/>
  <c r="Q5" i="6"/>
  <c r="Q8" i="6"/>
  <c r="Q10" i="6"/>
  <c r="Q6" i="6"/>
  <c r="Q9" i="6"/>
  <c r="Q16" i="6"/>
  <c r="Q11" i="6"/>
  <c r="Q12" i="6"/>
  <c r="B20" i="6"/>
  <c r="R17" i="6"/>
  <c r="AT21" i="1"/>
  <c r="P12" i="6" l="1"/>
  <c r="AB12" i="6" s="1"/>
  <c r="P5" i="6"/>
  <c r="AB5" i="6" s="1"/>
  <c r="P8" i="6"/>
  <c r="AB8" i="6" s="1"/>
  <c r="P14" i="6"/>
  <c r="AB14" i="6" s="1"/>
  <c r="P11" i="6"/>
  <c r="AB11" i="6" s="1"/>
  <c r="F28" i="6" s="1"/>
  <c r="F29" i="6" s="1"/>
  <c r="F36" i="6" s="1"/>
  <c r="P10" i="6"/>
  <c r="AB10" i="6" s="1"/>
  <c r="P13" i="6"/>
  <c r="AB13" i="6" s="1"/>
  <c r="P15" i="6"/>
  <c r="AB15" i="6" s="1"/>
  <c r="P16" i="6"/>
  <c r="AB16" i="6" s="1"/>
  <c r="P4" i="6"/>
  <c r="P9" i="6"/>
  <c r="AB9" i="6" s="1"/>
  <c r="P7" i="6"/>
  <c r="AB7" i="6" s="1"/>
  <c r="P6" i="6"/>
  <c r="AB6" i="6" s="1"/>
  <c r="Q17" i="6"/>
  <c r="P17" i="6" l="1"/>
  <c r="AB17" i="6" s="1"/>
  <c r="F48" i="6"/>
  <c r="F49" i="6" s="1"/>
  <c r="F52" i="6" s="1"/>
  <c r="AB4" i="6"/>
  <c r="N291" i="7"/>
  <c r="N350" i="7" s="1"/>
  <c r="K291" i="7"/>
  <c r="K350" i="7" s="1"/>
  <c r="M291" i="7"/>
  <c r="M350" i="7" s="1"/>
  <c r="BO292" i="3"/>
  <c r="BL293" i="3" s="1"/>
  <c r="J291" i="7"/>
  <c r="J350" i="7" s="1"/>
  <c r="BQ288" i="3"/>
  <c r="BQ292" i="3" s="1"/>
  <c r="F25" i="6" l="1"/>
  <c r="F26" i="6" s="1"/>
  <c r="J61" i="6" s="1"/>
  <c r="O291" i="7"/>
  <c r="O350" i="7" s="1"/>
  <c r="R362" i="7" s="1"/>
  <c r="L291" i="7"/>
  <c r="L350" i="7" s="1"/>
  <c r="Q360" i="7" s="1"/>
  <c r="BS300" i="3"/>
  <c r="J57" i="6" l="1"/>
  <c r="I46" i="1" s="1"/>
  <c r="AJ46" i="1" s="1"/>
  <c r="J56" i="6"/>
  <c r="J59" i="6"/>
  <c r="I48" i="1" s="1"/>
  <c r="AJ48" i="1" s="1"/>
  <c r="J60" i="6"/>
  <c r="I49" i="1" s="1"/>
  <c r="AR49" i="1" s="1"/>
  <c r="J58" i="6"/>
  <c r="I47" i="1" s="1"/>
  <c r="AJ47" i="1" s="1"/>
  <c r="AV47" i="1" s="1"/>
  <c r="F38" i="6"/>
  <c r="J47" i="6" s="1"/>
  <c r="I37" i="1" s="1"/>
  <c r="AJ37" i="1" s="1"/>
  <c r="I51" i="1"/>
  <c r="I50" i="1"/>
  <c r="AJ50" i="1" s="1"/>
  <c r="BR302" i="3"/>
  <c r="V364" i="7" s="1"/>
  <c r="V362" i="7"/>
  <c r="Q364" i="7"/>
  <c r="H60" i="1"/>
  <c r="AR46" i="1"/>
  <c r="O42" i="1"/>
  <c r="R42" i="1" s="1"/>
  <c r="J42" i="6" l="1"/>
  <c r="I32" i="1" s="1"/>
  <c r="AJ32" i="1" s="1"/>
  <c r="J48" i="6"/>
  <c r="I38" i="1" s="1"/>
  <c r="AJ38" i="1" s="1"/>
  <c r="J46" i="6"/>
  <c r="I36" i="1" s="1"/>
  <c r="AJ36" i="1" s="1"/>
  <c r="J41" i="6"/>
  <c r="I31" i="1" s="1"/>
  <c r="AJ31" i="1" s="1"/>
  <c r="AV31" i="1" s="1"/>
  <c r="S27" i="6"/>
  <c r="B14" i="8" s="1"/>
  <c r="J40" i="6"/>
  <c r="I30" i="1" s="1"/>
  <c r="AJ30" i="1" s="1"/>
  <c r="AW30" i="1" s="1"/>
  <c r="J50" i="6"/>
  <c r="I40" i="1" s="1"/>
  <c r="AJ40" i="1" s="1"/>
  <c r="AV40" i="1" s="1"/>
  <c r="J39" i="6"/>
  <c r="I29" i="1" s="1"/>
  <c r="AJ29" i="1" s="1"/>
  <c r="J51" i="6"/>
  <c r="I41" i="1" s="1"/>
  <c r="AJ41" i="1" s="1"/>
  <c r="J49" i="6"/>
  <c r="I39" i="1" s="1"/>
  <c r="AJ39" i="1" s="1"/>
  <c r="AV39" i="1" s="1"/>
  <c r="J45" i="6"/>
  <c r="I35" i="1" s="1"/>
  <c r="AJ35" i="1" s="1"/>
  <c r="AR51" i="1"/>
  <c r="AJ51" i="1"/>
  <c r="AJ49" i="1"/>
  <c r="AV49" i="1" s="1"/>
  <c r="AV50" i="1"/>
  <c r="AR50" i="1"/>
  <c r="AR47" i="1"/>
  <c r="AT47" i="1" s="1"/>
  <c r="AR31" i="1"/>
  <c r="AR38" i="1"/>
  <c r="AR32" i="1"/>
  <c r="AR37" i="1"/>
  <c r="AR36" i="1"/>
  <c r="AR48" i="1"/>
  <c r="AT48" i="1" s="1"/>
  <c r="AW47" i="1"/>
  <c r="AV32" i="1"/>
  <c r="AT46" i="1"/>
  <c r="AW46" i="1"/>
  <c r="AV46" i="1"/>
  <c r="AV38" i="1"/>
  <c r="AV37" i="1"/>
  <c r="AV36" i="1"/>
  <c r="I52" i="6"/>
  <c r="AW32" i="1"/>
  <c r="AR30" i="1" l="1"/>
  <c r="AT30" i="1"/>
  <c r="AV29" i="1"/>
  <c r="AV30" i="1"/>
  <c r="AR39" i="1"/>
  <c r="AR29" i="1"/>
  <c r="AT29" i="1" s="1"/>
  <c r="AR40" i="1"/>
  <c r="AT40" i="1" s="1"/>
  <c r="AR35" i="1"/>
  <c r="AV41" i="1"/>
  <c r="AV35" i="1"/>
  <c r="AR41" i="1"/>
  <c r="AT41" i="1" s="1"/>
  <c r="AT51" i="1"/>
  <c r="R59" i="1"/>
  <c r="AV51" i="1"/>
  <c r="H58" i="1"/>
  <c r="U57" i="1"/>
  <c r="AW51" i="1"/>
  <c r="H56" i="1"/>
  <c r="H59" i="1"/>
  <c r="AT49" i="1"/>
  <c r="AW49" i="1"/>
  <c r="AT50" i="1"/>
  <c r="AW50" i="1"/>
  <c r="BM64" i="4"/>
  <c r="BM65" i="4"/>
  <c r="AW41" i="1"/>
  <c r="AW48" i="1"/>
  <c r="AV48" i="1"/>
  <c r="K20" i="6"/>
  <c r="Y5" i="6" s="1"/>
  <c r="AT32" i="1"/>
  <c r="M20" i="6"/>
  <c r="AA10" i="6" s="1"/>
  <c r="AW29" i="1"/>
  <c r="J20" i="6"/>
  <c r="X14" i="6" s="1"/>
  <c r="AT31" i="1"/>
  <c r="L20" i="6"/>
  <c r="Z5" i="6" s="1"/>
  <c r="AW31" i="1"/>
  <c r="AT36" i="1"/>
  <c r="AW39" i="1"/>
  <c r="AW36" i="1"/>
  <c r="BE64" i="4"/>
  <c r="BE65" i="4"/>
  <c r="AT39" i="1"/>
  <c r="AT37" i="1"/>
  <c r="AW37" i="1"/>
  <c r="AT35" i="1"/>
  <c r="AW35" i="1"/>
  <c r="BG65" i="4"/>
  <c r="AW40" i="1"/>
  <c r="AW38" i="1"/>
  <c r="BC64" i="4"/>
  <c r="AT38" i="1"/>
  <c r="BC65" i="4"/>
  <c r="BG64" i="4"/>
  <c r="H62" i="1" l="1"/>
  <c r="Y12" i="6"/>
  <c r="Y15" i="6"/>
  <c r="Y14" i="6"/>
  <c r="X11" i="6"/>
  <c r="Y11" i="6"/>
  <c r="Y6" i="6"/>
  <c r="Y4" i="6"/>
  <c r="Y16" i="6"/>
  <c r="Y13" i="6"/>
  <c r="Y10" i="6"/>
  <c r="Y9" i="6"/>
  <c r="Y7" i="6"/>
  <c r="H63" i="1"/>
  <c r="Z6" i="6"/>
  <c r="Z9" i="6"/>
  <c r="Z13" i="6"/>
  <c r="Y8" i="6"/>
  <c r="AA12" i="6"/>
  <c r="AA13" i="6"/>
  <c r="Z15" i="6"/>
  <c r="X15" i="6"/>
  <c r="X4" i="6"/>
  <c r="Z8" i="6"/>
  <c r="X16" i="6"/>
  <c r="X5" i="6"/>
  <c r="AA9" i="6"/>
  <c r="X9" i="6"/>
  <c r="X8" i="6"/>
  <c r="X12" i="6"/>
  <c r="Z4" i="6"/>
  <c r="X6" i="6"/>
  <c r="X13" i="6"/>
  <c r="X10" i="6"/>
  <c r="Z16" i="6"/>
  <c r="Z11" i="6"/>
  <c r="AA15" i="6"/>
  <c r="AA14" i="6"/>
  <c r="AA6" i="6"/>
  <c r="AA11" i="6"/>
  <c r="AA5" i="6"/>
  <c r="AA8" i="6"/>
  <c r="Z14" i="6"/>
  <c r="Z7" i="6"/>
  <c r="AA4" i="6"/>
  <c r="AA16" i="6"/>
  <c r="AA7" i="6"/>
  <c r="X7" i="6"/>
  <c r="Z12" i="6"/>
  <c r="Z10" i="6"/>
  <c r="AG31" i="6"/>
  <c r="AG37" i="6" s="1"/>
  <c r="J43" i="6"/>
  <c r="J44" i="6"/>
  <c r="AH31" i="6"/>
  <c r="AH37" i="6" s="1"/>
  <c r="Y17" i="6" l="1"/>
  <c r="AA17" i="6"/>
  <c r="X17" i="6"/>
  <c r="Z17" i="6"/>
  <c r="I34" i="1"/>
  <c r="AJ34" i="1" s="1"/>
  <c r="I33" i="1"/>
  <c r="AJ33" i="1" s="1"/>
  <c r="AZ40" i="6"/>
  <c r="AR34" i="1" l="1"/>
  <c r="AR33" i="1"/>
  <c r="AV33" i="1"/>
  <c r="AV34" i="1"/>
  <c r="J52" i="6"/>
  <c r="AP31" i="6"/>
  <c r="AP29" i="6" s="1"/>
  <c r="AP56" i="6"/>
  <c r="AP62" i="6" l="1"/>
  <c r="AS33" i="6"/>
  <c r="AS35" i="6" s="1"/>
  <c r="AS30" i="6"/>
  <c r="AS32" i="6"/>
  <c r="AT34" i="1"/>
  <c r="AW34" i="1"/>
  <c r="AT33" i="1"/>
  <c r="AW33" i="1"/>
  <c r="AP30" i="6"/>
  <c r="AP32" i="6"/>
  <c r="AP34" i="6" s="1"/>
  <c r="AP33" i="6"/>
  <c r="AP35" i="6" s="1"/>
  <c r="AS34" i="6" l="1"/>
  <c r="AS36" i="6" s="1"/>
  <c r="AP36" i="6"/>
  <c r="I42" i="1" l="1"/>
  <c r="AJ42" i="1" s="1"/>
  <c r="AS37" i="6"/>
  <c r="I45" i="1"/>
  <c r="AJ45" i="1" s="1"/>
  <c r="AP37" i="6"/>
  <c r="AR42" i="1" l="1"/>
  <c r="AV42" i="1"/>
  <c r="AR45" i="1"/>
  <c r="BT269" i="3"/>
  <c r="BW269" i="3"/>
  <c r="AB5" i="7"/>
  <c r="BT264" i="3"/>
  <c r="BW265" i="3"/>
  <c r="BW266" i="3"/>
  <c r="BT266" i="3"/>
  <c r="BW268" i="3"/>
  <c r="CB62" i="4"/>
  <c r="BT258" i="3"/>
  <c r="BT265" i="3"/>
  <c r="BT267" i="3"/>
  <c r="BW267" i="3"/>
  <c r="BT257" i="3"/>
  <c r="BT259" i="3"/>
  <c r="BT263" i="3"/>
  <c r="BT260" i="3"/>
  <c r="BT268" i="3"/>
  <c r="AC14" i="7" l="1"/>
  <c r="AC30" i="7"/>
  <c r="AC16" i="7"/>
  <c r="AC24" i="7"/>
  <c r="AC32" i="7"/>
  <c r="AC34" i="7"/>
  <c r="AC22" i="7"/>
  <c r="AC26" i="7"/>
  <c r="AC10" i="7"/>
  <c r="Z14" i="7"/>
  <c r="Z21" i="7"/>
  <c r="AC15" i="7"/>
  <c r="AC19" i="7"/>
  <c r="Z13" i="7"/>
  <c r="AC21" i="7"/>
  <c r="Z9" i="7"/>
  <c r="Z17" i="7"/>
  <c r="AC18" i="7"/>
  <c r="Z22" i="7"/>
  <c r="AC33" i="7"/>
  <c r="AC31" i="7"/>
  <c r="Z19" i="7"/>
  <c r="Z10" i="7"/>
  <c r="AC27" i="7"/>
  <c r="AC25" i="7"/>
  <c r="AC9" i="7"/>
  <c r="Z25" i="7"/>
  <c r="Z16" i="7"/>
  <c r="AC28" i="7"/>
  <c r="AC12" i="7"/>
  <c r="Z15" i="7"/>
  <c r="Z18" i="7"/>
  <c r="Z23" i="7"/>
  <c r="Z20" i="7"/>
  <c r="Z24" i="7"/>
  <c r="AC13" i="7"/>
  <c r="AC20" i="7"/>
  <c r="AC11" i="7"/>
  <c r="AC17" i="7"/>
  <c r="AC23" i="7"/>
  <c r="Z11" i="7"/>
  <c r="Z12" i="7"/>
  <c r="AC29" i="7"/>
  <c r="AV45" i="1"/>
  <c r="AW45" i="1"/>
  <c r="BS65" i="4"/>
  <c r="AT42" i="1"/>
  <c r="BS64" i="4"/>
  <c r="AT45" i="1"/>
  <c r="AW42" i="1"/>
  <c r="O57" i="1"/>
  <c r="O58" i="1" s="1"/>
  <c r="O59" i="1" s="1"/>
  <c r="CC37" i="4"/>
  <c r="CC24" i="4"/>
  <c r="CC48" i="4"/>
  <c r="CC39" i="4"/>
  <c r="BX296" i="3"/>
  <c r="BZ258" i="3"/>
  <c r="BZ259" i="3"/>
  <c r="BZ257" i="3"/>
  <c r="AI5" i="7"/>
  <c r="CC266" i="3"/>
  <c r="BZ266" i="3"/>
  <c r="BZ256" i="3"/>
  <c r="CC265" i="3"/>
  <c r="BZ264" i="3"/>
  <c r="BZ274" i="3"/>
  <c r="CC274" i="3"/>
  <c r="BZ265" i="3"/>
  <c r="Z254" i="7"/>
  <c r="AC202" i="7"/>
  <c r="AC190" i="7"/>
  <c r="Z192" i="7"/>
  <c r="AC143" i="7"/>
  <c r="AC89" i="7"/>
  <c r="AC91" i="7"/>
  <c r="Z69" i="7"/>
  <c r="AC247" i="7"/>
  <c r="Z256" i="7"/>
  <c r="AC185" i="7"/>
  <c r="AC204" i="7"/>
  <c r="Z196" i="7"/>
  <c r="AC127" i="7"/>
  <c r="AC147" i="7"/>
  <c r="AC73" i="7"/>
  <c r="Z74" i="7"/>
  <c r="Z255" i="7"/>
  <c r="AC137" i="7"/>
  <c r="AC93" i="7"/>
  <c r="Z80" i="7"/>
  <c r="AC253" i="7"/>
  <c r="Z248" i="7"/>
  <c r="AC192" i="7"/>
  <c r="AC208" i="7"/>
  <c r="Z190" i="7"/>
  <c r="AC140" i="7"/>
  <c r="AC135" i="7"/>
  <c r="AC149" i="7"/>
  <c r="Z130" i="7"/>
  <c r="Z138" i="7"/>
  <c r="AC72" i="7"/>
  <c r="AC76" i="7"/>
  <c r="Z76" i="7"/>
  <c r="AC261" i="7"/>
  <c r="Z250" i="7"/>
  <c r="AC200" i="7"/>
  <c r="AC186" i="7"/>
  <c r="Z187" i="7"/>
  <c r="Z194" i="7"/>
  <c r="AC148" i="7"/>
  <c r="AC138" i="7"/>
  <c r="Z142" i="7"/>
  <c r="AC80" i="7"/>
  <c r="AC83" i="7"/>
  <c r="Z77" i="7"/>
  <c r="Z242" i="7"/>
  <c r="Z184" i="7"/>
  <c r="AC145" i="7"/>
  <c r="AC129" i="7"/>
  <c r="AC84" i="7"/>
  <c r="AC75" i="7"/>
  <c r="AC184" i="7"/>
  <c r="AC79" i="7"/>
  <c r="Z68" i="7"/>
  <c r="AC133" i="7"/>
  <c r="AC85" i="7"/>
  <c r="AC251" i="7"/>
  <c r="AC126" i="7"/>
  <c r="Z82" i="7"/>
  <c r="AC71" i="7"/>
  <c r="AC131" i="7"/>
  <c r="Z191" i="7"/>
  <c r="AC194" i="7"/>
  <c r="AC265" i="7"/>
  <c r="AC255" i="7"/>
  <c r="Z78" i="7"/>
  <c r="Z139" i="7"/>
  <c r="Z131" i="7"/>
  <c r="Z200" i="7"/>
  <c r="Z251" i="7"/>
  <c r="AC193" i="7"/>
  <c r="Z246" i="7"/>
  <c r="Z81" i="7"/>
  <c r="AC90" i="7"/>
  <c r="AC78" i="7"/>
  <c r="AC144" i="7"/>
  <c r="AC130" i="7"/>
  <c r="AC196" i="7"/>
  <c r="Z244" i="7"/>
  <c r="Z126" i="7"/>
  <c r="Z189" i="7"/>
  <c r="AC248" i="7"/>
  <c r="AC264" i="7"/>
  <c r="Z185" i="7"/>
  <c r="AC205" i="7"/>
  <c r="AC242" i="7"/>
  <c r="AC258" i="7"/>
  <c r="Z84" i="7"/>
  <c r="AC87" i="7"/>
  <c r="AC69" i="7"/>
  <c r="AC151" i="7"/>
  <c r="Z199" i="7"/>
  <c r="AC263" i="7"/>
  <c r="AC249" i="7"/>
  <c r="Z70" i="7"/>
  <c r="Z137" i="7"/>
  <c r="Z129" i="7"/>
  <c r="Z186" i="7"/>
  <c r="Z249" i="7"/>
  <c r="AC146" i="7"/>
  <c r="Z198" i="7"/>
  <c r="AC191" i="7"/>
  <c r="Z73" i="7"/>
  <c r="AC88" i="7"/>
  <c r="AC74" i="7"/>
  <c r="Z134" i="7"/>
  <c r="AC142" i="7"/>
  <c r="AC188" i="7"/>
  <c r="AC245" i="7"/>
  <c r="Z75" i="7"/>
  <c r="Z128" i="7"/>
  <c r="AC199" i="7"/>
  <c r="AC252" i="7"/>
  <c r="Z193" i="7"/>
  <c r="AC209" i="7"/>
  <c r="AC246" i="7"/>
  <c r="AC262" i="7"/>
  <c r="Z72" i="7"/>
  <c r="AC81" i="7"/>
  <c r="AC141" i="7"/>
  <c r="Z197" i="7"/>
  <c r="AC206" i="7"/>
  <c r="AC259" i="7"/>
  <c r="AC243" i="7"/>
  <c r="AC68" i="7"/>
  <c r="Z135" i="7"/>
  <c r="Z127" i="7"/>
  <c r="Z257" i="7"/>
  <c r="Z243" i="7"/>
  <c r="AC136" i="7"/>
  <c r="Z188" i="7"/>
  <c r="AC189" i="7"/>
  <c r="Z71" i="7"/>
  <c r="AC86" i="7"/>
  <c r="AC70" i="7"/>
  <c r="AC134" i="7"/>
  <c r="Z258" i="7"/>
  <c r="Z247" i="7"/>
  <c r="Z79" i="7"/>
  <c r="AC128" i="7"/>
  <c r="Z136" i="7"/>
  <c r="AC203" i="7"/>
  <c r="AC256" i="7"/>
  <c r="Z132" i="7"/>
  <c r="AC197" i="7"/>
  <c r="AC250" i="7"/>
  <c r="AC266" i="7"/>
  <c r="AC77" i="7"/>
  <c r="AC139" i="7"/>
  <c r="Z195" i="7"/>
  <c r="AC198" i="7"/>
  <c r="AC267" i="7"/>
  <c r="AC257" i="7"/>
  <c r="Z141" i="7"/>
  <c r="Z133" i="7"/>
  <c r="Z253" i="7"/>
  <c r="AC195" i="7"/>
  <c r="AC187" i="7"/>
  <c r="AC92" i="7"/>
  <c r="AC82" i="7"/>
  <c r="AC150" i="7"/>
  <c r="AC132" i="7"/>
  <c r="Z252" i="7"/>
  <c r="Z245" i="7"/>
  <c r="Z83" i="7"/>
  <c r="AC207" i="7"/>
  <c r="AC244" i="7"/>
  <c r="AC260" i="7"/>
  <c r="Z140" i="7"/>
  <c r="AC201" i="7"/>
  <c r="AC254" i="7"/>
  <c r="CH62" i="4"/>
  <c r="N43" i="1"/>
  <c r="Q43" i="1" s="1"/>
  <c r="AI43" i="1" s="1"/>
  <c r="BT292" i="3"/>
  <c r="S29" i="7"/>
  <c r="V45" i="7"/>
  <c r="S51" i="7"/>
  <c r="S56" i="7"/>
  <c r="S52" i="7"/>
  <c r="V56" i="7"/>
  <c r="V48" i="7"/>
  <c r="S42" i="7"/>
  <c r="S47" i="7"/>
  <c r="V53" i="7"/>
  <c r="S43" i="7"/>
  <c r="V46" i="7"/>
  <c r="V38" i="7"/>
  <c r="V35" i="7"/>
  <c r="S60" i="7"/>
  <c r="V49" i="7"/>
  <c r="S57" i="7"/>
  <c r="S44" i="7"/>
  <c r="S41" i="7"/>
  <c r="S32" i="7"/>
  <c r="V43" i="7"/>
  <c r="S55" i="7"/>
  <c r="S40" i="7"/>
  <c r="S33" i="7"/>
  <c r="S34" i="7"/>
  <c r="V39" i="7"/>
  <c r="V55" i="7"/>
  <c r="V50" i="7"/>
  <c r="S37" i="7"/>
  <c r="V58" i="7"/>
  <c r="S48" i="7"/>
  <c r="S28" i="7"/>
  <c r="S49" i="7"/>
  <c r="S45" i="7"/>
  <c r="S61" i="7"/>
  <c r="S39" i="7"/>
  <c r="V51" i="7"/>
  <c r="S31" i="7"/>
  <c r="S26" i="7"/>
  <c r="V40" i="7"/>
  <c r="S30" i="7"/>
  <c r="V47" i="7"/>
  <c r="S58" i="7"/>
  <c r="V59" i="7"/>
  <c r="S54" i="7"/>
  <c r="V41" i="7"/>
  <c r="S35" i="7"/>
  <c r="S50" i="7"/>
  <c r="S27" i="7"/>
  <c r="S59" i="7"/>
  <c r="V52" i="7"/>
  <c r="V57" i="7"/>
  <c r="V44" i="7"/>
  <c r="V42" i="7"/>
  <c r="S36" i="7"/>
  <c r="V60" i="7"/>
  <c r="V61" i="7"/>
  <c r="V37" i="7"/>
  <c r="V36" i="7"/>
  <c r="S53" i="7"/>
  <c r="S46" i="7"/>
  <c r="V54" i="7"/>
  <c r="S38" i="7"/>
  <c r="V97" i="7"/>
  <c r="V113" i="7"/>
  <c r="S159" i="7"/>
  <c r="S175" i="7"/>
  <c r="S97" i="7"/>
  <c r="S113" i="7"/>
  <c r="V177" i="7"/>
  <c r="V173" i="7"/>
  <c r="S162" i="7"/>
  <c r="S100" i="7"/>
  <c r="S106" i="7"/>
  <c r="V156" i="7"/>
  <c r="V99" i="7"/>
  <c r="V159" i="7"/>
  <c r="V176" i="7"/>
  <c r="S88" i="7"/>
  <c r="S86" i="7"/>
  <c r="S115" i="7"/>
  <c r="S172" i="7"/>
  <c r="V110" i="7"/>
  <c r="S108" i="7"/>
  <c r="S150" i="7"/>
  <c r="V162" i="7"/>
  <c r="V107" i="7"/>
  <c r="V167" i="7"/>
  <c r="S153" i="7"/>
  <c r="V116" i="7"/>
  <c r="V94" i="7"/>
  <c r="S107" i="7"/>
  <c r="S164" i="7"/>
  <c r="S90" i="7"/>
  <c r="V154" i="7"/>
  <c r="S231" i="7"/>
  <c r="S228" i="7"/>
  <c r="V221" i="7"/>
  <c r="V268" i="7"/>
  <c r="S205" i="7"/>
  <c r="S202" i="7"/>
  <c r="S234" i="7"/>
  <c r="V224" i="7"/>
  <c r="V271" i="7"/>
  <c r="V287" i="7"/>
  <c r="S220" i="7"/>
  <c r="S215" i="7"/>
  <c r="V215" i="7"/>
  <c r="V231" i="7"/>
  <c r="V278" i="7"/>
  <c r="V294" i="7"/>
  <c r="S225" i="7"/>
  <c r="S222" i="7"/>
  <c r="V218" i="7"/>
  <c r="V234" i="7"/>
  <c r="V281" i="7"/>
  <c r="V280" i="7"/>
  <c r="V117" i="7"/>
  <c r="S143" i="7"/>
  <c r="S117" i="7"/>
  <c r="V153" i="7"/>
  <c r="V120" i="7"/>
  <c r="S111" i="7"/>
  <c r="S94" i="7"/>
  <c r="V108" i="7"/>
  <c r="S99" i="7"/>
  <c r="S173" i="7"/>
  <c r="S98" i="7"/>
  <c r="S176" i="7"/>
  <c r="S118" i="7"/>
  <c r="V100" i="7"/>
  <c r="S91" i="7"/>
  <c r="V102" i="7"/>
  <c r="S204" i="7"/>
  <c r="V225" i="7"/>
  <c r="S214" i="7"/>
  <c r="S209" i="7"/>
  <c r="V228" i="7"/>
  <c r="V291" i="7"/>
  <c r="S224" i="7"/>
  <c r="V235" i="7"/>
  <c r="S201" i="7"/>
  <c r="S230" i="7"/>
  <c r="V269" i="7"/>
  <c r="V288" i="7"/>
  <c r="V105" i="7"/>
  <c r="S167" i="7"/>
  <c r="S105" i="7"/>
  <c r="S155" i="7"/>
  <c r="V109" i="7"/>
  <c r="S151" i="7"/>
  <c r="S171" i="7"/>
  <c r="S93" i="7"/>
  <c r="S109" i="7"/>
  <c r="V161" i="7"/>
  <c r="V157" i="7"/>
  <c r="S146" i="7"/>
  <c r="S116" i="7"/>
  <c r="S166" i="7"/>
  <c r="V170" i="7"/>
  <c r="V115" i="7"/>
  <c r="V175" i="7"/>
  <c r="S169" i="7"/>
  <c r="S104" i="7"/>
  <c r="S110" i="7"/>
  <c r="V158" i="7"/>
  <c r="V103" i="7"/>
  <c r="S114" i="7"/>
  <c r="V164" i="7"/>
  <c r="V96" i="7"/>
  <c r="V178" i="7"/>
  <c r="S87" i="7"/>
  <c r="S144" i="7"/>
  <c r="V98" i="7"/>
  <c r="S96" i="7"/>
  <c r="S102" i="7"/>
  <c r="V152" i="7"/>
  <c r="V95" i="7"/>
  <c r="V155" i="7"/>
  <c r="V172" i="7"/>
  <c r="S223" i="7"/>
  <c r="S219" i="7"/>
  <c r="V217" i="7"/>
  <c r="V233" i="7"/>
  <c r="V284" i="7"/>
  <c r="S229" i="7"/>
  <c r="S226" i="7"/>
  <c r="V220" i="7"/>
  <c r="V236" i="7"/>
  <c r="V283" i="7"/>
  <c r="S212" i="7"/>
  <c r="S207" i="7"/>
  <c r="V211" i="7"/>
  <c r="V227" i="7"/>
  <c r="V274" i="7"/>
  <c r="V290" i="7"/>
  <c r="S218" i="7"/>
  <c r="S213" i="7"/>
  <c r="V214" i="7"/>
  <c r="V230" i="7"/>
  <c r="V277" i="7"/>
  <c r="V293" i="7"/>
  <c r="V101" i="7"/>
  <c r="S163" i="7"/>
  <c r="S101" i="7"/>
  <c r="V165" i="7"/>
  <c r="S178" i="7"/>
  <c r="V118" i="7"/>
  <c r="S168" i="7"/>
  <c r="V160" i="7"/>
  <c r="S165" i="7"/>
  <c r="S156" i="7"/>
  <c r="S92" i="7"/>
  <c r="S119" i="7"/>
  <c r="V168" i="7"/>
  <c r="S149" i="7"/>
  <c r="S148" i="7"/>
  <c r="S208" i="7"/>
  <c r="S235" i="7"/>
  <c r="V272" i="7"/>
  <c r="V212" i="7"/>
  <c r="V275" i="7"/>
  <c r="S227" i="7"/>
  <c r="V219" i="7"/>
  <c r="V282" i="7"/>
  <c r="S233" i="7"/>
  <c r="V222" i="7"/>
  <c r="V285" i="7"/>
  <c r="S147" i="7"/>
  <c r="S89" i="7"/>
  <c r="S85" i="7"/>
  <c r="V169" i="7"/>
  <c r="S95" i="7"/>
  <c r="S170" i="7"/>
  <c r="S145" i="7"/>
  <c r="S160" i="7"/>
  <c r="V166" i="7"/>
  <c r="S216" i="7"/>
  <c r="V276" i="7"/>
  <c r="V232" i="7"/>
  <c r="S232" i="7"/>
  <c r="S210" i="7"/>
  <c r="V273" i="7"/>
  <c r="S152" i="7"/>
  <c r="V174" i="7"/>
  <c r="V114" i="7"/>
  <c r="S211" i="7"/>
  <c r="V279" i="7"/>
  <c r="S206" i="7"/>
  <c r="V106" i="7"/>
  <c r="V119" i="7"/>
  <c r="S112" i="7"/>
  <c r="S217" i="7"/>
  <c r="V270" i="7"/>
  <c r="V292" i="7"/>
  <c r="S158" i="7"/>
  <c r="S161" i="7"/>
  <c r="S120" i="7"/>
  <c r="V163" i="7"/>
  <c r="S103" i="7"/>
  <c r="S154" i="7"/>
  <c r="S157" i="7"/>
  <c r="V229" i="7"/>
  <c r="V216" i="7"/>
  <c r="S236" i="7"/>
  <c r="V286" i="7"/>
  <c r="V226" i="7"/>
  <c r="S174" i="7"/>
  <c r="V112" i="7"/>
  <c r="V111" i="7"/>
  <c r="S221" i="7"/>
  <c r="V223" i="7"/>
  <c r="V289" i="7"/>
  <c r="V104" i="7"/>
  <c r="S177" i="7"/>
  <c r="V171" i="7"/>
  <c r="V213" i="7"/>
  <c r="S203" i="7"/>
  <c r="V210" i="7"/>
  <c r="BT42" i="4"/>
  <c r="BW40" i="4"/>
  <c r="BT27" i="4"/>
  <c r="BT22" i="4"/>
  <c r="BT39" i="4"/>
  <c r="BT26" i="4"/>
  <c r="BT33" i="4"/>
  <c r="BW39" i="4"/>
  <c r="CC27" i="4"/>
  <c r="BW34" i="4"/>
  <c r="BT28" i="4"/>
  <c r="CC22" i="4"/>
  <c r="BW42" i="4"/>
  <c r="BW33" i="4"/>
  <c r="BT34" i="4"/>
  <c r="BT40" i="4"/>
  <c r="BY300" i="3"/>
  <c r="AC362" i="7" s="1"/>
  <c r="BW292" i="3"/>
  <c r="M43" i="1" l="1"/>
  <c r="P43" i="1" s="1"/>
  <c r="AC358" i="7"/>
  <c r="Z310" i="7"/>
  <c r="AC319" i="7"/>
  <c r="AC307" i="7"/>
  <c r="AC316" i="7"/>
  <c r="V352" i="7"/>
  <c r="S325" i="7"/>
  <c r="V341" i="7"/>
  <c r="S334" i="7"/>
  <c r="V349" i="7"/>
  <c r="V332" i="7"/>
  <c r="S320" i="7"/>
  <c r="S324" i="7"/>
  <c r="V338" i="7"/>
  <c r="AC315" i="7"/>
  <c r="AC305" i="7"/>
  <c r="Z308" i="7"/>
  <c r="AC325" i="7"/>
  <c r="Z301" i="7"/>
  <c r="AC318" i="7"/>
  <c r="S330" i="7"/>
  <c r="V328" i="7"/>
  <c r="S328" i="7"/>
  <c r="V344" i="7"/>
  <c r="S327" i="7"/>
  <c r="S350" i="7"/>
  <c r="S318" i="7"/>
  <c r="S353" i="7"/>
  <c r="S340" i="7"/>
  <c r="V347" i="7"/>
  <c r="S332" i="7"/>
  <c r="S333" i="7"/>
  <c r="S352" i="7"/>
  <c r="S335" i="7"/>
  <c r="V340" i="7"/>
  <c r="S343" i="7"/>
  <c r="AC321" i="7"/>
  <c r="AC309" i="7"/>
  <c r="Z316" i="7"/>
  <c r="Z307" i="7"/>
  <c r="Z317" i="7"/>
  <c r="Z302" i="7"/>
  <c r="Z314" i="7"/>
  <c r="AC313" i="7"/>
  <c r="Z313" i="7"/>
  <c r="AC314" i="7"/>
  <c r="AC308" i="7"/>
  <c r="S345" i="7"/>
  <c r="S342" i="7"/>
  <c r="S331" i="7"/>
  <c r="V346" i="7"/>
  <c r="V329" i="7"/>
  <c r="V334" i="7"/>
  <c r="S351" i="7"/>
  <c r="V333" i="7"/>
  <c r="V339" i="7"/>
  <c r="S323" i="7"/>
  <c r="S337" i="7"/>
  <c r="V350" i="7"/>
  <c r="V331" i="7"/>
  <c r="S347" i="7"/>
  <c r="S336" i="7"/>
  <c r="V327" i="7"/>
  <c r="V345" i="7"/>
  <c r="V348" i="7"/>
  <c r="V337" i="7"/>
  <c r="Z304" i="7"/>
  <c r="AC303" i="7"/>
  <c r="Z312" i="7"/>
  <c r="AC304" i="7"/>
  <c r="AC301" i="7"/>
  <c r="Z311" i="7"/>
  <c r="AC310" i="7"/>
  <c r="Z305" i="7"/>
  <c r="Z306" i="7"/>
  <c r="AC326" i="7"/>
  <c r="AC322" i="7"/>
  <c r="V351" i="7"/>
  <c r="V342" i="7"/>
  <c r="S348" i="7"/>
  <c r="S338" i="7"/>
  <c r="V353" i="7"/>
  <c r="V336" i="7"/>
  <c r="S319" i="7"/>
  <c r="S346" i="7"/>
  <c r="S322" i="7"/>
  <c r="V343" i="7"/>
  <c r="S341" i="7"/>
  <c r="S329" i="7"/>
  <c r="S326" i="7"/>
  <c r="V335" i="7"/>
  <c r="S349" i="7"/>
  <c r="V330" i="7"/>
  <c r="S339" i="7"/>
  <c r="S344" i="7"/>
  <c r="S321" i="7"/>
  <c r="Z303" i="7"/>
  <c r="AC312" i="7"/>
  <c r="Z315" i="7"/>
  <c r="AC320" i="7"/>
  <c r="AC317" i="7"/>
  <c r="AC323" i="7"/>
  <c r="Z309" i="7"/>
  <c r="AC311" i="7"/>
  <c r="AC302" i="7"/>
  <c r="AC324" i="7"/>
  <c r="AC306" i="7"/>
  <c r="Z34" i="7"/>
  <c r="Z35" i="7"/>
  <c r="Z38" i="7"/>
  <c r="Z46" i="7"/>
  <c r="AC35" i="7"/>
  <c r="AC37" i="7"/>
  <c r="AC41" i="7"/>
  <c r="AC45" i="7"/>
  <c r="Z36" i="7"/>
  <c r="Z42" i="7"/>
  <c r="Z50" i="7"/>
  <c r="Z54" i="7"/>
  <c r="Z58" i="7"/>
  <c r="AC49" i="7"/>
  <c r="AC53" i="7"/>
  <c r="AC57" i="7"/>
  <c r="AC61" i="7"/>
  <c r="AC59" i="7"/>
  <c r="Z60" i="7"/>
  <c r="Z44" i="7"/>
  <c r="AC50" i="7"/>
  <c r="Z37" i="7"/>
  <c r="AC56" i="7"/>
  <c r="AC48" i="7"/>
  <c r="AC40" i="7"/>
  <c r="Z26" i="7"/>
  <c r="Z57" i="7"/>
  <c r="AC38" i="7"/>
  <c r="Z32" i="7"/>
  <c r="AC43" i="7"/>
  <c r="AC51" i="7"/>
  <c r="Z52" i="7"/>
  <c r="AC58" i="7"/>
  <c r="Z45" i="7"/>
  <c r="AC60" i="7"/>
  <c r="AC52" i="7"/>
  <c r="AC44" i="7"/>
  <c r="Z49" i="7"/>
  <c r="AC39" i="7"/>
  <c r="Z48" i="7"/>
  <c r="AC54" i="7"/>
  <c r="Z28" i="7"/>
  <c r="Z59" i="7"/>
  <c r="Z51" i="7"/>
  <c r="Z43" i="7"/>
  <c r="Z27" i="7"/>
  <c r="Z61" i="7"/>
  <c r="AC42" i="7"/>
  <c r="AC47" i="7"/>
  <c r="AC55" i="7"/>
  <c r="Z56" i="7"/>
  <c r="Z40" i="7"/>
  <c r="AC46" i="7"/>
  <c r="Z30" i="7"/>
  <c r="Z55" i="7"/>
  <c r="Z47" i="7"/>
  <c r="Z39" i="7"/>
  <c r="Z53" i="7"/>
  <c r="Z31" i="7"/>
  <c r="Z29" i="7"/>
  <c r="Z41" i="7"/>
  <c r="Z33" i="7"/>
  <c r="AC36" i="7"/>
  <c r="BY60" i="4"/>
  <c r="U43" i="1" s="1"/>
  <c r="X43" i="1" s="1"/>
  <c r="AJ94" i="7"/>
  <c r="AJ35" i="7"/>
  <c r="CD296" i="3"/>
  <c r="AU43" i="1"/>
  <c r="AJ262" i="7"/>
  <c r="AJ261" i="7"/>
  <c r="CI28" i="4"/>
  <c r="CI22" i="4"/>
  <c r="CI27" i="4"/>
  <c r="CI26" i="4"/>
  <c r="CI29" i="4"/>
  <c r="CI25" i="4"/>
  <c r="BZ24" i="4"/>
  <c r="BZ48" i="4"/>
  <c r="BZ39" i="4"/>
  <c r="BZ37" i="4"/>
  <c r="Z103" i="7"/>
  <c r="Z106" i="7"/>
  <c r="Z107" i="7"/>
  <c r="Z102" i="7"/>
  <c r="Z110" i="7"/>
  <c r="Z105" i="7"/>
  <c r="Z109" i="7"/>
  <c r="Z108" i="7"/>
  <c r="Z104" i="7"/>
  <c r="AG14" i="7"/>
  <c r="AG245" i="7"/>
  <c r="AG253" i="7"/>
  <c r="AG185" i="7"/>
  <c r="AG189" i="7"/>
  <c r="AG193" i="7"/>
  <c r="AG197" i="7"/>
  <c r="AJ184" i="7"/>
  <c r="AG129" i="7"/>
  <c r="AG133" i="7"/>
  <c r="AG137" i="7"/>
  <c r="AG247" i="7"/>
  <c r="AG255" i="7"/>
  <c r="AJ187" i="7"/>
  <c r="AJ191" i="7"/>
  <c r="AJ195" i="7"/>
  <c r="AJ199" i="7"/>
  <c r="AJ203" i="7"/>
  <c r="AJ127" i="7"/>
  <c r="AJ131" i="7"/>
  <c r="AJ135" i="7"/>
  <c r="AJ139" i="7"/>
  <c r="AJ145" i="7"/>
  <c r="AG243" i="7"/>
  <c r="AG251" i="7"/>
  <c r="AG242" i="7"/>
  <c r="AJ185" i="7"/>
  <c r="AJ189" i="7"/>
  <c r="AJ193" i="7"/>
  <c r="AJ197" i="7"/>
  <c r="AJ202" i="7"/>
  <c r="AJ207" i="7"/>
  <c r="AJ129" i="7"/>
  <c r="AJ133" i="7"/>
  <c r="AJ137" i="7"/>
  <c r="AJ141" i="7"/>
  <c r="AG191" i="7"/>
  <c r="AG139" i="7"/>
  <c r="AJ143" i="7"/>
  <c r="AJ77" i="7"/>
  <c r="AJ85" i="7"/>
  <c r="AJ89" i="7"/>
  <c r="AJ93" i="7"/>
  <c r="AG81" i="7"/>
  <c r="AJ15" i="7"/>
  <c r="AG249" i="7"/>
  <c r="AG195" i="7"/>
  <c r="AG127" i="7"/>
  <c r="AG141" i="7"/>
  <c r="AJ147" i="7"/>
  <c r="AJ87" i="7"/>
  <c r="AJ69" i="7"/>
  <c r="AJ76" i="7"/>
  <c r="AJ84" i="7"/>
  <c r="AJ86" i="7"/>
  <c r="AG80" i="7"/>
  <c r="AG187" i="7"/>
  <c r="AG135" i="7"/>
  <c r="AJ151" i="7"/>
  <c r="AJ80" i="7"/>
  <c r="AJ92" i="7"/>
  <c r="AG69" i="7"/>
  <c r="AG76" i="7"/>
  <c r="AG84" i="7"/>
  <c r="AJ10" i="7"/>
  <c r="AJ27" i="7"/>
  <c r="AG16" i="7"/>
  <c r="AG15" i="7"/>
  <c r="AG22" i="7"/>
  <c r="AJ28" i="7"/>
  <c r="AJ23" i="7"/>
  <c r="AG18" i="7"/>
  <c r="AG9" i="7"/>
  <c r="AJ149" i="7"/>
  <c r="AG199" i="7"/>
  <c r="AG126" i="7"/>
  <c r="AG131" i="7"/>
  <c r="AJ88" i="7"/>
  <c r="AJ19" i="7"/>
  <c r="AG21" i="7"/>
  <c r="AJ205" i="7"/>
  <c r="AJ73" i="7"/>
  <c r="AJ34" i="7"/>
  <c r="AJ21" i="7"/>
  <c r="AG12" i="7"/>
  <c r="AJ81" i="7"/>
  <c r="AG77" i="7"/>
  <c r="AJ33" i="7"/>
  <c r="AG257" i="7"/>
  <c r="AJ24" i="7"/>
  <c r="AG19" i="7"/>
  <c r="AJ256" i="7"/>
  <c r="AJ22" i="7"/>
  <c r="AJ14" i="7"/>
  <c r="AJ130" i="7"/>
  <c r="AG10" i="7"/>
  <c r="AG78" i="7"/>
  <c r="AJ79" i="7"/>
  <c r="AG140" i="7"/>
  <c r="AJ253" i="7"/>
  <c r="AJ31" i="7"/>
  <c r="AG82" i="7"/>
  <c r="AJ83" i="7"/>
  <c r="AJ150" i="7"/>
  <c r="AJ209" i="7"/>
  <c r="AG20" i="7"/>
  <c r="AJ11" i="7"/>
  <c r="AG142" i="7"/>
  <c r="AJ190" i="7"/>
  <c r="AJ264" i="7"/>
  <c r="AJ255" i="7"/>
  <c r="AG246" i="7"/>
  <c r="AJ251" i="7"/>
  <c r="AJ140" i="7"/>
  <c r="AJ132" i="7"/>
  <c r="AJ200" i="7"/>
  <c r="AJ192" i="7"/>
  <c r="AJ267" i="7"/>
  <c r="AJ259" i="7"/>
  <c r="AJ249" i="7"/>
  <c r="AG72" i="7"/>
  <c r="AJ206" i="7"/>
  <c r="AJ29" i="7"/>
  <c r="AJ68" i="7"/>
  <c r="AG252" i="7"/>
  <c r="AG254" i="7"/>
  <c r="AG250" i="7"/>
  <c r="AG138" i="7"/>
  <c r="AG130" i="7"/>
  <c r="AG198" i="7"/>
  <c r="AJ265" i="7"/>
  <c r="AJ257" i="7"/>
  <c r="AG248" i="7"/>
  <c r="AG70" i="7"/>
  <c r="AJ9" i="7"/>
  <c r="AG11" i="7"/>
  <c r="AJ30" i="7"/>
  <c r="AJ18" i="7"/>
  <c r="AG73" i="7"/>
  <c r="AG17" i="7"/>
  <c r="AJ91" i="7"/>
  <c r="AG192" i="7"/>
  <c r="AG74" i="7"/>
  <c r="AJ75" i="7"/>
  <c r="AJ194" i="7"/>
  <c r="AJ25" i="7"/>
  <c r="AJ71" i="7"/>
  <c r="AJ260" i="7"/>
  <c r="AG258" i="7"/>
  <c r="AJ128" i="7"/>
  <c r="AJ188" i="7"/>
  <c r="AG256" i="7"/>
  <c r="AJ70" i="7"/>
  <c r="AG13" i="7"/>
  <c r="AG25" i="7"/>
  <c r="AJ32" i="7"/>
  <c r="AJ20" i="7"/>
  <c r="AJ312" i="7" s="1"/>
  <c r="AJ12" i="7"/>
  <c r="AG188" i="7"/>
  <c r="AJ198" i="7"/>
  <c r="AG75" i="7"/>
  <c r="AJ74" i="7"/>
  <c r="AJ134" i="7"/>
  <c r="AG244" i="7"/>
  <c r="AJ17" i="7"/>
  <c r="AG79" i="7"/>
  <c r="AJ78" i="7"/>
  <c r="AG132" i="7"/>
  <c r="AG200" i="7"/>
  <c r="AJ138" i="7"/>
  <c r="AG190" i="7"/>
  <c r="AJ72" i="7"/>
  <c r="AG136" i="7"/>
  <c r="AJ245" i="7"/>
  <c r="AJ144" i="7"/>
  <c r="AJ136" i="7"/>
  <c r="AJ196" i="7"/>
  <c r="AJ244" i="7"/>
  <c r="AJ242" i="7"/>
  <c r="AJ26" i="7"/>
  <c r="AJ16" i="7"/>
  <c r="AJ308" i="7" s="1"/>
  <c r="AJ142" i="7"/>
  <c r="AG71" i="7"/>
  <c r="AG23" i="7"/>
  <c r="AG24" i="7"/>
  <c r="AG83" i="7"/>
  <c r="AJ82" i="7"/>
  <c r="AJ146" i="7"/>
  <c r="AJ186" i="7"/>
  <c r="AJ90" i="7"/>
  <c r="AJ126" i="7"/>
  <c r="AJ248" i="7"/>
  <c r="AJ13" i="7"/>
  <c r="AJ148" i="7"/>
  <c r="AG196" i="7"/>
  <c r="AG184" i="7"/>
  <c r="AJ266" i="7"/>
  <c r="AJ258" i="7"/>
  <c r="AJ247" i="7"/>
  <c r="AJ254" i="7"/>
  <c r="AJ243" i="7"/>
  <c r="AG134" i="7"/>
  <c r="AJ201" i="7"/>
  <c r="AG194" i="7"/>
  <c r="AG186" i="7"/>
  <c r="AJ252" i="7"/>
  <c r="AG68" i="7"/>
  <c r="AJ204" i="7"/>
  <c r="AG128" i="7"/>
  <c r="AJ250" i="7"/>
  <c r="AJ246" i="7"/>
  <c r="AJ263" i="7"/>
  <c r="AJ208" i="7"/>
  <c r="BZ22" i="4"/>
  <c r="BZ27" i="4"/>
  <c r="CC292" i="3"/>
  <c r="AQ43" i="1"/>
  <c r="AC273" i="7"/>
  <c r="AC234" i="7"/>
  <c r="Z212" i="7"/>
  <c r="Z211" i="7"/>
  <c r="AC166" i="7"/>
  <c r="AC159" i="7"/>
  <c r="Z146" i="7"/>
  <c r="AC114" i="7"/>
  <c r="AC236" i="7"/>
  <c r="AC212" i="7"/>
  <c r="Z224" i="7"/>
  <c r="Z220" i="7"/>
  <c r="AC161" i="7"/>
  <c r="Z170" i="7"/>
  <c r="AC98" i="7"/>
  <c r="AC119" i="7"/>
  <c r="Z114" i="7"/>
  <c r="AC226" i="7"/>
  <c r="AC173" i="7"/>
  <c r="AC153" i="7"/>
  <c r="Z118" i="7"/>
  <c r="AC214" i="7"/>
  <c r="Z202" i="7"/>
  <c r="Z225" i="7"/>
  <c r="AC169" i="7"/>
  <c r="AC99" i="7"/>
  <c r="Z92" i="7"/>
  <c r="AC277" i="7"/>
  <c r="AC230" i="7"/>
  <c r="Z204" i="7"/>
  <c r="Z236" i="7"/>
  <c r="AC155" i="7"/>
  <c r="AC175" i="7"/>
  <c r="Z155" i="7"/>
  <c r="AC107" i="7"/>
  <c r="Z93" i="7"/>
  <c r="Z163" i="7"/>
  <c r="AC103" i="7"/>
  <c r="Z149" i="7"/>
  <c r="AC111" i="7"/>
  <c r="Z177" i="7"/>
  <c r="Z143" i="7"/>
  <c r="AC101" i="7"/>
  <c r="AC167" i="7"/>
  <c r="AC157" i="7"/>
  <c r="Z98" i="7"/>
  <c r="AC95" i="7"/>
  <c r="AC163" i="7"/>
  <c r="Z227" i="7"/>
  <c r="Z213" i="7"/>
  <c r="Z201" i="7"/>
  <c r="AC285" i="7"/>
  <c r="Z171" i="7"/>
  <c r="Z161" i="7"/>
  <c r="Z232" i="7"/>
  <c r="Z178" i="7"/>
  <c r="AC164" i="7"/>
  <c r="Z210" i="7"/>
  <c r="AC118" i="7"/>
  <c r="AC108" i="7"/>
  <c r="AC100" i="7"/>
  <c r="Z158" i="7"/>
  <c r="AC168" i="7"/>
  <c r="Z89" i="7"/>
  <c r="AC97" i="7"/>
  <c r="AC105" i="7"/>
  <c r="AC115" i="7"/>
  <c r="Z120" i="7"/>
  <c r="Z153" i="7"/>
  <c r="Z159" i="7"/>
  <c r="AC171" i="7"/>
  <c r="Z214" i="7"/>
  <c r="Z223" i="7"/>
  <c r="AC232" i="7"/>
  <c r="AC283" i="7"/>
  <c r="Z87" i="7"/>
  <c r="Z115" i="7"/>
  <c r="Z152" i="7"/>
  <c r="AC211" i="7"/>
  <c r="AC227" i="7"/>
  <c r="AC280" i="7"/>
  <c r="Z111" i="7"/>
  <c r="Z148" i="7"/>
  <c r="AC221" i="7"/>
  <c r="AC274" i="7"/>
  <c r="AC290" i="7"/>
  <c r="Z235" i="7"/>
  <c r="Z221" i="7"/>
  <c r="Z209" i="7"/>
  <c r="AC222" i="7"/>
  <c r="AC293" i="7"/>
  <c r="AC281" i="7"/>
  <c r="Z112" i="7"/>
  <c r="Z169" i="7"/>
  <c r="Z151" i="7"/>
  <c r="Z228" i="7"/>
  <c r="Z162" i="7"/>
  <c r="AC116" i="7"/>
  <c r="AC106" i="7"/>
  <c r="AC96" i="7"/>
  <c r="AC158" i="7"/>
  <c r="AC228" i="7"/>
  <c r="Z94" i="7"/>
  <c r="Z116" i="7"/>
  <c r="Z147" i="7"/>
  <c r="Z154" i="7"/>
  <c r="AC162" i="7"/>
  <c r="Z173" i="7"/>
  <c r="Z215" i="7"/>
  <c r="AC224" i="7"/>
  <c r="AC271" i="7"/>
  <c r="AC287" i="7"/>
  <c r="Z91" i="7"/>
  <c r="Z160" i="7"/>
  <c r="AC215" i="7"/>
  <c r="AC231" i="7"/>
  <c r="AC268" i="7"/>
  <c r="AC284" i="7"/>
  <c r="Z119" i="7"/>
  <c r="Z156" i="7"/>
  <c r="AC225" i="7"/>
  <c r="AC278" i="7"/>
  <c r="AC294" i="7"/>
  <c r="AC177" i="7"/>
  <c r="Z233" i="7"/>
  <c r="Z219" i="7"/>
  <c r="Z205" i="7"/>
  <c r="AC291" i="7"/>
  <c r="AC269" i="7"/>
  <c r="Z100" i="7"/>
  <c r="Z167" i="7"/>
  <c r="Z145" i="7"/>
  <c r="Z216" i="7"/>
  <c r="AC178" i="7"/>
  <c r="Z101" i="7"/>
  <c r="AC112" i="7"/>
  <c r="AC104" i="7"/>
  <c r="AC94" i="7"/>
  <c r="AC176" i="7"/>
  <c r="AC156" i="7"/>
  <c r="AC220" i="7"/>
  <c r="AC218" i="7"/>
  <c r="Z86" i="7"/>
  <c r="Z96" i="7"/>
  <c r="Z113" i="7"/>
  <c r="Z117" i="7"/>
  <c r="Z150" i="7"/>
  <c r="AC154" i="7"/>
  <c r="Z166" i="7"/>
  <c r="Z206" i="7"/>
  <c r="AC216" i="7"/>
  <c r="Z230" i="7"/>
  <c r="AC275" i="7"/>
  <c r="Z95" i="7"/>
  <c r="Z168" i="7"/>
  <c r="AC219" i="7"/>
  <c r="AC235" i="7"/>
  <c r="AC272" i="7"/>
  <c r="AC288" i="7"/>
  <c r="Z164" i="7"/>
  <c r="AC213" i="7"/>
  <c r="AC229" i="7"/>
  <c r="AC282" i="7"/>
  <c r="AC109" i="7"/>
  <c r="AC165" i="7"/>
  <c r="Z229" i="7"/>
  <c r="Z217" i="7"/>
  <c r="Z203" i="7"/>
  <c r="AC289" i="7"/>
  <c r="Z90" i="7"/>
  <c r="Z175" i="7"/>
  <c r="Z165" i="7"/>
  <c r="Z234" i="7"/>
  <c r="Z208" i="7"/>
  <c r="AC172" i="7"/>
  <c r="Z226" i="7"/>
  <c r="Z85" i="7"/>
  <c r="AC120" i="7"/>
  <c r="AC110" i="7"/>
  <c r="AC102" i="7"/>
  <c r="Z174" i="7"/>
  <c r="AC174" i="7"/>
  <c r="AC210" i="7"/>
  <c r="Z218" i="7"/>
  <c r="Z88" i="7"/>
  <c r="Z97" i="7"/>
  <c r="AC113" i="7"/>
  <c r="AC117" i="7"/>
  <c r="AC152" i="7"/>
  <c r="Z157" i="7"/>
  <c r="AC170" i="7"/>
  <c r="Z207" i="7"/>
  <c r="Z222" i="7"/>
  <c r="Z231" i="7"/>
  <c r="AC279" i="7"/>
  <c r="Z99" i="7"/>
  <c r="AC160" i="7"/>
  <c r="Z144" i="7"/>
  <c r="Z176" i="7"/>
  <c r="AC223" i="7"/>
  <c r="AC276" i="7"/>
  <c r="AC292" i="7"/>
  <c r="Z172" i="7"/>
  <c r="AC217" i="7"/>
  <c r="AC233" i="7"/>
  <c r="AC270" i="7"/>
  <c r="AC286" i="7"/>
  <c r="BZ292" i="3"/>
  <c r="BX302" i="3"/>
  <c r="AC364" i="7" s="1"/>
  <c r="O43" i="1"/>
  <c r="R43" i="1" s="1"/>
  <c r="BX56" i="4"/>
  <c r="S43" i="1" s="1"/>
  <c r="V43" i="1" s="1"/>
  <c r="AH43" i="1" s="1"/>
  <c r="M44" i="1" l="1"/>
  <c r="P44" i="1" s="1"/>
  <c r="AJ358" i="7"/>
  <c r="X360" i="7"/>
  <c r="Y362" i="7"/>
  <c r="X358" i="7"/>
  <c r="AJ327" i="7"/>
  <c r="AM362" i="7" s="1"/>
  <c r="AL364" i="7" s="1"/>
  <c r="AJ305" i="7"/>
  <c r="AG316" i="7"/>
  <c r="AJ314" i="7"/>
  <c r="AG314" i="7"/>
  <c r="AG315" i="7"/>
  <c r="AG302" i="7"/>
  <c r="AJ309" i="7"/>
  <c r="AJ322" i="7"/>
  <c r="AJ323" i="7"/>
  <c r="AG304" i="7"/>
  <c r="AG301" i="7"/>
  <c r="Z325" i="7"/>
  <c r="Z319" i="7"/>
  <c r="Z341" i="7"/>
  <c r="Z318" i="7"/>
  <c r="AC351" i="7"/>
  <c r="Z334" i="7"/>
  <c r="Z327" i="7"/>
  <c r="AC347" i="7"/>
  <c r="AC341" i="7"/>
  <c r="AC329" i="7"/>
  <c r="AJ318" i="7"/>
  <c r="AJ324" i="7"/>
  <c r="AG309" i="7"/>
  <c r="AG303" i="7"/>
  <c r="AJ325" i="7"/>
  <c r="AJ313" i="7"/>
  <c r="AG313" i="7"/>
  <c r="AG310" i="7"/>
  <c r="AG307" i="7"/>
  <c r="Z333" i="7"/>
  <c r="Z331" i="7"/>
  <c r="AC338" i="7"/>
  <c r="AC339" i="7"/>
  <c r="Z335" i="7"/>
  <c r="AC346" i="7"/>
  <c r="AC336" i="7"/>
  <c r="AC350" i="7"/>
  <c r="Z324" i="7"/>
  <c r="AC332" i="7"/>
  <c r="AC342" i="7"/>
  <c r="AC353" i="7"/>
  <c r="Z350" i="7"/>
  <c r="Z328" i="7"/>
  <c r="AC327" i="7"/>
  <c r="Z326" i="7"/>
  <c r="AJ302" i="7"/>
  <c r="AG306" i="7"/>
  <c r="Z322" i="7"/>
  <c r="Z320" i="7"/>
  <c r="AC335" i="7"/>
  <c r="Z329" i="7"/>
  <c r="AG317" i="7"/>
  <c r="AJ301" i="7"/>
  <c r="AJ321" i="7"/>
  <c r="AJ303" i="7"/>
  <c r="AG311" i="7"/>
  <c r="AJ326" i="7"/>
  <c r="AJ311" i="7"/>
  <c r="AJ315" i="7"/>
  <c r="AG308" i="7"/>
  <c r="Z321" i="7"/>
  <c r="Z339" i="7"/>
  <c r="Z332" i="7"/>
  <c r="AC334" i="7"/>
  <c r="Z343" i="7"/>
  <c r="Z340" i="7"/>
  <c r="AC344" i="7"/>
  <c r="Z344" i="7"/>
  <c r="AC330" i="7"/>
  <c r="AC340" i="7"/>
  <c r="Z336" i="7"/>
  <c r="AC349" i="7"/>
  <c r="Z346" i="7"/>
  <c r="AC337" i="7"/>
  <c r="Z338" i="7"/>
  <c r="AJ307" i="7"/>
  <c r="Z345" i="7"/>
  <c r="Z337" i="7"/>
  <c r="AJ304" i="7"/>
  <c r="AG305" i="7"/>
  <c r="AJ317" i="7"/>
  <c r="AJ310" i="7"/>
  <c r="AG312" i="7"/>
  <c r="AJ306" i="7"/>
  <c r="AJ316" i="7"/>
  <c r="AJ320" i="7"/>
  <c r="AJ319" i="7"/>
  <c r="AC328" i="7"/>
  <c r="Z323" i="7"/>
  <c r="Z347" i="7"/>
  <c r="Z348" i="7"/>
  <c r="Z353" i="7"/>
  <c r="Z351" i="7"/>
  <c r="AC331" i="7"/>
  <c r="AC352" i="7"/>
  <c r="AC343" i="7"/>
  <c r="Z349" i="7"/>
  <c r="AC348" i="7"/>
  <c r="Z352" i="7"/>
  <c r="AC345" i="7"/>
  <c r="Z342" i="7"/>
  <c r="AC333" i="7"/>
  <c r="Z330" i="7"/>
  <c r="CE60" i="4"/>
  <c r="CD58" i="4"/>
  <c r="T44" i="1" s="1"/>
  <c r="W44" i="1" s="1"/>
  <c r="AI44" i="1" s="1"/>
  <c r="CI292" i="3"/>
  <c r="CE300" i="3"/>
  <c r="CD56" i="4"/>
  <c r="AS43" i="1"/>
  <c r="AP43" i="1"/>
  <c r="I53" i="6"/>
  <c r="O44" i="1" l="1"/>
  <c r="R44" i="1" s="1"/>
  <c r="AJ362" i="7"/>
  <c r="AE358" i="7"/>
  <c r="AE360" i="7"/>
  <c r="AF362" i="7"/>
  <c r="X364" i="7"/>
  <c r="AU44" i="1"/>
  <c r="AQ44" i="1"/>
  <c r="S44" i="1"/>
  <c r="CD302" i="3"/>
  <c r="AJ364" i="7" s="1"/>
  <c r="U44" i="1"/>
  <c r="X44" i="1" s="1"/>
  <c r="J53" i="6"/>
  <c r="J63" i="6" s="1"/>
  <c r="AQ56" i="6"/>
  <c r="AQ31" i="6"/>
  <c r="AQ29" i="6" s="1"/>
  <c r="AQ62" i="6" l="1"/>
  <c r="AE364" i="7"/>
  <c r="AP44" i="1"/>
  <c r="V44" i="1"/>
  <c r="AH44" i="1" s="1"/>
  <c r="AO53" i="1"/>
  <c r="AO56" i="1"/>
  <c r="AO57" i="1"/>
  <c r="AO55" i="1"/>
  <c r="AS44" i="1"/>
  <c r="I54" i="6"/>
  <c r="AQ33" i="6"/>
  <c r="AQ35" i="6" s="1"/>
  <c r="AQ30" i="6"/>
  <c r="AQ32" i="6"/>
  <c r="AM53" i="1" l="1"/>
  <c r="AM57" i="1"/>
  <c r="AM56" i="1"/>
  <c r="AM55" i="1"/>
  <c r="AR31" i="6"/>
  <c r="J54" i="6"/>
  <c r="AR56" i="6"/>
  <c r="AQ34" i="6"/>
  <c r="AQ36" i="6" s="1"/>
  <c r="J64" i="6"/>
  <c r="AR62" i="6" l="1"/>
  <c r="AZ56" i="6"/>
  <c r="AZ62" i="6"/>
  <c r="AR30" i="6"/>
  <c r="AR33" i="6"/>
  <c r="AR35" i="6" s="1"/>
  <c r="AR32" i="6"/>
  <c r="AR34" i="6" s="1"/>
  <c r="AQ37" i="6"/>
  <c r="I43" i="1"/>
  <c r="AJ43" i="1" s="1"/>
  <c r="AR43" i="1" l="1"/>
  <c r="S26" i="6"/>
  <c r="AV43" i="1"/>
  <c r="AR36" i="6"/>
  <c r="I44" i="1" s="1"/>
  <c r="AJ44" i="1" s="1"/>
  <c r="AR44" i="1" l="1"/>
  <c r="S28" i="6"/>
  <c r="B13" i="8"/>
  <c r="B15" i="8" s="1"/>
  <c r="B18" i="8" s="1"/>
  <c r="AW44" i="1"/>
  <c r="AR37" i="6"/>
  <c r="AW43" i="1"/>
  <c r="AT43" i="1"/>
  <c r="BY65" i="4"/>
  <c r="EF65" i="4" s="1"/>
  <c r="BY64" i="4"/>
  <c r="EF64" i="4" s="1"/>
  <c r="B16" i="8" l="1"/>
  <c r="C16" i="8" s="1"/>
  <c r="AV44" i="1"/>
  <c r="CE65" i="4"/>
  <c r="CE64" i="4"/>
  <c r="AT44" i="1"/>
  <c r="AN55" i="1" s="1"/>
  <c r="AN56" i="1" l="1"/>
  <c r="AN57" i="1"/>
  <c r="AN53" i="1"/>
  <c r="P65" i="1" l="1"/>
  <c r="P66" i="1"/>
  <c r="Q66" i="1"/>
  <c r="Q65" i="1" l="1"/>
  <c r="G12" i="8"/>
  <c r="C13" i="8"/>
  <c r="R29" i="6"/>
  <c r="C14" i="8"/>
  <c r="C12" i="8"/>
  <c r="C15" i="8" l="1"/>
  <c r="C18" i="8" s="1"/>
  <c r="R30" i="6"/>
  <c r="T25" i="6"/>
  <c r="T26" i="6"/>
  <c r="T28" i="6"/>
  <c r="T27" i="6"/>
  <c r="B9" i="8"/>
  <c r="B11" i="8"/>
  <c r="B17" i="8" s="1"/>
  <c r="C9" i="8" l="1"/>
  <c r="B10" i="8"/>
  <c r="C10" i="8" s="1"/>
  <c r="C11" i="8"/>
  <c r="C17" i="8" s="1"/>
  <c r="B318" i="7"/>
  <c r="D26" i="7"/>
  <c r="F26" i="7"/>
  <c r="F318" i="7" s="1"/>
  <c r="G26" i="7"/>
  <c r="G318" i="7" s="1"/>
  <c r="C26" i="7"/>
  <c r="C318" i="7" s="1"/>
  <c r="E26" i="7" l="1"/>
  <c r="E318" i="7" s="1"/>
  <c r="J358" i="7" s="1"/>
  <c r="J364" i="7" s="1"/>
  <c r="D318" i="7"/>
  <c r="H26" i="7"/>
  <c r="H318"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Rebecca Bernard</author>
    <author>Pete Kairis</author>
    <author>William T Gill</author>
    <author>WDFW</author>
    <author>Wm T. Gill</author>
    <author xml:space="preserve"> </author>
    <author>rbernard</author>
    <author>tc={7615A814-406A-4B11-B5F3-F70CC2EE2442}</author>
    <author>Fowler, Andrew M (DFW)</author>
  </authors>
  <commentList>
    <comment ref="B1" authorId="0" shapeId="0" xr:uid="{00000000-0006-0000-0000-000001000000}">
      <text>
        <r>
          <rPr>
            <b/>
            <sz val="8"/>
            <color indexed="81"/>
            <rFont val="Tahoma"/>
            <family val="2"/>
          </rPr>
          <t xml:space="preserve"> Rebecca Bernard:</t>
        </r>
        <r>
          <rPr>
            <sz val="8"/>
            <color indexed="81"/>
            <rFont val="Tahoma"/>
            <family val="2"/>
          </rPr>
          <t xml:space="preserve">
Freshwater sport catch only, no marine catch included because marine sport area 8.1 (and marine sport area 8 in earlier years) is a large area and likely include a large portion of non-local steelhead.  Different for treaty catch as fishing areas in salmon management area 8 are concentrated around the terminal area closer to the Skagit River mouth and likely consist of steelhead returning to the Skagit--co-manager concensus Nov 2009.</t>
        </r>
      </text>
    </comment>
    <comment ref="AE3" authorId="0" shapeId="0" xr:uid="{00000000-0006-0000-0000-000002000000}">
      <text>
        <r>
          <rPr>
            <b/>
            <sz val="8"/>
            <color indexed="81"/>
            <rFont val="Tahoma"/>
            <family val="2"/>
          </rPr>
          <t xml:space="preserve"> Rebecca Bernard:</t>
        </r>
        <r>
          <rPr>
            <sz val="8"/>
            <color indexed="81"/>
            <rFont val="Tahoma"/>
            <family val="2"/>
          </rPr>
          <t xml:space="preserve">
from the preseason forecast and SteelheadAgesMaster files</t>
        </r>
      </text>
    </comment>
    <comment ref="B4" authorId="0" shapeId="0" xr:uid="{00000000-0006-0000-0000-000003000000}">
      <text>
        <r>
          <rPr>
            <b/>
            <sz val="8"/>
            <color indexed="81"/>
            <rFont val="Tahoma"/>
            <family val="2"/>
          </rPr>
          <t xml:space="preserve"> Rebecca Bernard:</t>
        </r>
        <r>
          <rPr>
            <sz val="8"/>
            <color indexed="81"/>
            <rFont val="Tahoma"/>
            <family val="2"/>
          </rPr>
          <t xml:space="preserve">
Skamania stock steelhead
Steve Stout indicated that all the summer-run fish were directed transported from Whithorse and not acclimated anywhere in the Skagit.  They were released all over the place but Marblemount never collected any adults (12/3/2009).
Return May to October of one calendar year and spawn in the next calendar year--so the "year" is the year they spawn in--look funny, like adding up catch in the wrong year.</t>
        </r>
      </text>
    </comment>
    <comment ref="E4" authorId="0" shapeId="0" xr:uid="{00000000-0006-0000-0000-000004000000}">
      <text>
        <r>
          <rPr>
            <b/>
            <sz val="8"/>
            <color indexed="81"/>
            <rFont val="Tahoma"/>
            <family val="2"/>
          </rPr>
          <t xml:space="preserve"> Rebecca Bernard:</t>
        </r>
        <r>
          <rPr>
            <sz val="8"/>
            <color indexed="81"/>
            <rFont val="Tahoma"/>
            <family val="2"/>
          </rPr>
          <t xml:space="preserve">
Chambers stock Steelhead--this is a generic term.</t>
        </r>
      </text>
    </comment>
    <comment ref="M4" authorId="0" shapeId="0" xr:uid="{00000000-0006-0000-0000-000005000000}">
      <text>
        <r>
          <rPr>
            <b/>
            <sz val="8"/>
            <color indexed="81"/>
            <rFont val="Tahoma"/>
            <family val="2"/>
          </rPr>
          <t xml:space="preserve"> Rebecca Bernard:</t>
        </r>
        <r>
          <rPr>
            <sz val="8"/>
            <color indexed="81"/>
            <rFont val="Tahoma"/>
            <family val="2"/>
          </rPr>
          <t xml:space="preserve">
Skamania stock steelhead
Steve Stout indicated that all the summer-run fish were directed transported from Whithorse and not acclimated anywhere in the Skagit.  They were released all over the place but Marblemount never collected any adults (12/3/2009).</t>
        </r>
      </text>
    </comment>
    <comment ref="N4" authorId="0" shapeId="0" xr:uid="{00000000-0006-0000-0000-000006000000}">
      <text>
        <r>
          <rPr>
            <b/>
            <sz val="8"/>
            <color indexed="81"/>
            <rFont val="Tahoma"/>
            <family val="2"/>
          </rPr>
          <t xml:space="preserve"> Rebecca Bernard:</t>
        </r>
        <r>
          <rPr>
            <sz val="8"/>
            <color indexed="81"/>
            <rFont val="Tahoma"/>
            <family val="2"/>
          </rPr>
          <t xml:space="preserve">
Chambers stock Steelhead--this is a generic term.</t>
        </r>
      </text>
    </comment>
    <comment ref="P4" authorId="0" shapeId="0" xr:uid="{A664EF35-25F3-4CD5-ADEA-03067871F3B2}">
      <text>
        <r>
          <rPr>
            <b/>
            <sz val="8"/>
            <color indexed="81"/>
            <rFont val="Tahoma"/>
            <family val="2"/>
          </rPr>
          <t xml:space="preserve"> Rebecca Bernard:</t>
        </r>
        <r>
          <rPr>
            <sz val="8"/>
            <color indexed="81"/>
            <rFont val="Tahoma"/>
            <family val="2"/>
          </rPr>
          <t xml:space="preserve">
Skamania stock steelhead
Steve Stout indicated that all the summer-run fish were directed transported from Whithorse and not acclimated anywhere in the Skagit.  They were released all over the place but Marblemount never collected any adults (12/3/2009).</t>
        </r>
      </text>
    </comment>
    <comment ref="Q4" authorId="0" shapeId="0" xr:uid="{14758B76-B78D-48FB-A0F5-EA0A8A0A1047}">
      <text>
        <r>
          <rPr>
            <b/>
            <sz val="8"/>
            <color indexed="81"/>
            <rFont val="Tahoma"/>
            <family val="2"/>
          </rPr>
          <t xml:space="preserve"> Rebecca Bernard:</t>
        </r>
        <r>
          <rPr>
            <sz val="8"/>
            <color indexed="81"/>
            <rFont val="Tahoma"/>
            <family val="2"/>
          </rPr>
          <t xml:space="preserve">
Chambers stock Steelhead--this is a generic term.</t>
        </r>
      </text>
    </comment>
    <comment ref="S4" authorId="0" shapeId="0" xr:uid="{00000000-0006-0000-0000-000007000000}">
      <text>
        <r>
          <rPr>
            <b/>
            <sz val="8"/>
            <color indexed="81"/>
            <rFont val="Tahoma"/>
            <family val="2"/>
          </rPr>
          <t xml:space="preserve"> Rebecca Bernard:</t>
        </r>
        <r>
          <rPr>
            <sz val="8"/>
            <color indexed="81"/>
            <rFont val="Tahoma"/>
            <family val="2"/>
          </rPr>
          <t xml:space="preserve">
Skamania stock steelhead
Steve Stout indicated that all the summer-run fish were directed transported from Whithorse and not acclimated anywhere in the Skagit.  They were released all over the place but Marblemount never collected any adults (12/3/2009).
Return May to October of one calendar year and spawn in the next calendar year--so the "year" is the year they spawn in--look funny, like adding up catch in the wrong year.</t>
        </r>
      </text>
    </comment>
    <comment ref="T4" authorId="0" shapeId="0" xr:uid="{00000000-0006-0000-0000-000008000000}">
      <text>
        <r>
          <rPr>
            <b/>
            <sz val="8"/>
            <color indexed="81"/>
            <rFont val="Tahoma"/>
            <family val="2"/>
          </rPr>
          <t xml:space="preserve"> Rebecca Bernard:</t>
        </r>
        <r>
          <rPr>
            <sz val="8"/>
            <color indexed="81"/>
            <rFont val="Tahoma"/>
            <family val="2"/>
          </rPr>
          <t xml:space="preserve">
Chambers stock Steelhead--this is a generic term.</t>
        </r>
      </text>
    </comment>
    <comment ref="V4" authorId="0" shapeId="0" xr:uid="{746573BB-8E41-4CD8-A4B0-F6D5EBE52090}">
      <text>
        <r>
          <rPr>
            <b/>
            <sz val="8"/>
            <color indexed="81"/>
            <rFont val="Tahoma"/>
            <family val="2"/>
          </rPr>
          <t xml:space="preserve"> Rebecca Bernard:</t>
        </r>
        <r>
          <rPr>
            <sz val="8"/>
            <color indexed="81"/>
            <rFont val="Tahoma"/>
            <family val="2"/>
          </rPr>
          <t xml:space="preserve">
Skamania stock steelhead
Steve Stout indicated that all the summer-run fish were directed transported from Whithorse and not acclimated anywhere in the Skagit.  They were released all over the place but Marblemount never collected any adults (12/3/2009).
Return May to October of one calendar year and spawn in the next calendar year--so the "year" is the year they spawn in--look funny, like adding up catch in the wrong year.</t>
        </r>
      </text>
    </comment>
    <comment ref="W4" authorId="0" shapeId="0" xr:uid="{74E74359-6E2E-4FFE-9865-DDD0A4AF2F70}">
      <text>
        <r>
          <rPr>
            <b/>
            <sz val="8"/>
            <color indexed="81"/>
            <rFont val="Tahoma"/>
            <family val="2"/>
          </rPr>
          <t xml:space="preserve"> Rebecca Bernard:</t>
        </r>
        <r>
          <rPr>
            <sz val="8"/>
            <color indexed="81"/>
            <rFont val="Tahoma"/>
            <family val="2"/>
          </rPr>
          <t xml:space="preserve">
Chambers stock Steelhead--this is a generic term.</t>
        </r>
      </text>
    </comment>
    <comment ref="Y4" authorId="0" shapeId="0" xr:uid="{00000000-0006-0000-0000-000009000000}">
      <text>
        <r>
          <rPr>
            <b/>
            <sz val="8"/>
            <color indexed="81"/>
            <rFont val="Tahoma"/>
            <family val="2"/>
          </rPr>
          <t xml:space="preserve"> Rebecca Bernard:</t>
        </r>
        <r>
          <rPr>
            <sz val="8"/>
            <color indexed="81"/>
            <rFont val="Tahoma"/>
            <family val="2"/>
          </rPr>
          <t xml:space="preserve">
Skamania stock steelhead
Steve Stout indicated that all the summer-run fish were directed transported from Whithorse and not acclimated anywhere in the Skagit.  They were released all over the place but Marblemount never collected any adults (12/3/2009).
Return May to October of one calendar year and spawn in the next calendar year--so the "year" is the year they spawn in--look funny, like adding up catch in the wrong year.</t>
        </r>
      </text>
    </comment>
    <comment ref="Z4" authorId="0" shapeId="0" xr:uid="{00000000-0006-0000-0000-00000A000000}">
      <text>
        <r>
          <rPr>
            <b/>
            <sz val="8"/>
            <color indexed="81"/>
            <rFont val="Tahoma"/>
            <family val="2"/>
          </rPr>
          <t xml:space="preserve"> Rebecca Bernard:</t>
        </r>
        <r>
          <rPr>
            <sz val="8"/>
            <color indexed="81"/>
            <rFont val="Tahoma"/>
            <family val="2"/>
          </rPr>
          <t xml:space="preserve">
Chambers stock Steelhead--this is a generic term.</t>
        </r>
      </text>
    </comment>
    <comment ref="AL4" authorId="0" shapeId="0" xr:uid="{00000000-0006-0000-0000-00000B000000}">
      <text>
        <r>
          <rPr>
            <b/>
            <sz val="8"/>
            <color indexed="81"/>
            <rFont val="Tahoma"/>
            <family val="2"/>
          </rPr>
          <t xml:space="preserve"> Rebecca Bernard:</t>
        </r>
        <r>
          <rPr>
            <sz val="8"/>
            <color indexed="81"/>
            <rFont val="Tahoma"/>
            <family val="2"/>
          </rPr>
          <t xml:space="preserve">
these release numbers are "smolt" releases only, no fry, parr, presmolt, or other "catagories" used in the WDFW catch database--size at release helped to determine those released fish identified here as smolts.</t>
        </r>
      </text>
    </comment>
    <comment ref="AM4" authorId="1" shapeId="0" xr:uid="{00000000-0006-0000-0000-00000C000000}">
      <text>
        <r>
          <rPr>
            <b/>
            <sz val="9"/>
            <color indexed="81"/>
            <rFont val="Tahoma"/>
            <family val="2"/>
          </rPr>
          <t>Pete Kairis:</t>
        </r>
        <r>
          <rPr>
            <sz val="9"/>
            <color indexed="81"/>
            <rFont val="Tahoma"/>
            <family val="2"/>
          </rPr>
          <t xml:space="preserve">
Source: Gary Maston/Bob Leland, WDFW 2015.  From WDFW database and includes additional releases that were on RMIS but not in their database (mainly Baker River releases)</t>
        </r>
      </text>
    </comment>
    <comment ref="A5" authorId="0" shapeId="0" xr:uid="{00000000-0006-0000-0000-00000D000000}">
      <text>
        <r>
          <rPr>
            <b/>
            <sz val="8"/>
            <color indexed="81"/>
            <rFont val="Tahoma"/>
            <family val="2"/>
          </rPr>
          <t xml:space="preserve"> Rebecca Bernard:</t>
        </r>
        <r>
          <rPr>
            <sz val="8"/>
            <color indexed="81"/>
            <rFont val="Tahoma"/>
            <family val="2"/>
          </rPr>
          <t xml:space="preserve">
bolded year is the year they spawn</t>
        </r>
      </text>
    </comment>
    <comment ref="B5" authorId="2" shapeId="0" xr:uid="{00000000-0006-0000-0000-00000E000000}">
      <text>
        <r>
          <rPr>
            <b/>
            <sz val="8"/>
            <color indexed="81"/>
            <rFont val="Tahoma"/>
            <family val="2"/>
          </rPr>
          <t>William T Gill:</t>
        </r>
        <r>
          <rPr>
            <sz val="8"/>
            <color indexed="81"/>
            <rFont val="Tahoma"/>
            <family val="2"/>
          </rPr>
          <t xml:space="preserve">
Starting in 2000, the winter run is split between two CRC seasons and will need to capture April data from the following year's report (a + sign indicates that the 12th month, April, is missing).
Sport catch is adjusted for Skagit Winter steelhead Management period(Nov 1 through May 31).  In most cases, the April and May catch reported has to be adjusted, added to the previous year's catch and removed from the reported year.  This means that we have to wait until the coming year to get the April and May catch for the current reported year.  (Rebecca Bernard)</t>
        </r>
      </text>
    </comment>
    <comment ref="C5" authorId="3" shapeId="0" xr:uid="{00000000-0006-0000-0000-00000F000000}">
      <text>
        <r>
          <rPr>
            <b/>
            <sz val="9"/>
            <color indexed="81"/>
            <rFont val="Tahoma"/>
            <family val="2"/>
          </rPr>
          <t>Bob Leland WDFW: Wild WSH from scales, creel surveys, no H /W SSH in number, historical data books.</t>
        </r>
        <r>
          <rPr>
            <sz val="9"/>
            <color indexed="81"/>
            <rFont val="Tahoma"/>
            <family val="2"/>
          </rPr>
          <t xml:space="preserve">
1977-78 to 1992-93</t>
        </r>
      </text>
    </comment>
    <comment ref="E5" authorId="2" shapeId="0" xr:uid="{00000000-0006-0000-0000-000010000000}">
      <text>
        <r>
          <rPr>
            <b/>
            <sz val="8"/>
            <color indexed="81"/>
            <rFont val="Tahoma"/>
            <family val="2"/>
          </rPr>
          <t>William T Gill:</t>
        </r>
        <r>
          <rPr>
            <sz val="8"/>
            <color indexed="81"/>
            <rFont val="Tahoma"/>
            <family val="2"/>
          </rPr>
          <t xml:space="preserve">
Starting in 2000, the winter run is split between two CRC seasons and will need to capture April data from the following year's report (a + sign indicates that the 12th month, April, is missing).
Sport catch is adjusted for Skagit Winter steelhead Management period(Nov 1 through May 31).  In most cases, the April and May catch reported has to be adjusted, added to the previous year's catch and removed from the reported year.  This means that we have to wait until the coming year to get the April and May catch for the current reported year.  (Rebecca Bernard)</t>
        </r>
      </text>
    </comment>
    <comment ref="F5" authorId="3" shapeId="0" xr:uid="{00000000-0006-0000-0000-000011000000}">
      <text>
        <r>
          <rPr>
            <b/>
            <sz val="9"/>
            <color indexed="81"/>
            <rFont val="Tahoma"/>
            <family val="2"/>
          </rPr>
          <t>Bob Leland WDFW: Wild WSH from scales, creel surveys, no H /W SSH in number, historical data books.</t>
        </r>
        <r>
          <rPr>
            <sz val="9"/>
            <color indexed="81"/>
            <rFont val="Tahoma"/>
            <family val="2"/>
          </rPr>
          <t xml:space="preserve">
1977-78 to 1992-93</t>
        </r>
      </text>
    </comment>
    <comment ref="H5" authorId="2" shapeId="0" xr:uid="{00000000-0006-0000-0000-000012000000}">
      <text>
        <r>
          <rPr>
            <b/>
            <sz val="8"/>
            <color indexed="81"/>
            <rFont val="Tahoma"/>
            <family val="2"/>
          </rPr>
          <t>William T Gill:</t>
        </r>
        <r>
          <rPr>
            <sz val="8"/>
            <color indexed="81"/>
            <rFont val="Tahoma"/>
            <family val="2"/>
          </rPr>
          <t xml:space="preserve">
Starting in 2000, the winter run is split between two CRC seasons and will need to capture April data from the following year's report (a + sign indicates that the 12th month, April, is missing).
Sport catch is adjusted for Skagit Winter steelhead Management period(Nov 1 through May 31).  In most cases, the April and May catch reported has to be adjusted, added to the previous year's catch and removed from the reported year.  This means that we have to wait until the coming year to get the April and May catch for the current reported year.  (Rebecca Bernard)</t>
        </r>
      </text>
    </comment>
    <comment ref="I5" authorId="1" shapeId="0" xr:uid="{00000000-0006-0000-0000-000013000000}">
      <text>
        <r>
          <rPr>
            <b/>
            <sz val="9"/>
            <color indexed="81"/>
            <rFont val="Tahoma"/>
            <family val="2"/>
          </rPr>
          <t>Pete Kairis:</t>
        </r>
        <r>
          <rPr>
            <sz val="9"/>
            <color indexed="81"/>
            <rFont val="Tahoma"/>
            <family val="2"/>
          </rPr>
          <t xml:space="preserve">
Estimated C&amp;R release mortality
</t>
        </r>
      </text>
    </comment>
    <comment ref="K5" authorId="3" shapeId="0" xr:uid="{00000000-0006-0000-0000-000014000000}">
      <text>
        <r>
          <rPr>
            <b/>
            <sz val="9"/>
            <color indexed="81"/>
            <rFont val="Tahoma"/>
            <family val="2"/>
          </rPr>
          <t>WDFW: Eric Kraig July 1 - June 30 CRC run</t>
        </r>
        <r>
          <rPr>
            <sz val="9"/>
            <color indexed="81"/>
            <rFont val="Tahoma"/>
            <family val="2"/>
          </rPr>
          <t xml:space="preserve">
</t>
        </r>
      </text>
    </comment>
    <comment ref="L5" authorId="3" shapeId="0" xr:uid="{00000000-0006-0000-0000-000015000000}">
      <text>
        <r>
          <rPr>
            <b/>
            <sz val="9"/>
            <color indexed="81"/>
            <rFont val="Tahoma"/>
            <family val="2"/>
          </rPr>
          <t>Bob Leland WDFW: Wild WSH from scales, creel surveys, no H /W SSH in number, historical data books.</t>
        </r>
        <r>
          <rPr>
            <sz val="9"/>
            <color indexed="81"/>
            <rFont val="Tahoma"/>
            <family val="2"/>
          </rPr>
          <t xml:space="preserve">
1977-78 to 1992-93</t>
        </r>
      </text>
    </comment>
    <comment ref="O5" authorId="1" shapeId="0" xr:uid="{00000000-0006-0000-0000-000016000000}">
      <text>
        <r>
          <rPr>
            <b/>
            <sz val="9"/>
            <color indexed="81"/>
            <rFont val="Tahoma"/>
            <family val="2"/>
          </rPr>
          <t>Pete Kairis:</t>
        </r>
        <r>
          <rPr>
            <sz val="9"/>
            <color indexed="81"/>
            <rFont val="Tahoma"/>
            <family val="2"/>
          </rPr>
          <t xml:space="preserve">
Includes release mortality in fisheries where release required.</t>
        </r>
      </text>
    </comment>
    <comment ref="R5" authorId="1" shapeId="0" xr:uid="{1A3814EC-40BC-4802-A5C8-7DCBC132E83F}">
      <text>
        <r>
          <rPr>
            <b/>
            <sz val="9"/>
            <color indexed="81"/>
            <rFont val="Tahoma"/>
            <family val="2"/>
          </rPr>
          <t>Pete Kairis:</t>
        </r>
        <r>
          <rPr>
            <sz val="9"/>
            <color indexed="81"/>
            <rFont val="Tahoma"/>
            <family val="2"/>
          </rPr>
          <t xml:space="preserve">
Includes release mortality in fisheries where release required.</t>
        </r>
      </text>
    </comment>
    <comment ref="AB5" authorId="0" shapeId="0" xr:uid="{00000000-0006-0000-0000-000017000000}">
      <text>
        <r>
          <rPr>
            <b/>
            <sz val="8"/>
            <color indexed="81"/>
            <rFont val="Tahoma"/>
            <family val="2"/>
          </rPr>
          <t xml:space="preserve"> Rebecca Bernard:</t>
        </r>
        <r>
          <rPr>
            <sz val="8"/>
            <color indexed="81"/>
            <rFont val="Tahoma"/>
            <family val="2"/>
          </rPr>
          <t xml:space="preserve">
Skamania stock steelhead
Steve Stout indicated that all the summer-run fish were directed transported from Whithorse and not acclimated anywhere in the Skagit.  They were released all over the place but Marblemount never collected any adults (12/3/2009).
Return May to October of one calendar year and spawn in the next calendar year--so the "year" is the year they spawn in--look funny, like adding up catch in the wrong year.</t>
        </r>
      </text>
    </comment>
    <comment ref="AC5" authorId="0" shapeId="0" xr:uid="{00000000-0006-0000-0000-000018000000}">
      <text>
        <r>
          <rPr>
            <b/>
            <sz val="8"/>
            <color indexed="81"/>
            <rFont val="Tahoma"/>
            <family val="2"/>
          </rPr>
          <t xml:space="preserve"> Rebecca Bernard:</t>
        </r>
        <r>
          <rPr>
            <sz val="8"/>
            <color indexed="81"/>
            <rFont val="Tahoma"/>
            <family val="2"/>
          </rPr>
          <t xml:space="preserve">
still need to address what portion of the hatchery rack returns were summer-run and winter-run--Dec 2, 2009.</t>
        </r>
      </text>
    </comment>
    <comment ref="AE5" authorId="0" shapeId="0" xr:uid="{00000000-0006-0000-0000-000019000000}">
      <text>
        <r>
          <rPr>
            <b/>
            <sz val="8"/>
            <color indexed="81"/>
            <rFont val="Tahoma"/>
            <family val="2"/>
          </rPr>
          <t xml:space="preserve"> Rebecca Bernard:</t>
        </r>
        <r>
          <rPr>
            <sz val="8"/>
            <color indexed="81"/>
            <rFont val="Tahoma"/>
            <family val="2"/>
          </rPr>
          <t xml:space="preserve">
Skamania stock steelhead
Steve Stout indicated that all the summer-run fish were directed transported from Whithorse and not acclimated anywhere in the Skagit.  They were released all over the place but Marblemount never collected any adults (12/3/2009).
Return May to October of one calendar year and spawn in the next calendar year--so the "year" is the year they spawn in--look funny, like adding up catch in the wrong year.</t>
        </r>
      </text>
    </comment>
    <comment ref="AH5" authorId="0" shapeId="0" xr:uid="{00000000-0006-0000-0000-00001A000000}">
      <text>
        <r>
          <rPr>
            <b/>
            <sz val="8"/>
            <color indexed="81"/>
            <rFont val="Tahoma"/>
            <family val="2"/>
          </rPr>
          <t xml:space="preserve"> Rebecca Bernard:</t>
        </r>
        <r>
          <rPr>
            <sz val="8"/>
            <color indexed="81"/>
            <rFont val="Tahoma"/>
            <family val="2"/>
          </rPr>
          <t xml:space="preserve">
Skamania stock steelhead
Steve Stout indicated that all the summer-run fish were directed transported from Whithorse and not acclimated anywhere in the Skagit.  They were released all over the place but Marblemount never collected any adults (12/3/2009).</t>
        </r>
      </text>
    </comment>
    <comment ref="AI5" authorId="0" shapeId="0" xr:uid="{00000000-0006-0000-0000-00001B000000}">
      <text>
        <r>
          <rPr>
            <b/>
            <sz val="8"/>
            <color indexed="81"/>
            <rFont val="Tahoma"/>
            <family val="2"/>
          </rPr>
          <t xml:space="preserve"> Rebecca Bernard:</t>
        </r>
        <r>
          <rPr>
            <sz val="8"/>
            <color indexed="81"/>
            <rFont val="Tahoma"/>
            <family val="2"/>
          </rPr>
          <t xml:space="preserve">
still need to address what portion of the hatchery rack returns were summer-run and winter-run--Dec 2, 2009.</t>
        </r>
      </text>
    </comment>
    <comment ref="AL5" authorId="4" shapeId="0" xr:uid="{00000000-0006-0000-0000-00001C000000}">
      <text>
        <r>
          <rPr>
            <sz val="8"/>
            <color indexed="81"/>
            <rFont val="Tahoma"/>
            <family val="2"/>
          </rPr>
          <t xml:space="preserve">Example: Hatchery smolt releases during the spring of 1977 will produce the majority of adults returning for the 1978-79 winter and 1979 summer harvest seasons.
Stout:  summer run smolts and adults never came into Marblemount Hatchery--all smolts came from </t>
        </r>
      </text>
    </comment>
    <comment ref="AM5" authorId="4" shapeId="0" xr:uid="{00000000-0006-0000-0000-00001D000000}">
      <text>
        <r>
          <rPr>
            <sz val="8"/>
            <color indexed="81"/>
            <rFont val="Tahoma"/>
            <family val="2"/>
          </rPr>
          <t>Example: Hatchery smolt releases during the spring of 1977 will produce the majority of adults returning for the 1978-79 winter and 1979 summer harvest seasons</t>
        </r>
      </text>
    </comment>
    <comment ref="AN5" authorId="0" shapeId="0" xr:uid="{00000000-0006-0000-0000-00001E000000}">
      <text>
        <r>
          <rPr>
            <b/>
            <sz val="8"/>
            <color indexed="81"/>
            <rFont val="Tahoma"/>
            <family val="2"/>
          </rPr>
          <t xml:space="preserve"> Rebecca Bernard:</t>
        </r>
        <r>
          <rPr>
            <sz val="8"/>
            <color indexed="81"/>
            <rFont val="Tahoma"/>
            <family val="2"/>
          </rPr>
          <t xml:space="preserve">
These are Bill Gills comments</t>
        </r>
      </text>
    </comment>
    <comment ref="E6" authorId="1" shapeId="0" xr:uid="{00000000-0006-0000-0000-00001F000000}">
      <text>
        <r>
          <rPr>
            <b/>
            <sz val="9"/>
            <color indexed="81"/>
            <rFont val="Tahoma"/>
            <family val="2"/>
          </rPr>
          <t>Pete Kairis:</t>
        </r>
        <r>
          <rPr>
            <sz val="9"/>
            <color indexed="81"/>
            <rFont val="Tahoma"/>
            <family val="2"/>
          </rPr>
          <t xml:space="preserve">
Start of creel data</t>
        </r>
      </text>
    </comment>
    <comment ref="N6" authorId="0" shapeId="0" xr:uid="{00000000-0006-0000-0000-000020000000}">
      <text>
        <r>
          <rPr>
            <b/>
            <sz val="8"/>
            <color indexed="81"/>
            <rFont val="Tahoma"/>
            <family val="2"/>
          </rPr>
          <t xml:space="preserve"> Rebecca Bernard:</t>
        </r>
        <r>
          <rPr>
            <sz val="8"/>
            <color indexed="81"/>
            <rFont val="Tahoma"/>
            <family val="2"/>
          </rPr>
          <t xml:space="preserve">
From Dave Smith's data</t>
        </r>
      </text>
    </comment>
    <comment ref="O6" authorId="0" shapeId="0" xr:uid="{00000000-0006-0000-0000-000021000000}">
      <text>
        <r>
          <rPr>
            <b/>
            <sz val="8"/>
            <color indexed="81"/>
            <rFont val="Tahoma"/>
            <family val="2"/>
          </rPr>
          <t xml:space="preserve"> Rebecca Bernard:</t>
        </r>
        <r>
          <rPr>
            <sz val="8"/>
            <color indexed="81"/>
            <rFont val="Tahoma"/>
            <family val="2"/>
          </rPr>
          <t xml:space="preserve">
1977-1978 season wild to 1984-1985 season wild is Nov 1 through April 30--the old winter management period--NEED to add in summer timed wild catches.  From Dave Smith's data.</t>
        </r>
      </text>
    </comment>
    <comment ref="AE6" authorId="0" shapeId="0" xr:uid="{00000000-0006-0000-0000-000022000000}">
      <text>
        <r>
          <rPr>
            <b/>
            <sz val="8"/>
            <color indexed="81"/>
            <rFont val="Tahoma"/>
            <family val="2"/>
          </rPr>
          <t xml:space="preserve"> Rebecca Bernard:</t>
        </r>
        <r>
          <rPr>
            <sz val="8"/>
            <color indexed="81"/>
            <rFont val="Tahoma"/>
            <family val="2"/>
          </rPr>
          <t xml:space="preserve">
trap return not broken out to location of distribution.</t>
        </r>
      </text>
    </comment>
    <comment ref="AF6" authorId="0" shapeId="0" xr:uid="{00000000-0006-0000-0000-000023000000}">
      <text>
        <r>
          <rPr>
            <b/>
            <sz val="8"/>
            <color indexed="81"/>
            <rFont val="Tahoma"/>
            <family val="2"/>
          </rPr>
          <t xml:space="preserve"> Rebecca Bernard:</t>
        </r>
        <r>
          <rPr>
            <sz val="8"/>
            <color indexed="81"/>
            <rFont val="Tahoma"/>
            <family val="2"/>
          </rPr>
          <t xml:space="preserve">
trap return not broken out to location of distribution.</t>
        </r>
      </text>
    </comment>
    <comment ref="AL6" authorId="0" shapeId="0" xr:uid="{00000000-0006-0000-0000-000024000000}">
      <text>
        <r>
          <rPr>
            <b/>
            <sz val="8"/>
            <color indexed="81"/>
            <rFont val="Tahoma"/>
            <family val="2"/>
          </rPr>
          <t xml:space="preserve"> Rebecca Bernard:</t>
        </r>
        <r>
          <rPr>
            <sz val="8"/>
            <color indexed="81"/>
            <rFont val="Tahoma"/>
            <family val="2"/>
          </rPr>
          <t xml:space="preserve">
released May 1978</t>
        </r>
      </text>
    </comment>
    <comment ref="AE7" authorId="0" shapeId="0" xr:uid="{00000000-0006-0000-0000-000025000000}">
      <text>
        <r>
          <rPr>
            <b/>
            <sz val="8"/>
            <color indexed="81"/>
            <rFont val="Tahoma"/>
            <family val="2"/>
          </rPr>
          <t xml:space="preserve"> Rebecca Bernard:</t>
        </r>
        <r>
          <rPr>
            <sz val="8"/>
            <color indexed="81"/>
            <rFont val="Tahoma"/>
            <family val="2"/>
          </rPr>
          <t xml:space="preserve">
trap return not broken out to location of distribution.</t>
        </r>
      </text>
    </comment>
    <comment ref="AF7" authorId="0" shapeId="0" xr:uid="{00000000-0006-0000-0000-000026000000}">
      <text>
        <r>
          <rPr>
            <b/>
            <sz val="8"/>
            <color indexed="81"/>
            <rFont val="Tahoma"/>
            <family val="2"/>
          </rPr>
          <t xml:space="preserve"> Rebecca Bernard:</t>
        </r>
        <r>
          <rPr>
            <sz val="8"/>
            <color indexed="81"/>
            <rFont val="Tahoma"/>
            <family val="2"/>
          </rPr>
          <t xml:space="preserve">
trap return not broken out to location of distribution.</t>
        </r>
      </text>
    </comment>
    <comment ref="AE8" authorId="0" shapeId="0" xr:uid="{00000000-0006-0000-0000-000027000000}">
      <text>
        <r>
          <rPr>
            <b/>
            <sz val="8"/>
            <color indexed="81"/>
            <rFont val="Tahoma"/>
            <family val="2"/>
          </rPr>
          <t xml:space="preserve"> Rebecca Bernard:</t>
        </r>
        <r>
          <rPr>
            <sz val="8"/>
            <color indexed="81"/>
            <rFont val="Tahoma"/>
            <family val="2"/>
          </rPr>
          <t xml:space="preserve">
trap return not broken out to location of distribution.</t>
        </r>
      </text>
    </comment>
    <comment ref="AF8" authorId="0" shapeId="0" xr:uid="{00000000-0006-0000-0000-000028000000}">
      <text>
        <r>
          <rPr>
            <b/>
            <sz val="8"/>
            <color indexed="81"/>
            <rFont val="Tahoma"/>
            <family val="2"/>
          </rPr>
          <t xml:space="preserve"> Rebecca Bernard:</t>
        </r>
        <r>
          <rPr>
            <sz val="8"/>
            <color indexed="81"/>
            <rFont val="Tahoma"/>
            <family val="2"/>
          </rPr>
          <t xml:space="preserve">
trap return not broken out to location of distribution.</t>
        </r>
      </text>
    </comment>
    <comment ref="AE9" authorId="0" shapeId="0" xr:uid="{00000000-0006-0000-0000-000029000000}">
      <text>
        <r>
          <rPr>
            <b/>
            <sz val="8"/>
            <color indexed="81"/>
            <rFont val="Tahoma"/>
            <family val="2"/>
          </rPr>
          <t xml:space="preserve"> Rebecca Bernard:</t>
        </r>
        <r>
          <rPr>
            <sz val="8"/>
            <color indexed="81"/>
            <rFont val="Tahoma"/>
            <family val="2"/>
          </rPr>
          <t xml:space="preserve">
trap return not broken out to location of distribution.</t>
        </r>
      </text>
    </comment>
    <comment ref="AF9" authorId="0" shapeId="0" xr:uid="{00000000-0006-0000-0000-00002A000000}">
      <text>
        <r>
          <rPr>
            <b/>
            <sz val="8"/>
            <color indexed="81"/>
            <rFont val="Tahoma"/>
            <family val="2"/>
          </rPr>
          <t xml:space="preserve"> Rebecca Bernard:</t>
        </r>
        <r>
          <rPr>
            <sz val="8"/>
            <color indexed="81"/>
            <rFont val="Tahoma"/>
            <family val="2"/>
          </rPr>
          <t xml:space="preserve">
trap return not broken out to location of distribution.</t>
        </r>
      </text>
    </comment>
    <comment ref="AE10" authorId="0" shapeId="0" xr:uid="{00000000-0006-0000-0000-00002B000000}">
      <text>
        <r>
          <rPr>
            <b/>
            <sz val="8"/>
            <color indexed="81"/>
            <rFont val="Tahoma"/>
            <family val="2"/>
          </rPr>
          <t xml:space="preserve"> Rebecca Bernard:</t>
        </r>
        <r>
          <rPr>
            <sz val="8"/>
            <color indexed="81"/>
            <rFont val="Tahoma"/>
            <family val="2"/>
          </rPr>
          <t xml:space="preserve">
trap return not broken out to location of distribution.</t>
        </r>
      </text>
    </comment>
    <comment ref="AF10" authorId="0" shapeId="0" xr:uid="{00000000-0006-0000-0000-00002C000000}">
      <text>
        <r>
          <rPr>
            <b/>
            <sz val="8"/>
            <color indexed="81"/>
            <rFont val="Tahoma"/>
            <family val="2"/>
          </rPr>
          <t xml:space="preserve"> Rebecca Bernard:</t>
        </r>
        <r>
          <rPr>
            <sz val="8"/>
            <color indexed="81"/>
            <rFont val="Tahoma"/>
            <family val="2"/>
          </rPr>
          <t xml:space="preserve">
trap return not broken out to location of distribution.</t>
        </r>
      </text>
    </comment>
    <comment ref="AE11" authorId="0" shapeId="0" xr:uid="{00000000-0006-0000-0000-00002D000000}">
      <text>
        <r>
          <rPr>
            <b/>
            <sz val="8"/>
            <color indexed="81"/>
            <rFont val="Tahoma"/>
            <family val="2"/>
          </rPr>
          <t xml:space="preserve"> Rebecca Bernard:</t>
        </r>
        <r>
          <rPr>
            <sz val="8"/>
            <color indexed="81"/>
            <rFont val="Tahoma"/>
            <family val="2"/>
          </rPr>
          <t xml:space="preserve">
trap return not broken out to location of distribution.</t>
        </r>
      </text>
    </comment>
    <comment ref="AF11" authorId="0" shapeId="0" xr:uid="{00000000-0006-0000-0000-00002E000000}">
      <text>
        <r>
          <rPr>
            <b/>
            <sz val="8"/>
            <color indexed="81"/>
            <rFont val="Tahoma"/>
            <family val="2"/>
          </rPr>
          <t xml:space="preserve"> Rebecca Bernard:</t>
        </r>
        <r>
          <rPr>
            <sz val="8"/>
            <color indexed="81"/>
            <rFont val="Tahoma"/>
            <family val="2"/>
          </rPr>
          <t xml:space="preserve">
trap return not broken out to location of distribution.</t>
        </r>
      </text>
    </comment>
    <comment ref="AE12" authorId="0" shapeId="0" xr:uid="{00000000-0006-0000-0000-00002F000000}">
      <text>
        <r>
          <rPr>
            <b/>
            <sz val="8"/>
            <color indexed="81"/>
            <rFont val="Tahoma"/>
            <family val="2"/>
          </rPr>
          <t xml:space="preserve"> Rebecca Bernard:</t>
        </r>
        <r>
          <rPr>
            <sz val="8"/>
            <color indexed="81"/>
            <rFont val="Tahoma"/>
            <family val="2"/>
          </rPr>
          <t xml:space="preserve">
trap return not broken out to location of distribution.</t>
        </r>
      </text>
    </comment>
    <comment ref="AF12" authorId="0" shapeId="0" xr:uid="{00000000-0006-0000-0000-000030000000}">
      <text>
        <r>
          <rPr>
            <b/>
            <sz val="8"/>
            <color indexed="81"/>
            <rFont val="Tahoma"/>
            <family val="2"/>
          </rPr>
          <t xml:space="preserve"> Rebecca Bernard:</t>
        </r>
        <r>
          <rPr>
            <sz val="8"/>
            <color indexed="81"/>
            <rFont val="Tahoma"/>
            <family val="2"/>
          </rPr>
          <t xml:space="preserve">
trap return not broken out to location of distribution.</t>
        </r>
      </text>
    </comment>
    <comment ref="AE13" authorId="0" shapeId="0" xr:uid="{00000000-0006-0000-0000-000031000000}">
      <text>
        <r>
          <rPr>
            <b/>
            <sz val="8"/>
            <color indexed="81"/>
            <rFont val="Tahoma"/>
            <family val="2"/>
          </rPr>
          <t xml:space="preserve"> Rebecca Bernard:</t>
        </r>
        <r>
          <rPr>
            <sz val="8"/>
            <color indexed="81"/>
            <rFont val="Tahoma"/>
            <family val="2"/>
          </rPr>
          <t xml:space="preserve">
trap return not broken out to location of distribution.</t>
        </r>
      </text>
    </comment>
    <comment ref="AF13" authorId="0" shapeId="0" xr:uid="{00000000-0006-0000-0000-000032000000}">
      <text>
        <r>
          <rPr>
            <b/>
            <sz val="8"/>
            <color indexed="81"/>
            <rFont val="Tahoma"/>
            <family val="2"/>
          </rPr>
          <t xml:space="preserve"> Rebecca Bernard:</t>
        </r>
        <r>
          <rPr>
            <sz val="8"/>
            <color indexed="81"/>
            <rFont val="Tahoma"/>
            <family val="2"/>
          </rPr>
          <t xml:space="preserve">
trap return not broken out to location of distribution.</t>
        </r>
      </text>
    </comment>
    <comment ref="AG13" authorId="0" shapeId="0" xr:uid="{00000000-0006-0000-0000-000033000000}">
      <text>
        <r>
          <rPr>
            <b/>
            <sz val="8"/>
            <color indexed="81"/>
            <rFont val="Tahoma"/>
            <family val="2"/>
          </rPr>
          <t xml:space="preserve"> Rebecca Bernard:</t>
        </r>
        <r>
          <rPr>
            <sz val="8"/>
            <color indexed="81"/>
            <rFont val="Tahoma"/>
            <family val="2"/>
          </rPr>
          <t xml:space="preserve">
Value is progam goal.  wild steelhead stock broodstock to develop "earlier than wild stock timed" hatchery program (to improve upon Chambers Creek releases production) identified 20 females and 15 males to be captured for first three years of program. </t>
        </r>
      </text>
    </comment>
    <comment ref="B14" authorId="1" shapeId="0" xr:uid="{00000000-0006-0000-0000-000034000000}">
      <text>
        <r>
          <rPr>
            <b/>
            <sz val="9"/>
            <color indexed="81"/>
            <rFont val="Tahoma"/>
            <family val="2"/>
          </rPr>
          <t>Pete Kairis:</t>
        </r>
        <r>
          <rPr>
            <sz val="9"/>
            <color indexed="81"/>
            <rFont val="Tahoma"/>
            <family val="2"/>
          </rPr>
          <t xml:space="preserve">
Start of creel data
</t>
        </r>
      </text>
    </comment>
    <comment ref="AE14" authorId="0" shapeId="0" xr:uid="{00000000-0006-0000-0000-000035000000}">
      <text>
        <r>
          <rPr>
            <b/>
            <sz val="8"/>
            <color indexed="81"/>
            <rFont val="Tahoma"/>
            <family val="2"/>
          </rPr>
          <t xml:space="preserve"> Rebecca Bernard:</t>
        </r>
        <r>
          <rPr>
            <sz val="8"/>
            <color indexed="81"/>
            <rFont val="Tahoma"/>
            <family val="2"/>
          </rPr>
          <t xml:space="preserve">
trap return not broken out to location of distribution.</t>
        </r>
      </text>
    </comment>
    <comment ref="AF14" authorId="0" shapeId="0" xr:uid="{00000000-0006-0000-0000-000036000000}">
      <text>
        <r>
          <rPr>
            <b/>
            <sz val="8"/>
            <color indexed="81"/>
            <rFont val="Tahoma"/>
            <family val="2"/>
          </rPr>
          <t xml:space="preserve"> Rebecca Bernard:</t>
        </r>
        <r>
          <rPr>
            <sz val="8"/>
            <color indexed="81"/>
            <rFont val="Tahoma"/>
            <family val="2"/>
          </rPr>
          <t xml:space="preserve">
trap return not broken out to location of distribution.</t>
        </r>
      </text>
    </comment>
    <comment ref="AG14" authorId="0" shapeId="0" xr:uid="{00000000-0006-0000-0000-000037000000}">
      <text>
        <r>
          <rPr>
            <b/>
            <sz val="8"/>
            <color indexed="81"/>
            <rFont val="Tahoma"/>
            <family val="2"/>
          </rPr>
          <t xml:space="preserve"> Rebecca Bernard:</t>
        </r>
        <r>
          <rPr>
            <sz val="8"/>
            <color indexed="81"/>
            <rFont val="Tahoma"/>
            <family val="2"/>
          </rPr>
          <t xml:space="preserve">
Value is progam goal.  wild steelhead stock broodstock to develop "earlier than wild stock timed" hatchery program (to improve upon Chambers Creek releases production) identified 20 females and 15 males to be captured for first three years of program. </t>
        </r>
      </text>
    </comment>
    <comment ref="E15" authorId="1" shapeId="0" xr:uid="{00000000-0006-0000-0000-000038000000}">
      <text>
        <r>
          <rPr>
            <b/>
            <sz val="9"/>
            <color indexed="81"/>
            <rFont val="Tahoma"/>
            <family val="2"/>
          </rPr>
          <t>Pete Kairis:</t>
        </r>
        <r>
          <rPr>
            <sz val="9"/>
            <color indexed="81"/>
            <rFont val="Tahoma"/>
            <family val="2"/>
          </rPr>
          <t xml:space="preserve">
Start of CRC data</t>
        </r>
      </text>
    </comment>
    <comment ref="H15" authorId="1" shapeId="0" xr:uid="{00000000-0006-0000-0000-000039000000}">
      <text>
        <r>
          <rPr>
            <b/>
            <sz val="9"/>
            <color indexed="81"/>
            <rFont val="Tahoma"/>
            <family val="2"/>
          </rPr>
          <t>Pete Kairis:</t>
        </r>
        <r>
          <rPr>
            <sz val="9"/>
            <color indexed="81"/>
            <rFont val="Tahoma"/>
            <family val="2"/>
          </rPr>
          <t xml:space="preserve">
Copied from Leland's spreadsheet 6/11/2015</t>
        </r>
      </text>
    </comment>
    <comment ref="AE15" authorId="0" shapeId="0" xr:uid="{00000000-0006-0000-0000-00003A000000}">
      <text>
        <r>
          <rPr>
            <b/>
            <sz val="8"/>
            <color indexed="81"/>
            <rFont val="Tahoma"/>
            <family val="2"/>
          </rPr>
          <t xml:space="preserve"> Rebecca Bernard:</t>
        </r>
        <r>
          <rPr>
            <sz val="8"/>
            <color indexed="81"/>
            <rFont val="Tahoma"/>
            <family val="2"/>
          </rPr>
          <t xml:space="preserve">
113 summer timed steelhead sampled at trap.
trap return not broken out to location of distribution.</t>
        </r>
      </text>
    </comment>
    <comment ref="AF15" authorId="0" shapeId="0" xr:uid="{00000000-0006-0000-0000-00003B000000}">
      <text>
        <r>
          <rPr>
            <b/>
            <sz val="8"/>
            <color indexed="81"/>
            <rFont val="Tahoma"/>
            <family val="2"/>
          </rPr>
          <t>Rebecca Bernard:</t>
        </r>
        <r>
          <rPr>
            <sz val="8"/>
            <color indexed="81"/>
            <rFont val="Tahoma"/>
            <family val="2"/>
          </rPr>
          <t xml:space="preserve">
47 winter timed hatchery steelhead sampled at trap.
Rrap return not broken out to location of distribution.
confirmed with Bob Hayman Oct 4 2010--these returns to the Baker trap were 1985 implimented program that used wild broodstock to try to create an earlier than wild stock timed winter hatchery program ("that spawns prior to March 15 rather than May")--but dropped prior to 1998--supposed to be vent clipped.  Initially capture three brood years of wild stock to start program--see SSC MOU with WDG April 17, 1985.
FROM BOB HAYMAN Oct 6, 2010:
I found some documents on the SSC native steelhead program (attached).  It actually started in 1985 (Gibson was in charge), and had several fish kills and other disappointments.  The fish were indeed raised in net pens in Lake Shannon (and at Red Creek Hatchery) and were vent clipped.  I have other documents on this program, but these two summarize it pretty well.  Might help explain some of the Baker numbers.
FROM BOB HAYMAN Oct 13, 2010:
I'm not sure when the program ended, but I found some meeting notes and a letter from Doreen to Cary Feldman dated December, 1998, that said that due to budget constraints, we can't continue the steelhead net pen program on Lake Shannon.  The State was going to transfer 30,000 juveniles from Marblemount to the Lake Shannon net pens, but we told them to hold them, and release them at Marblemount.  I think that was the end of the steelhead program at Baker in 1998.</t>
        </r>
      </text>
    </comment>
    <comment ref="AG15" authorId="0" shapeId="0" xr:uid="{00000000-0006-0000-0000-00003C000000}">
      <text>
        <r>
          <rPr>
            <b/>
            <sz val="8"/>
            <color indexed="81"/>
            <rFont val="Tahoma"/>
            <family val="2"/>
          </rPr>
          <t>Rebecca Bernard:</t>
        </r>
        <r>
          <rPr>
            <sz val="8"/>
            <color indexed="81"/>
            <rFont val="Tahoma"/>
            <family val="2"/>
          </rPr>
          <t xml:space="preserve">
THESE 25 ADULTS WERE THE WILD BROODSTOCK CAPTURED IN THE RIVER FOR THE BROODSTOCK PROGRAM (transfer 28,993 fry at 825/pound to Lake Shannon on 7/17/1988; released 16,224 at 8/pound on 5/9/1988).  
4 of these fish were wild fish returned to the trap and sampled.  Trap return not broken out to location of distribution.
confirmed with Bob Hayman Oct 4 2010--these returns to the Baker trap were 1985 implimented program that used wild broodstock to try to create an earlier than wild stock timed winter hatchery program ("that spawns prior to March 15 rather than May")--but dropped prior to 1998--supposed to be vent clipped.  Initially capture three brood years of wild stock to start program--see SSC MOU with WDG April 17, 1985.
FROM BOB HAYMAN Oct 6, 2010:
I found some documents on the SSC native steelhead program (attached).  It actually started in 1985 (Gibson was in charge), and had several fish kills and other disappointments.  The fish were indeed raised in net pens in Lake Shannon (and at Red Creek Hatchery) and were vent clipped.  I have other documents on this program, but these two summarize it pretty well.  Might help explain some of the Baker numbers.
FROM BOB HAYMAN Oct 13, 2010:
I'm not sure when the program ended, but I found some meeting notes and a letter from Doreen to Cary Feldman dated December, 1998, that said that due to budget constraints, we can't continue the steelhead net pen program on Lake Shannon.  The State was going to transfer 30,000 juveniles from Marblemount to the Lake Shannon net pens, but we told them to hold them, and release them at Marblemount.  I think that was the end of the steelhead program at Baker was 1998.</t>
        </r>
      </text>
    </comment>
    <comment ref="AE16" authorId="0" shapeId="0" xr:uid="{00000000-0006-0000-0000-00003D000000}">
      <text>
        <r>
          <rPr>
            <b/>
            <sz val="8"/>
            <color indexed="81"/>
            <rFont val="Tahoma"/>
            <family val="2"/>
          </rPr>
          <t xml:space="preserve"> Rebecca Bernard:</t>
        </r>
        <r>
          <rPr>
            <sz val="8"/>
            <color indexed="81"/>
            <rFont val="Tahoma"/>
            <family val="2"/>
          </rPr>
          <t xml:space="preserve">
trap return not broken out to location of distribution.</t>
        </r>
      </text>
    </comment>
    <comment ref="AF16" authorId="0" shapeId="0" xr:uid="{00000000-0006-0000-0000-00003E000000}">
      <text>
        <r>
          <rPr>
            <b/>
            <sz val="8"/>
            <color indexed="81"/>
            <rFont val="Tahoma"/>
            <family val="2"/>
          </rPr>
          <t>Rebecca Bernard:</t>
        </r>
        <r>
          <rPr>
            <sz val="8"/>
            <color indexed="81"/>
            <rFont val="Tahoma"/>
            <family val="2"/>
          </rPr>
          <t xml:space="preserve">
trap return not broken out to location of distribution.
confirmed with Bob Hayman Oct 4 2010--these returns to the Baker trap were 1985 implimented program that used wild broodstock to try to create an earlier than wild stock timed winter hatchery program ("that spawns prior to March 15 rather than May")--but dropped prior to 1998--supposed to be vent clipped.  Initially capture three brood years of wild stock to start program--see SSC MOU with WDG April 17, 1985.
FROM BOB HAYMAN Oct 6, 2010:
I found some documents on the SSC native steelhead program (attached).  It actually started in 1985 (Gibson was in charge), and had several fish kills and other disappointments.  The fish were indeed raised in net pens in Lake Shannon (and at Red Creek Hatchery) and were vent clipped.  I have other documents on this program, but these two summarize it pretty well.  Might help explain some of the Baker numbers.
FROM BOB HAYMAN Oct 13, 2010:
I'm not sure when the program ended, but I found some meeting notes and a letter from Doreen to Cary Feldman dated December, 1998, that said that due to budget constraints, we can't continue the steelhead net pen program on Lake Shannon.  The State was going to transfer 30,000 juveniles from Marblemount to the Lake Shannon net pens, but we told them to hold them, and release them at Marblemount.  I think that was the end of the steelhead program at Baker in 1998.</t>
        </r>
      </text>
    </comment>
    <comment ref="AG16" authorId="0" shapeId="0" xr:uid="{00000000-0006-0000-0000-00003F000000}">
      <text>
        <r>
          <rPr>
            <b/>
            <sz val="8"/>
            <color indexed="81"/>
            <rFont val="Tahoma"/>
            <family val="2"/>
          </rPr>
          <t>Rebecca Bernard:</t>
        </r>
        <r>
          <rPr>
            <sz val="8"/>
            <color indexed="81"/>
            <rFont val="Tahoma"/>
            <family val="2"/>
          </rPr>
          <t xml:space="preserve">
trap return not broken out to location of distribution.
confirmed with Bob Hayman Oct 4 2010--these returns to the Baker trap were 1985 implimented program that used wild broodstock to try to create an earlier than wild stock timed winter hatchery program ("that spawns prior to March 15 rather than May")--but dropped prior to 1998--supposed to be vent clipped.  Initially capture three brood years of wild stock to start program--see SSC MOU with WDG April 17, 1985.
FROM BOB HAYMAN Oct 6, 2010:
I found some documents on the SSC native steelhead program (attached).  It actually started in 1985 (Gibson was in charge), and had several fish kills and other disappointments.  The fish were indeed raised in net pens in Lake Shannon (and at Red Creek Hatchery) and were vent clipped.  I have other documents on this program, but these two summarize it pretty well.  Might help explain some of the Baker numbers.
FROM BOB HAYMAN Oct 13, 2010:
I'm not sure when the program ended, but I found some meeting notes and a letter from Doreen to Cary Feldman dated December, 1998, that said that due to budget constraints, we can't continue the steelhead net pen program on Lake Shannon.  The State was going to transfer 30,000 juveniles from Marblemount to the Lake Shannon net pens, but we told them to hold them, and release them at Marblemount.  I think that was the end of the steelhead program at Baker in 1998.</t>
        </r>
      </text>
    </comment>
    <comment ref="AE17" authorId="0" shapeId="0" xr:uid="{00000000-0006-0000-0000-000040000000}">
      <text>
        <r>
          <rPr>
            <b/>
            <sz val="8"/>
            <color indexed="81"/>
            <rFont val="Tahoma"/>
            <family val="2"/>
          </rPr>
          <t xml:space="preserve"> Rebecca Bernard:</t>
        </r>
        <r>
          <rPr>
            <sz val="8"/>
            <color indexed="81"/>
            <rFont val="Tahoma"/>
            <family val="2"/>
          </rPr>
          <t xml:space="preserve">
trap return not broken out to location of distribution.</t>
        </r>
      </text>
    </comment>
    <comment ref="AF17" authorId="0" shapeId="0" xr:uid="{00000000-0006-0000-0000-000041000000}">
      <text>
        <r>
          <rPr>
            <b/>
            <sz val="8"/>
            <color indexed="81"/>
            <rFont val="Tahoma"/>
            <family val="2"/>
          </rPr>
          <t>Rebecca Bernard:</t>
        </r>
        <r>
          <rPr>
            <sz val="8"/>
            <color indexed="81"/>
            <rFont val="Tahoma"/>
            <family val="2"/>
          </rPr>
          <t xml:space="preserve">
trap return not broken out to location of distribution.
confirmed with Bob Hayman Oct 4 2010--these returns to the Baker trap were 1985 implimented program that used wild broodstock to try to create an earlier than wild stock timed winter hatchery program ("that spawns prior to March 15 rather than May")--but dropped prior to 1998--supposed to be vent clipped.  Initially capture three brood years of wild stock to start program--see SSC MOU with WDG April 17, 1985.
FROM BOB HAYMAN Oct 6, 2010:
I found some documents on the SSC native steelhead program (attached).  It actually started in 1985 (Gibson was in charge), and had several fish kills and other disappointments.  The fish were indeed raised in net pens in Lake Shannon (and at Red Creek Hatchery) and were vent clipped.  I have other documents on this program, but these two summarize it pretty well.  Might help explain some of the Baker numbers.
FROM BOB HAYMAN Oct 13, 2010:
I'm not sure when the program ended, but I found some meeting notes and a letter from Doreen to Cary Feldman dated December, 1998, that said that due to budget constraints, we can't continue the steelhead net pen program on Lake Shannon.  The State was going to transfer 30,000 juveniles from Marblemount to the Lake Shannon net pens, but we told them to hold them, and release them at Marblemount.  I think that was the end of the steelhead program at Baker in 1998.</t>
        </r>
      </text>
    </comment>
    <comment ref="AG17" authorId="0" shapeId="0" xr:uid="{00000000-0006-0000-0000-000042000000}">
      <text>
        <r>
          <rPr>
            <b/>
            <sz val="8"/>
            <color indexed="81"/>
            <rFont val="Tahoma"/>
            <family val="2"/>
          </rPr>
          <t>Rebecca Bernard:</t>
        </r>
        <r>
          <rPr>
            <sz val="8"/>
            <color indexed="81"/>
            <rFont val="Tahoma"/>
            <family val="2"/>
          </rPr>
          <t xml:space="preserve">
trap return not broken out to location of distribution.
confirmed with Bob Hayman Oct 4 2010--these returns to the Baker trap were 1985 implimented program that used wild broodstock to try to create an earlier than wild stock timed winter hatchery program ("that spawns prior to March 15 rather than May")--but dropped prior to 1998--supposed to be vent clipped.  Initially capture three brood years of wild stock to start program--see SSC MOU with WDG April 17, 1985.
FROM BOB HAYMAN Oct 6, 2010:
I found some documents on the SSC native steelhead program (attached).  It actually started in 1985 (Gibson was in charge), and had several fish kills and other disappointments.  The fish were indeed raised in net pens in Lake Shannon (and at Red Creek Hatchery) and were vent clipped.  I have other documents on this program, but these two summarize it pretty well.  Might help explain some of the Baker numbers.
FROM BOB HAYMAN Oct 13, 2010:
I'm not sure when the program ended, but I found some meeting notes and a letter from Doreen to Cary Feldman dated December, 1998, that said that due to budget constraints, we can't continue the steelhead net pen program on Lake Shannon.  The State was going to transfer 30,000 juveniles from Marblemount to the Lake Shannon net pens, but we told them to hold them, and release them at Marblemount.  I think that was the end of the steelhead program at Baker in 1998.</t>
        </r>
      </text>
    </comment>
    <comment ref="AE18" authorId="0" shapeId="0" xr:uid="{00000000-0006-0000-0000-000043000000}">
      <text>
        <r>
          <rPr>
            <b/>
            <sz val="8"/>
            <color indexed="81"/>
            <rFont val="Tahoma"/>
            <family val="2"/>
          </rPr>
          <t xml:space="preserve"> Rebecca Bernard:</t>
        </r>
        <r>
          <rPr>
            <sz val="8"/>
            <color indexed="81"/>
            <rFont val="Tahoma"/>
            <family val="2"/>
          </rPr>
          <t xml:space="preserve">
trap return not broken out to location of distribution.</t>
        </r>
      </text>
    </comment>
    <comment ref="AF18" authorId="0" shapeId="0" xr:uid="{00000000-0006-0000-0000-000044000000}">
      <text>
        <r>
          <rPr>
            <b/>
            <sz val="8"/>
            <color indexed="81"/>
            <rFont val="Tahoma"/>
            <family val="2"/>
          </rPr>
          <t>Rebecca Bernard:</t>
        </r>
        <r>
          <rPr>
            <sz val="8"/>
            <color indexed="81"/>
            <rFont val="Tahoma"/>
            <family val="2"/>
          </rPr>
          <t xml:space="preserve">
626 2-salt from BY 1987 returned to trap--see "SSC Natvie Stock Hatchery Steelhead Program" document 5/23/1991.
Trap return not broken out to location of distribution.
confirmed with Bob Hayman Oct 4 2010--these returns to the Baker trap were 1985 implimented program that used wild broodstock to try to create an earlier than wild stock timed winter hatchery program ("that spawns prior to March 15 rather than May")--but dropped prior to 1998--supposed to be vent clipped.  Initially capture three brood years of wild stock to start program--see SSC MOU with WDG April 17, 1985.
FROM BOB HAYMAN Oct 6, 2010:
I found some documents on the SSC native steelhead program (attached).  It actually started in 1985 (Gibson was in charge), and had several fish kills and other disappointments.  The fish were indeed raised in net pens in Lake Shannon (and at Red Creek Hatchery) and were vent clipped.  I have other documents on this program, but these two summarize it pretty well.  Might help explain some of the Baker numbers.
FROM BOB HAYMAN Oct 13, 2010:
I'm not sure when the program ended, but I found some meeting notes and a letter from Doreen to Cary Feldman dated December, 1998, that said that due to budget constraints, we can't continue the steelhead net pen program on Lake Shannon.  The State was going to transfer 30,000 juveniles from Marblemount to the Lake Shannon net pens, but we told them to hold them, and release them at Marblemount.  I think that was the end of the steelhead program at Baker in 1998.</t>
        </r>
      </text>
    </comment>
    <comment ref="AG18" authorId="0" shapeId="0" xr:uid="{00000000-0006-0000-0000-000045000000}">
      <text>
        <r>
          <rPr>
            <b/>
            <sz val="8"/>
            <color indexed="81"/>
            <rFont val="Tahoma"/>
            <family val="2"/>
          </rPr>
          <t>Rebecca Bernard:</t>
        </r>
        <r>
          <rPr>
            <sz val="8"/>
            <color indexed="81"/>
            <rFont val="Tahoma"/>
            <family val="2"/>
          </rPr>
          <t xml:space="preserve">
trap return not broken out to location of distribution.
confirmed with Bob Hayman Oct 4 2010--these returns to the Baker trap were 1985 implimented program that used wild broodstock to try to create an earlier than wild stock timed winter hatchery program ("that spawns prior to March 15 rather than May")--but dropped prior to 1998--supposed to be vent clipped.  Initially capture three brood years of wild stock to start program--see SSC MOU with WDG April 17, 1985.
FROM BOB HAYMAN Oct 6, 2010:
I found some documents on the SSC native steelhead program (attached).  It actually started in 1985 (Gibson was in charge), and had several fish kills and other disappointments.  The fish were indeed raised in net pens in Lake Shannon (and at Red Creek Hatchery) and were vent clipped.  I have other documents on this program, but these two summarize it pretty well.  Might help explain some of the Baker numbers.
FROM BOB HAYMAN Oct 13, 2010:
I'm not sure when the program ended, but I found some meeting notes and a letter from Doreen to Cary Feldman dated December, 1998, that said that due to budget constraints, we can't continue the steelhead net pen program on Lake Shannon.  The State was going to transfer 30,000 juveniles from Marblemount to the Lake Shannon net pens, but we told them to hold them, and release them at Marblemount.  I think that was the end of the steelhead program at Baker in 1998.</t>
        </r>
      </text>
    </comment>
    <comment ref="AE19" authorId="0" shapeId="0" xr:uid="{00000000-0006-0000-0000-000046000000}">
      <text>
        <r>
          <rPr>
            <b/>
            <sz val="8"/>
            <color indexed="81"/>
            <rFont val="Tahoma"/>
            <family val="2"/>
          </rPr>
          <t xml:space="preserve"> Rebecca Bernard:</t>
        </r>
        <r>
          <rPr>
            <sz val="8"/>
            <color indexed="81"/>
            <rFont val="Tahoma"/>
            <family val="2"/>
          </rPr>
          <t xml:space="preserve">
trap return not broken out to location of distribution.</t>
        </r>
      </text>
    </comment>
    <comment ref="AF19" authorId="0" shapeId="0" xr:uid="{00000000-0006-0000-0000-000047000000}">
      <text>
        <r>
          <rPr>
            <b/>
            <sz val="8"/>
            <color indexed="81"/>
            <rFont val="Tahoma"/>
            <family val="2"/>
          </rPr>
          <t>Rebecca Bernard:</t>
        </r>
        <r>
          <rPr>
            <sz val="8"/>
            <color indexed="81"/>
            <rFont val="Tahoma"/>
            <family val="2"/>
          </rPr>
          <t xml:space="preserve">
54, 3-salt from BY 1987 returned to the trap--see "SSC Natvie Stock Hatchery Steelhead Program" document 5/23/1991
Trap return not broken out to location of distribution.
confirmed with Bob Hayman Oct 4 2010--these returns to the Baker trap were 1985 implimented program that used wild broodstock to try to create an earlier than wild stock timed winter hatchery program ("that spawns prior to March 15 rather than May")--but dropped prior to 1998--supposed to be vent clipped.  Initially capture three brood years of wild stock to start program--see SSC MOU with WDG April 17, 1985.
FROM BOB HAYMAN Oct 6, 2010:
I found some documents on the SSC native steelhead program (attached).  It actually started in 1985 (Gibson was in charge), and had several fish kills and other disappointments.  The fish were indeed raised in net pens in Lake Shannon (and at Red Creek Hatchery) and were vent clipped.  I have other documents on this program, but these two summarize it pretty well.  Might help explain some of the Baker numbers.
FROM BOB HAYMAN Oct 13, 2010:
I'm not sure when the program ended, but I found some meeting notes and a letter from Doreen to Cary Feldman dated December, 1998, that said that due to budget constraints, we can't continue the steelhead net pen program on Lake Shannon.  The State was going to transfer 30,000 juveniles from Marblemount to the Lake Shannon net pens, but we told them to hold them, and release them at Marblemount.  I think that was the end of the steelhead program at Baker in 1998.</t>
        </r>
      </text>
    </comment>
    <comment ref="AG19" authorId="0" shapeId="0" xr:uid="{00000000-0006-0000-0000-000048000000}">
      <text>
        <r>
          <rPr>
            <b/>
            <sz val="8"/>
            <color indexed="81"/>
            <rFont val="Tahoma"/>
            <family val="2"/>
          </rPr>
          <t>Rebecca Bernard:</t>
        </r>
        <r>
          <rPr>
            <sz val="8"/>
            <color indexed="81"/>
            <rFont val="Tahoma"/>
            <family val="2"/>
          </rPr>
          <t xml:space="preserve">
trap return not broken out to location of distribution.
confirmed with Bob Hayman Oct 4 2010--these returns to the Baker trap were 1985 implimented program that used wild broodstock to try to create an earlier than wild stock timed winter hatchery program ("that spawns prior to March 15 rather than May")--but dropped prior to 1998--supposed to be vent clipped.  Initially capture three brood years of wild stock to start program--see SSC MOU with WDG April 17, 1985.
FROM BOB HAYMAN Oct 6, 2010:
I found some documents on the SSC native steelhead program (attached).  It actually started in 1985 (Gibson was in charge), and had several fish kills and other disappointments.  The fish were indeed raised in net pens in Lake Shannon (and at Red Creek Hatchery) and were vent clipped.  I have other documents on this program, but these two summarize it pretty well.  Might help explain some of the Baker numbers.
FROM BOB HAYMAN Oct 13, 2010:
I'm not sure when the program ended, but I found some meeting notes and a letter from Doreen to Cary Feldman dated December, 1998, that said that due to budget constraints, we can't continue the steelhead net pen program on Lake Shannon.  The State was going to transfer 30,000 juveniles from Marblemount to the Lake Shannon net pens, but we told them to hold them, and release them at Marblemount.  I think that was the end of the steelhead program at Baker in 1998.</t>
        </r>
      </text>
    </comment>
    <comment ref="B20" authorId="1" shapeId="0" xr:uid="{00000000-0006-0000-0000-000049000000}">
      <text>
        <r>
          <rPr>
            <b/>
            <sz val="9"/>
            <color indexed="81"/>
            <rFont val="Tahoma"/>
            <family val="2"/>
          </rPr>
          <t>Pete Kairis:</t>
        </r>
        <r>
          <rPr>
            <sz val="9"/>
            <color indexed="81"/>
            <rFont val="Tahoma"/>
            <family val="2"/>
          </rPr>
          <t xml:space="preserve">
Start of CRC data.  Note that Bob Leland has 123 for 1991/92 whereas RB had 260.
</t>
        </r>
      </text>
    </comment>
    <comment ref="AE20" authorId="0" shapeId="0" xr:uid="{00000000-0006-0000-0000-00004A000000}">
      <text>
        <r>
          <rPr>
            <b/>
            <sz val="8"/>
            <color indexed="81"/>
            <rFont val="Tahoma"/>
            <family val="2"/>
          </rPr>
          <t xml:space="preserve"> Rebecca Bernard:</t>
        </r>
        <r>
          <rPr>
            <sz val="8"/>
            <color indexed="81"/>
            <rFont val="Tahoma"/>
            <family val="2"/>
          </rPr>
          <t xml:space="preserve">
trap return not broken out to location of distribution.</t>
        </r>
      </text>
    </comment>
    <comment ref="AF20" authorId="0" shapeId="0" xr:uid="{00000000-0006-0000-0000-00004B000000}">
      <text>
        <r>
          <rPr>
            <b/>
            <sz val="8"/>
            <color indexed="81"/>
            <rFont val="Tahoma"/>
            <family val="2"/>
          </rPr>
          <t>Rebecca Bernard:</t>
        </r>
        <r>
          <rPr>
            <sz val="8"/>
            <color indexed="81"/>
            <rFont val="Tahoma"/>
            <family val="2"/>
          </rPr>
          <t xml:space="preserve">
trap return not broken out to location of distribution.
confirmed with Bob Hayman Oct 4 2010--these returns to the Baker trap were 1985 implimented program that used wild broodstock to try to create an earlier than wild stock timed winter hatchery program ("that spawns prior to March 15 rather than May")--but dropped prior to 1998--supposed to be vent clipped.  Initially capture three brood years of wild stock to start program--see SSC MOU with WDG April 17, 1985.
FROM BOB HAYMAN Oct 6, 2010:
I found some documents on the SSC native steelhead program (attached).  It actually started in 1985 (Gibson was in charge), and had several fish kills and other disappointments.  The fish were indeed raised in net pens in Lake Shannon (and at Red Creek Hatchery) and were vent clipped.  I have other documents on this program, but these two summarize it pretty well.  Might help explain some of the Baker numbers.
FROM BOB HAYMAN Oct 13, 2010:
I'm not sure when the program ended, but I found some meeting notes and a letter from Doreen to Cary Feldman dated December, 1998, that said that due to budget constraints, we can't continue the steelhead net pen program on Lake Shannon.  The State was going to transfer 30,000 juveniles from Marblemount to the Lake Shannon net pens, but we told them to hold them, and release them at Marblemount.  I think that was the end of the steelhead program at Baker in 1998.</t>
        </r>
      </text>
    </comment>
    <comment ref="AG20" authorId="0" shapeId="0" xr:uid="{00000000-0006-0000-0000-00004C000000}">
      <text>
        <r>
          <rPr>
            <b/>
            <sz val="8"/>
            <color indexed="81"/>
            <rFont val="Tahoma"/>
            <family val="2"/>
          </rPr>
          <t>Rebecca Bernard:</t>
        </r>
        <r>
          <rPr>
            <sz val="8"/>
            <color indexed="81"/>
            <rFont val="Tahoma"/>
            <family val="2"/>
          </rPr>
          <t xml:space="preserve">
trap return not broken out to location of distribution.
confirmed with Bob Hayman Oct 4 2010--these returns to the Baker trap were 1985 implimented program that used wild broodstock to try to create an earlier than wild stock timed winter hatchery program ("that spawns prior to March 15 rather than May")--but dropped prior to 1998--supposed to be vent clipped.  Initially capture three brood years of wild stock to start program--see SSC MOU with WDG April 17, 1985.
FROM BOB HAYMAN Oct 6, 2010:
I found some documents on the SSC native steelhead program (attached).  It actually started in 1985 (Gibson was in charge), and had several fish kills and other disappointments.  The fish were indeed raised in net pens in Lake Shannon (and at Red Creek Hatchery) and were vent clipped.  I have other documents on this program, but these two summarize it pretty well.  Might help explain some of the Baker numbers.
FROM BOB HAYMAN Oct 13, 2010:
I'm not sure when the program ended, but I found some meeting notes and a letter from Doreen to Cary Feldman dated December, 1998, that said that due to budget constraints, we can't continue the steelhead net pen program on Lake Shannon.  The State was going to transfer 30,000 juveniles from Marblemount to the Lake Shannon net pens, but we told them to hold them, and release them at Marblemount.  I think that was the end of the steelhead program at Baker in 1998.</t>
        </r>
      </text>
    </comment>
    <comment ref="AE21" authorId="0" shapeId="0" xr:uid="{00000000-0006-0000-0000-00004D000000}">
      <text>
        <r>
          <rPr>
            <b/>
            <sz val="8"/>
            <color indexed="81"/>
            <rFont val="Tahoma"/>
            <family val="2"/>
          </rPr>
          <t xml:space="preserve"> Rebecca Bernard:</t>
        </r>
        <r>
          <rPr>
            <sz val="8"/>
            <color indexed="81"/>
            <rFont val="Tahoma"/>
            <family val="2"/>
          </rPr>
          <t xml:space="preserve">
trap return not broken out to location of distribution.</t>
        </r>
      </text>
    </comment>
    <comment ref="AF21" authorId="0" shapeId="0" xr:uid="{00000000-0006-0000-0000-00004E000000}">
      <text>
        <r>
          <rPr>
            <b/>
            <sz val="8"/>
            <color indexed="81"/>
            <rFont val="Tahoma"/>
            <family val="2"/>
          </rPr>
          <t>Rebecca Bernard:</t>
        </r>
        <r>
          <rPr>
            <sz val="8"/>
            <color indexed="81"/>
            <rFont val="Tahoma"/>
            <family val="2"/>
          </rPr>
          <t xml:space="preserve">
52 winter hatchery timed scale samples.
trap return not broken out to location of distribution.
confirmed with Bob Hayman Oct 4 2010--these returns to the Baker trap were 1985 implimented program that used wild broodstock to try to create an earlier than wild stock timed winter hatchery program ("that spawns prior to March 15 rather than May")--but dropped prior to 1998--supposed to be vent clipped.  Initially capture three brood years of wild stock to start program--see SSC MOU with WDG April 17, 1985.
FROM BOB HAYMAN Oct 6, 2010:
I found some documents on the SSC native steelhead program (attached).  It actually started in 1985 (Gibson was in charge), and had several fish kills and other disappointments.  The fish were indeed raised in net pens in Lake Shannon (and at Red Creek Hatchery) and were vent clipped.  I have other documents on this program, but these two summarize it pretty well.  Might help explain some of the Baker numbers.
FROM BOB HAYMAN Oct 13, 2010:
I'm not sure when the program ended, but I found some meeting notes and a letter from Doreen to Cary Feldman dated December, 1998, that said that due to budget constraints, we can't continue the steelhead net pen program on Lake Shannon.  The State was going to transfer 30,000 juveniles from Marblemount to the Lake Shannon net pens, but we told them to hold them, and release them at Marblemount.  I think that was the end of the steelhead program at Baker in 1998.</t>
        </r>
      </text>
    </comment>
    <comment ref="AG21" authorId="0" shapeId="0" xr:uid="{00000000-0006-0000-0000-00004F000000}">
      <text>
        <r>
          <rPr>
            <b/>
            <sz val="8"/>
            <color indexed="81"/>
            <rFont val="Tahoma"/>
            <family val="2"/>
          </rPr>
          <t>Rebecca Bernard:</t>
        </r>
        <r>
          <rPr>
            <sz val="8"/>
            <color indexed="81"/>
            <rFont val="Tahoma"/>
            <family val="2"/>
          </rPr>
          <t xml:space="preserve">
26 wild scale samples.
trap return not broken out to location of distribution.
confirmed with Bob Hayman Oct 4 2010--these returns to the Baker trap were 1985 implimented program that used wild broodstock to try to create an earlier than wild stock timed winter hatchery program ("that spawns prior to March 15 rather than May")--but dropped prior to 1998--supposed to be vent clipped.  Initially capture three brood years of wild stock to start program--see SSC MOU with WDG April 17, 1985.
FROM BOB HAYMAN Oct 6, 2010:
I found some documents on the SSC native steelhead program (attached).  It actually started in 1985 (Gibson was in charge), and had several fish kills and other disappointments.  The fish were indeed raised in net pens in Lake Shannon (and at Red Creek Hatchery) and were vent clipped.  I have other documents on this program, but these two summarize it pretty well.  Might help explain some of the Baker numbers.
FROM BOB HAYMAN Oct 13, 2010:
I'm not sure when the program ended, but I found some meeting notes and a letter from Doreen to Cary Feldman dated December, 1998, that said that due to budget constraints, we can't continue the steelhead net pen program on Lake Shannon.  The State was going to transfer 30,000 juveniles from Marblemount to the Lake Shannon net pens, but we told them to hold them, and release them at Marblemount.  I think that was the end of the steelhead program at Baker in 1998.</t>
        </r>
      </text>
    </comment>
    <comment ref="AE22" authorId="0" shapeId="0" xr:uid="{00000000-0006-0000-0000-000050000000}">
      <text>
        <r>
          <rPr>
            <b/>
            <sz val="8"/>
            <color indexed="81"/>
            <rFont val="Tahoma"/>
            <family val="2"/>
          </rPr>
          <t xml:space="preserve"> Rebecca Bernard:</t>
        </r>
        <r>
          <rPr>
            <sz val="8"/>
            <color indexed="81"/>
            <rFont val="Tahoma"/>
            <family val="2"/>
          </rPr>
          <t xml:space="preserve">
trap return not broken out to location of distribution.</t>
        </r>
      </text>
    </comment>
    <comment ref="AF22" authorId="0" shapeId="0" xr:uid="{00000000-0006-0000-0000-000051000000}">
      <text>
        <r>
          <rPr>
            <b/>
            <sz val="8"/>
            <color indexed="81"/>
            <rFont val="Tahoma"/>
            <family val="2"/>
          </rPr>
          <t>Rebecca Bernard:</t>
        </r>
        <r>
          <rPr>
            <sz val="8"/>
            <color indexed="81"/>
            <rFont val="Tahoma"/>
            <family val="2"/>
          </rPr>
          <t xml:space="preserve">
212 winter hatchery timed scale samples.
trap return not broken out to location of distribution.
confirmed with Bob Hayman Oct 4 2010--these returns to the Baker trap were 1985 implimented program that used wild broodstock to try to create an earlier than wild stock timed winter hatchery program ("that spawns prior to March 15 rather than May")--but dropped prior to 1998--supposed to be vent clipped.  Initially capture three brood years of wild stock to start program--see SSC MOU with WDG April 17, 1985.
FROM BOB HAYMAN Oct 6, 2010:
I found some documents on the SSC native steelhead program (attached).  It actually started in 1985 (Gibson was in charge), and had several fish kills and other disappointments.  The fish were indeed raised in net pens in Lake Shannon (and at Red Creek Hatchery) and were vent clipped.  I have other documents on this program, but these two summarize it pretty well.  Might help explain some of the Baker numbers.
FROM BOB HAYMAN Oct 13, 2010:
I'm not sure when the program ended, but I found some meeting notes and a letter from Doreen to Cary Feldman dated December, 1998, that said that due to budget constraints, we can't continue the steelhead net pen program on Lake Shannon.  The State was going to transfer 30,000 juveniles from Marblemount to the Lake Shannon net pens, but we told them to hold them, and release them at Marblemount.  I think that was the end of the steelhead program at Baker in 1998.</t>
        </r>
      </text>
    </comment>
    <comment ref="AG22" authorId="0" shapeId="0" xr:uid="{00000000-0006-0000-0000-000052000000}">
      <text>
        <r>
          <rPr>
            <b/>
            <sz val="8"/>
            <color indexed="81"/>
            <rFont val="Tahoma"/>
            <family val="2"/>
          </rPr>
          <t>Rebecca Bernard:</t>
        </r>
        <r>
          <rPr>
            <sz val="8"/>
            <color indexed="81"/>
            <rFont val="Tahoma"/>
            <family val="2"/>
          </rPr>
          <t xml:space="preserve">
38 wild scale samples.
trap return not broken out to location of distribution.
confirmed with Bob Hayman Oct 4 2010--these returns to the Baker trap were 1985 implimented program that used wild broodstock to try to create an earlier than wild stock timed winter hatchery program ("that spawns prior to March 15 rather than May")--but dropped prior to 1998--supposed to be vent clipped.  Initially capture three brood years of wild stock to start program--see SSC MOU with WDG April 17, 1985.
FROM BOB HAYMAN Oct 6, 2010:
I found some documents on the SSC native steelhead program (attached).  It actually started in 1985 (Gibson was in charge), and had several fish kills and other disappointments.  The fish were indeed raised in net pens in Lake Shannon (and at Red Creek Hatchery) and were vent clipped.  I have other documents on this program, but these two summarize it pretty well.  Might help explain some of the Baker numbers.
FROM BOB HAYMAN Oct 13, 2010:
I'm not sure when the program ended, but I found some meeting notes and a letter from Doreen to Cary Feldman dated December, 1998, that said that due to budget constraints, we can't continue the steelhead net pen program on Lake Shannon.  The State was going to transfer 30,000 juveniles from Marblemount to the Lake Shannon net pens, but we told them to hold them, and release them at Marblemount.  I think that was the end of the steelhead program at Baker in 1998.</t>
        </r>
      </text>
    </comment>
    <comment ref="AC23" authorId="5" shapeId="0" xr:uid="{00000000-0006-0000-0000-000053000000}">
      <text>
        <r>
          <rPr>
            <b/>
            <sz val="8"/>
            <color indexed="81"/>
            <rFont val="Tahoma"/>
            <family val="2"/>
          </rPr>
          <t xml:space="preserve"> Rebecca Bernard:</t>
        </r>
        <r>
          <rPr>
            <sz val="8"/>
            <color indexed="81"/>
            <rFont val="Tahoma"/>
            <family val="2"/>
          </rPr>
          <t xml:space="preserve">
this was from some publication somewhere--unfortunately, the annual rack report's "time period" changed where reporting is associated with the year steelhead spawn rather than enter and steelhead is not included in the hatchery return report  on WDFW website </t>
        </r>
      </text>
    </comment>
    <comment ref="AE23" authorId="0" shapeId="0" xr:uid="{00000000-0006-0000-0000-000054000000}">
      <text>
        <r>
          <rPr>
            <b/>
            <sz val="8"/>
            <color indexed="81"/>
            <rFont val="Tahoma"/>
            <family val="2"/>
          </rPr>
          <t xml:space="preserve"> Rebecca Bernard:</t>
        </r>
        <r>
          <rPr>
            <sz val="8"/>
            <color indexed="81"/>
            <rFont val="Tahoma"/>
            <family val="2"/>
          </rPr>
          <t xml:space="preserve">
1 summer hatchery timed scale samples.
trap return not broken out to location of distribution.</t>
        </r>
      </text>
    </comment>
    <comment ref="AF23" authorId="0" shapeId="0" xr:uid="{00000000-0006-0000-0000-000055000000}">
      <text>
        <r>
          <rPr>
            <b/>
            <sz val="8"/>
            <color indexed="81"/>
            <rFont val="Tahoma"/>
            <family val="2"/>
          </rPr>
          <t>Rebecca Bernard:</t>
        </r>
        <r>
          <rPr>
            <sz val="8"/>
            <color indexed="81"/>
            <rFont val="Tahoma"/>
            <family val="2"/>
          </rPr>
          <t xml:space="preserve">
81 winter hatchery timed scale samples.
trap return not broken out to location of distribution.
confirmed with Bob Hayman Oct 4 2010--these returns to the Baker trap were 1985 implimented program that used wild broodstock to try to create an earlier than wild stock timed winter hatchery program ("that spawns prior to March 15 rather than May")--but dropped prior to 1998--supposed to be vent clipped.  Initially capture three brood years of wild stock to start program--see SSC MOU with WDG April 17, 1985.
FROM BOB HAYMAN Oct 6, 2010:
I found some documents on the SSC native steelhead program (attached).  It actually started in 1985 (Gibson was in charge), and had several fish kills and other disappointments.  The fish were indeed raised in net pens in Lake Shannon (and at Red Creek Hatchery) and were vent clipped.  I have other documents on this program, but these two summarize it pretty well.  Might help explain some of the Baker numbers.
FROM BOB HAYMAN Oct 13, 2010:
I'm not sure when the program ended, but I found some meeting notes and a letter from Doreen to Cary Feldman dated December, 1998, that said that due to budget constraints, we can't continue the steelhead net pen program on Lake Shannon.  The State was going to transfer 30,000 juveniles from Marblemount to the Lake Shannon net pens, but we told them to hold them, and release them at Marblemount.  I think that was the end of the steelhead program at Baker in 1998.</t>
        </r>
      </text>
    </comment>
    <comment ref="AG23" authorId="0" shapeId="0" xr:uid="{00000000-0006-0000-0000-000056000000}">
      <text>
        <r>
          <rPr>
            <b/>
            <sz val="8"/>
            <color indexed="81"/>
            <rFont val="Tahoma"/>
            <family val="2"/>
          </rPr>
          <t>Rebecca Bernard:</t>
        </r>
        <r>
          <rPr>
            <sz val="8"/>
            <color indexed="81"/>
            <rFont val="Tahoma"/>
            <family val="2"/>
          </rPr>
          <t xml:space="preserve">
5 swild scale samples.
trap return not broken out to location of distribution.
confirmed with Bob Hayman Oct 4 2010--these returns to the Baker trap were 1985 implimented program that used wild broodstock to try to create an earlier than wild stock timed winter hatchery program ("that spawns prior to March 15 rather than May")--but dropped prior to 1998--supposed to be vent clipped.  Initially capture three brood years of wild stock to start program--see SSC MOU with WDG April 17, 1985.
FROM BOB HAYMAN Oct 6, 2010:
I found some documents on the SSC native steelhead program (attached).  It actually started in 1985 (Gibson was in charge), and had several fish kills and other disappointments.  The fish were indeed raised in net pens in Lake Shannon (and at Red Creek Hatchery) and were vent clipped.  I have other documents on this program, but these two summarize it pretty well.  Might help explain some of the Baker numbers.
FROM BOB HAYMAN Oct 13, 2010:
I'm not sure when the program ended, but I found some meeting notes and a letter from Doreen to Cary Feldman dated December, 1998, that said that due to budget constraints, we can't continue the steelhead net pen program on Lake Shannon.  The State was going to transfer 30,000 juveniles from Marblemount to the Lake Shannon net pens, but we told them to hold them, and release them at Marblemount.  I think that was the end of the steelhead program at Baker in 1998.</t>
        </r>
      </text>
    </comment>
    <comment ref="AD24" authorId="0" shapeId="0" xr:uid="{00000000-0006-0000-0000-000057000000}">
      <text>
        <r>
          <rPr>
            <b/>
            <sz val="8"/>
            <color indexed="81"/>
            <rFont val="Tahoma"/>
            <family val="2"/>
          </rPr>
          <t xml:space="preserve"> Rebecca Bernard:</t>
        </r>
        <r>
          <rPr>
            <sz val="8"/>
            <color indexed="81"/>
            <rFont val="Tahoma"/>
            <family val="2"/>
          </rPr>
          <t xml:space="preserve">
River conditions precluded escapement estimate</t>
        </r>
      </text>
    </comment>
    <comment ref="AE24" authorId="0" shapeId="0" xr:uid="{00000000-0006-0000-0000-000058000000}">
      <text>
        <r>
          <rPr>
            <b/>
            <sz val="8"/>
            <color indexed="81"/>
            <rFont val="Tahoma"/>
            <family val="2"/>
          </rPr>
          <t xml:space="preserve"> Rebecca Bernard:</t>
        </r>
        <r>
          <rPr>
            <sz val="8"/>
            <color indexed="81"/>
            <rFont val="Tahoma"/>
            <family val="2"/>
          </rPr>
          <t xml:space="preserve">
trap return not broken out to location of distribution.</t>
        </r>
      </text>
    </comment>
    <comment ref="AF24" authorId="0" shapeId="0" xr:uid="{00000000-0006-0000-0000-000059000000}">
      <text>
        <r>
          <rPr>
            <b/>
            <sz val="8"/>
            <color indexed="81"/>
            <rFont val="Tahoma"/>
            <family val="2"/>
          </rPr>
          <t>Rebecca Bernard:</t>
        </r>
        <r>
          <rPr>
            <sz val="8"/>
            <color indexed="81"/>
            <rFont val="Tahoma"/>
            <family val="2"/>
          </rPr>
          <t xml:space="preserve">
34 winter hatchery timed scale samples.
trap return not broken out to location of distribution.
confirmed with Bob Hayman Oct 4 2010--these returns to the Baker trap were 1985 implimented program that used wild broodstock to try to create an earlier than wild stock timed winter hatchery program ("that spawns prior to March 15 rather than May")--but dropped prior to 1998--supposed to be vent clipped.  Initially capture three brood years of wild stock to start program--see SSC MOU with WDG April 17, 1985.
FROM BOB HAYMAN Oct 6, 2010:
I found some documents on the SSC native steelhead program (attached).  It actually started in 1985 (Gibson was in charge), and had several fish kills and other disappointments.  The fish were indeed raised in net pens in Lake Shannon (and at Red Creek Hatchery) and were vent clipped.  I have other documents on this program, but these two summarize it pretty well.  Might help explain some of the Baker numbers.
FROM BOB HAYMAN Oct 13, 2010:
I'm not sure when the program ended, but I found some meeting notes and a letter from Doreen to Cary Feldman dated December, 1998, that said that due to budget constraints, we can't continue the steelhead net pen program on Lake Shannon.  The State was going to transfer 30,000 juveniles from Marblemount to the Lake Shannon net pens, but we told them to hold them, and release them at Marblemount.  I think that was the end of the steelhead program at Baker in 1998.</t>
        </r>
      </text>
    </comment>
    <comment ref="AG24" authorId="0" shapeId="0" xr:uid="{00000000-0006-0000-0000-00005A000000}">
      <text>
        <r>
          <rPr>
            <b/>
            <sz val="8"/>
            <color indexed="81"/>
            <rFont val="Tahoma"/>
            <family val="2"/>
          </rPr>
          <t>Rebecca Bernard:</t>
        </r>
        <r>
          <rPr>
            <sz val="8"/>
            <color indexed="81"/>
            <rFont val="Tahoma"/>
            <family val="2"/>
          </rPr>
          <t xml:space="preserve">
11 wild scale samples.
trap return not broken out to location of distribution.
confirmed with Bob Hayman Oct 4 2010--these returns to the Baker trap were 1985 implimented program that used wild broodstock to try to create an earlier than wild stock timed winter hatchery program ("that spawns prior to March 15 rather than May")--but dropped prior to 1998--supposed to be vent clipped.  Initially capture three brood years of wild stock to start program--see SSC MOU with WDG April 17, 1985.
FROM BOB HAYMAN Oct 6, 2010:
I found some documents on the SSC native steelhead program (attached).  It actually started in 1985 (Gibson was in charge), and had several fish kills and other disappointments.  The fish were indeed raised in net pens in Lake Shannon (and at Red Creek Hatchery) and were vent clipped.  I have other documents on this program, but these two summarize it pretty well.  Might help explain some of the Baker numbers.
FROM BOB HAYMAN Oct 13, 2010:
I'm not sure when the program ended, but I found some meeting notes and a letter from Doreen to Cary Feldman dated December, 1998, that said that due to budget constraints, we can't continue the steelhead net pen program on Lake Shannon.  The State was going to transfer 30,000 juveniles from Marblemount to the Lake Shannon net pens, but we told them to hold them, and release them at Marblemount.  I think that was the end of the steelhead program at Baker in 1998.</t>
        </r>
      </text>
    </comment>
    <comment ref="AD25" authorId="0" shapeId="0" xr:uid="{00000000-0006-0000-0000-00005B000000}">
      <text>
        <r>
          <rPr>
            <b/>
            <sz val="8"/>
            <color indexed="81"/>
            <rFont val="Tahoma"/>
            <family val="2"/>
          </rPr>
          <t xml:space="preserve"> Rebecca Bernard:</t>
        </r>
        <r>
          <rPr>
            <sz val="8"/>
            <color indexed="81"/>
            <rFont val="Tahoma"/>
            <family val="2"/>
          </rPr>
          <t xml:space="preserve">
River conditions precluded escapement estimate</t>
        </r>
      </text>
    </comment>
    <comment ref="AE25" authorId="0" shapeId="0" xr:uid="{00000000-0006-0000-0000-00005C000000}">
      <text>
        <r>
          <rPr>
            <b/>
            <sz val="8"/>
            <color indexed="81"/>
            <rFont val="Tahoma"/>
            <family val="2"/>
          </rPr>
          <t xml:space="preserve"> Rebecca Bernard:</t>
        </r>
        <r>
          <rPr>
            <sz val="8"/>
            <color indexed="81"/>
            <rFont val="Tahoma"/>
            <family val="2"/>
          </rPr>
          <t xml:space="preserve">
trap return not broken out to location of distribution.</t>
        </r>
      </text>
    </comment>
    <comment ref="AF25" authorId="0" shapeId="0" xr:uid="{00000000-0006-0000-0000-00005D000000}">
      <text>
        <r>
          <rPr>
            <b/>
            <sz val="8"/>
            <color indexed="81"/>
            <rFont val="Tahoma"/>
            <family val="2"/>
          </rPr>
          <t>Rebecca Bernard:</t>
        </r>
        <r>
          <rPr>
            <sz val="8"/>
            <color indexed="81"/>
            <rFont val="Tahoma"/>
            <family val="2"/>
          </rPr>
          <t xml:space="preserve">
117 winter hatchery timed scale samples.
trap return not broken out to location of distribution.
confirmed with Bob Hayman Oct 4 2010--these returns to the Baker trap were 1985 implimented program that used wild broodstock to try to create an earlier than wild stock timed winter hatchery program ("that spawns prior to March 15 rather than May")--but dropped prior to 1998--supposed to be vent clipped.  Initially capture three brood years of wild stock to start program--see SSC MOU with WDG April 17, 1985.
FROM BOB HAYMAN Oct 6, 2010:
I found some documents on the SSC native steelhead program (attached).  It actually started in 1985 (Gibson was in charge), and had several fish kills and other disappointments.  The fish were indeed raised in net pens in Lake Shannon (and at Red Creek Hatchery) and were vent clipped.  I have other documents on this program, but these two summarize it pretty well.  Might help explain some of the Baker numbers.
FROM BOB HAYMAN Oct 13, 2010:
I'm not sure when the program ended, but I found some meeting notes and a letter from Doreen to Cary Feldman dated December, 1998, that said that due to budget constraints, we can't continue the steelhead net pen program on Lake Shannon.  The State was going to transfer 30,000 juveniles from Marblemount to the Lake Shannon net pens, but we told them to hold them, and release them at Marblemount.  I think that was the end of the steelhead program at Baker in 1998.</t>
        </r>
      </text>
    </comment>
    <comment ref="AG25" authorId="0" shapeId="0" xr:uid="{00000000-0006-0000-0000-00005E000000}">
      <text>
        <r>
          <rPr>
            <b/>
            <sz val="8"/>
            <color indexed="81"/>
            <rFont val="Tahoma"/>
            <family val="2"/>
          </rPr>
          <t>Rebecca Bernard:</t>
        </r>
        <r>
          <rPr>
            <sz val="8"/>
            <color indexed="81"/>
            <rFont val="Tahoma"/>
            <family val="2"/>
          </rPr>
          <t xml:space="preserve">
35 wild scale samples.
trap return not broken out to location of distribution.
confirmed with Bob Hayman Oct 4 2010--these returns to the Baker trap were 1985 implimented program that used wild broodstock to try to create an earlier than wild stock timed winter hatchery program ("that spawns prior to March 15 rather than May")--but dropped prior to 1998--supposed to be vent clipped.  Initially capture three brood years of wild stock to start program--see SSC MOU with WDG April 17, 1985.
FROM BOB HAYMAN Oct 6, 2010:
I found some documents on the SSC native steelhead program (attached).  It actually started in 1985 (Gibson was in charge), and had several fish kills and other disappointments.  The fish were indeed raised in net pens in Lake Shannon (and at Red Creek Hatchery) and were vent clipped.  I have other documents on this program, but these two summarize it pretty well.  Might help explain some of the Baker numbers.
FROM BOB HAYMAN Oct 13, 2010:
I'm not sure when the program ended, but I found some meeting notes and a letter from Doreen to Cary Feldman dated December, 1998, that said that due to budget constraints, we can't continue the steelhead net pen program on Lake Shannon.  The State was going to transfer 30,000 juveniles from Marblemount to the Lake Shannon net pens, but we told them to hold them, and release them at Marblemount.  I think that was the end of the steelhead program at Baker in 1998.</t>
        </r>
      </text>
    </comment>
    <comment ref="AE26" authorId="0" shapeId="0" xr:uid="{00000000-0006-0000-0000-00005F000000}">
      <text>
        <r>
          <rPr>
            <b/>
            <sz val="8"/>
            <color indexed="81"/>
            <rFont val="Tahoma"/>
            <family val="2"/>
          </rPr>
          <t xml:space="preserve"> Rebecca Bernard:</t>
        </r>
        <r>
          <rPr>
            <sz val="8"/>
            <color indexed="81"/>
            <rFont val="Tahoma"/>
            <family val="2"/>
          </rPr>
          <t xml:space="preserve">
trap return not broken out to location of distribution.</t>
        </r>
      </text>
    </comment>
    <comment ref="AF26" authorId="0" shapeId="0" xr:uid="{00000000-0006-0000-0000-000060000000}">
      <text>
        <r>
          <rPr>
            <b/>
            <sz val="8"/>
            <color indexed="81"/>
            <rFont val="Tahoma"/>
            <family val="2"/>
          </rPr>
          <t>Rebecca Bernard:</t>
        </r>
        <r>
          <rPr>
            <sz val="8"/>
            <color indexed="81"/>
            <rFont val="Tahoma"/>
            <family val="2"/>
          </rPr>
          <t xml:space="preserve">
trap return not broken out to location of distribution.
confirmed with Bob Hayman Oct 4 2010--these returns to the Baker trap were 1985 implimented program that used wild broodstock to try to create an earlier than wild stock timed winter hatchery program ("that spawns prior to March 15 rather than May")--but dropped prior to 1998--supposed to be vent clipped.  Initially capture three brood years of wild stock to start program--see SSC MOU with WDG April 17, 1985.
FROM BOB HAYMAN Oct 6, 2010:
I found some documents on the SSC native steelhead program (attached).  It actually started in 1985 (Gibson was in charge), and had several fish kills and other disappointments.  The fish were indeed raised in net pens in Lake Shannon (and at Red Creek Hatchery) and were vent clipped.  I have other documents on this program, but these two summarize it pretty well.  Might help explain some of the Baker numbers.
FROM BOB HAYMAN Oct 13, 2010:
I'm not sure when the program ended, but I found some meeting notes and a letter from Doreen to Cary Feldman dated December, 1998, that said that due to budget constraints, we can't continue the steelhead net pen program on Lake Shannon.  The State was going to transfer 30,000 juveniles from Marblemount to the Lake Shannon net pens, but we told them to hold them, and release them at Marblemount.  I think that was the end of the steelhead program at Baker in 1998.</t>
        </r>
      </text>
    </comment>
    <comment ref="AG26" authorId="0" shapeId="0" xr:uid="{00000000-0006-0000-0000-000061000000}">
      <text>
        <r>
          <rPr>
            <b/>
            <sz val="8"/>
            <color indexed="81"/>
            <rFont val="Tahoma"/>
            <family val="2"/>
          </rPr>
          <t>Rebecca Bernard:</t>
        </r>
        <r>
          <rPr>
            <sz val="8"/>
            <color indexed="81"/>
            <rFont val="Tahoma"/>
            <family val="2"/>
          </rPr>
          <t xml:space="preserve">
trap return not broken out to location of distribution.
confirmed with Bob Hayman Oct 4 2010--these returns to the Baker trap were 1985 implimented program that used wild broodstock to try to create an earlier than wild stock timed winter hatchery program ("that spawns prior to March 15 rather than May")--but dropped prior to 1998--supposed to be vent clipped.  Initially capture three brood years of wild stock to start program--see SSC MOU with WDG April 17, 1985.
FROM BOB HAYMAN Oct 6, 2010:
I found some documents on the SSC native steelhead program (attached).  It actually started in 1985 (Gibson was in charge), and had several fish kills and other disappointments.  The fish were indeed raised in net pens in Lake Shannon (and at Red Creek Hatchery) and were vent clipped.  I have other documents on this program, but these two summarize it pretty well.  Might help explain some of the Baker numbers.
FROM BOB HAYMAN Oct 13, 2010:
I'm not sure when the program ended, but I found some meeting notes and a letter from Doreen to Cary Feldman dated December, 1998, that said that due to budget constraints, we can't continue the steelhead net pen program on Lake Shannon.  The State was going to transfer 30,000 juveniles from Marblemount to the Lake Shannon net pens, but we told them to hold them, and release them at Marblemount.  I think that was the end of the steelhead program at Baker in 1998.</t>
        </r>
      </text>
    </comment>
    <comment ref="AL26" authorId="0" shapeId="0" xr:uid="{00000000-0006-0000-0000-000062000000}">
      <text>
        <r>
          <rPr>
            <b/>
            <sz val="8"/>
            <color indexed="81"/>
            <rFont val="Tahoma"/>
            <family val="2"/>
          </rPr>
          <t xml:space="preserve"> Rebecca Bernard:</t>
        </r>
        <r>
          <rPr>
            <sz val="8"/>
            <color indexed="81"/>
            <rFont val="Tahoma"/>
            <family val="2"/>
          </rPr>
          <t xml:space="preserve">
released May 1998</t>
        </r>
      </text>
    </comment>
    <comment ref="AE27" authorId="0" shapeId="0" xr:uid="{00000000-0006-0000-0000-000063000000}">
      <text>
        <r>
          <rPr>
            <b/>
            <sz val="8"/>
            <color indexed="81"/>
            <rFont val="Tahoma"/>
            <family val="2"/>
          </rPr>
          <t xml:space="preserve"> Rebecca Bernard:</t>
        </r>
        <r>
          <rPr>
            <sz val="8"/>
            <color indexed="81"/>
            <rFont val="Tahoma"/>
            <family val="2"/>
          </rPr>
          <t xml:space="preserve">
to tribes or hatchery</t>
        </r>
      </text>
    </comment>
    <comment ref="AF27" authorId="0" shapeId="0" xr:uid="{00000000-0006-0000-0000-000064000000}">
      <text>
        <r>
          <rPr>
            <b/>
            <sz val="8"/>
            <color indexed="81"/>
            <rFont val="Tahoma"/>
            <family val="2"/>
          </rPr>
          <t xml:space="preserve"> Rebecca Bernard:</t>
        </r>
        <r>
          <rPr>
            <sz val="8"/>
            <color indexed="81"/>
            <rFont val="Tahoma"/>
            <family val="2"/>
          </rPr>
          <t xml:space="preserve">
to tribes or hatchery</t>
        </r>
      </text>
    </comment>
    <comment ref="AG27" authorId="0" shapeId="0" xr:uid="{00000000-0006-0000-0000-000065000000}">
      <text>
        <r>
          <rPr>
            <b/>
            <sz val="8"/>
            <color indexed="81"/>
            <rFont val="Tahoma"/>
            <family val="2"/>
          </rPr>
          <t xml:space="preserve"> Rebecca Bernard:</t>
        </r>
        <r>
          <rPr>
            <sz val="8"/>
            <color indexed="81"/>
            <rFont val="Tahoma"/>
            <family val="2"/>
          </rPr>
          <t xml:space="preserve">
</t>
        </r>
        <r>
          <rPr>
            <b/>
            <sz val="8"/>
            <color indexed="81"/>
            <rFont val="Tahoma"/>
            <family val="2"/>
          </rPr>
          <t xml:space="preserve">UNMARKED NOV-MAY </t>
        </r>
        <r>
          <rPr>
            <sz val="8"/>
            <color indexed="81"/>
            <rFont val="Tahoma"/>
            <family val="2"/>
          </rPr>
          <t>to Lake:  8 in June, 7 in Jul, 8 in Aug, 4 in Spt, 2 in Oct, 5 in Mar, 22 in Apr, 18 in May--assume these fish were unmarked and still went to lake even though not within the correct time period--included the June returns to this return season for ease--yea sloppy, but few fish.  Then 5 in March, 22 in April, and 18 in May
UNMARKED TO LAKE PER PROTOCOL</t>
        </r>
      </text>
    </comment>
    <comment ref="A28" authorId="2" shapeId="0" xr:uid="{00000000-0006-0000-0000-000066000000}">
      <text>
        <r>
          <rPr>
            <b/>
            <sz val="8"/>
            <color indexed="81"/>
            <rFont val="Tahoma"/>
            <family val="2"/>
          </rPr>
          <t>Rebecca Bernard:</t>
        </r>
        <r>
          <rPr>
            <sz val="8"/>
            <color indexed="81"/>
            <rFont val="Tahoma"/>
            <family val="2"/>
          </rPr>
          <t xml:space="preserve">
Starting in 2000, the winter run is split between two CRC seasons and will need to capture April data from the following year's report (a + sign indicates that the 12th month, April, is missing) (Bill Gill).
Sport catch is adjusted for Skagit Winter steelhead Management period (Nov 1 through May 31).  In most cases, the April and May catch reported has to be adjusted, added to the previous year's catch and removed from the reported year.  This means that we have to wait until the coming year to get the April and May catch for the current reported year.  (Rebecca Bernard)
Co-managers agree that July 1 2000 begins the combination of summer and winter run timed wild steelhead into ONE stock--Management Season is July 1 through June 30 of the following year.  October 31, 2000 signals the end of the returning summer run hatchery releases into the Skagit. (Rebecca Bernard 11/5/2009) </t>
        </r>
      </text>
    </comment>
    <comment ref="AC28" authorId="5" shapeId="0" xr:uid="{00000000-0006-0000-0000-000067000000}">
      <text>
        <r>
          <rPr>
            <b/>
            <sz val="8"/>
            <color indexed="81"/>
            <rFont val="Tahoma"/>
            <family val="2"/>
          </rPr>
          <t>Rebecca Bernard:</t>
        </r>
        <r>
          <rPr>
            <sz val="8"/>
            <color indexed="81"/>
            <rFont val="Tahoma"/>
            <family val="2"/>
          </rPr>
          <t xml:space="preserve">
need to add the Barnaby fish--27</t>
        </r>
      </text>
    </comment>
    <comment ref="AE28" authorId="0" shapeId="0" xr:uid="{00000000-0006-0000-0000-000068000000}">
      <text>
        <r>
          <rPr>
            <b/>
            <sz val="8"/>
            <color indexed="81"/>
            <rFont val="Tahoma"/>
            <family val="2"/>
          </rPr>
          <t xml:space="preserve"> Rebecca Bernard:</t>
        </r>
        <r>
          <rPr>
            <sz val="8"/>
            <color indexed="81"/>
            <rFont val="Tahoma"/>
            <family val="2"/>
          </rPr>
          <t xml:space="preserve">
to tribes or hatchery</t>
        </r>
      </text>
    </comment>
    <comment ref="AF28" authorId="0" shapeId="0" xr:uid="{00000000-0006-0000-0000-000069000000}">
      <text>
        <r>
          <rPr>
            <b/>
            <sz val="8"/>
            <color indexed="81"/>
            <rFont val="Tahoma"/>
            <family val="2"/>
          </rPr>
          <t xml:space="preserve"> Rebecca Bernard:</t>
        </r>
        <r>
          <rPr>
            <sz val="8"/>
            <color indexed="81"/>
            <rFont val="Tahoma"/>
            <family val="2"/>
          </rPr>
          <t xml:space="preserve">
57 to tribes or hatchery and 1 ad-clipped mort</t>
        </r>
      </text>
    </comment>
    <comment ref="AG28" authorId="0" shapeId="0" xr:uid="{00000000-0006-0000-0000-00006A000000}">
      <text>
        <r>
          <rPr>
            <b/>
            <sz val="8"/>
            <color indexed="81"/>
            <rFont val="Tahoma"/>
            <family val="2"/>
          </rPr>
          <t xml:space="preserve"> Rebecca Bernard:</t>
        </r>
        <r>
          <rPr>
            <sz val="8"/>
            <color indexed="81"/>
            <rFont val="Tahoma"/>
            <family val="2"/>
          </rPr>
          <t xml:space="preserve">
</t>
        </r>
        <r>
          <rPr>
            <b/>
            <sz val="8"/>
            <color indexed="81"/>
            <rFont val="Tahoma"/>
            <family val="2"/>
          </rPr>
          <t xml:space="preserve">UNMARKED NOV-MAY </t>
        </r>
        <r>
          <rPr>
            <sz val="8"/>
            <color indexed="81"/>
            <rFont val="Tahoma"/>
            <family val="2"/>
          </rPr>
          <t>to Lake:  3 in June, 3 in Nov 5 in Dec, 2 in Jan, 5 in Mar, and 12 in Apr.</t>
        </r>
      </text>
    </comment>
    <comment ref="AO28" authorId="2" shapeId="0" xr:uid="{00000000-0006-0000-0000-00006B000000}">
      <text>
        <r>
          <rPr>
            <b/>
            <sz val="8"/>
            <color indexed="81"/>
            <rFont val="Tahoma"/>
            <family val="2"/>
          </rPr>
          <t>Rebecca Bernard:</t>
        </r>
        <r>
          <rPr>
            <sz val="8"/>
            <color indexed="81"/>
            <rFont val="Tahoma"/>
            <family val="2"/>
          </rPr>
          <t xml:space="preserve">
Starting in 2000, the winter run is split between two CRC seasons and will need to capture April data from the following year's report (a + sign indicates that the 12th month, April, is missing) (Bill Gill).
Sport catch is adjusted for Skagit Winter steelhead Management period (Nov 1 through May 31).  In most cases, the April and May catch reported has to be adjusted, added to the previous year's catch and removed from the reported year.  This means that we have to wait until the coming year to get the April and May catch for the current reported year.  (Rebecca Bernard)
Co-managers agree that July 1 2000 begins the combination of summer and winter run timed wild steelhead into ONE stock--Management Season is July 1 through June 30 of the following year.  October 31, 2000 signals the end of the returning summer run hatchery releases into the Skagit. (Rebecca Bernard 11/5/2009) </t>
        </r>
      </text>
    </comment>
    <comment ref="A29" authorId="2" shapeId="0" xr:uid="{00000000-0006-0000-0000-00006C000000}">
      <text>
        <r>
          <rPr>
            <b/>
            <sz val="8"/>
            <color indexed="81"/>
            <rFont val="Tahoma"/>
            <family val="2"/>
          </rPr>
          <t>Rebecca Bernard:</t>
        </r>
        <r>
          <rPr>
            <sz val="8"/>
            <color indexed="81"/>
            <rFont val="Tahoma"/>
            <family val="2"/>
          </rPr>
          <t xml:space="preserve">
Starting in 2000, the winter run is split between two CRC seasons and will need to capture April data from the following year's report (a + sign indicates that the 12th month, April, is missing) (Bill Gill).
Sport catch is adjusted for Skagit Winter steelhead Management period (Nov 1 through May 31).  In most cases, the April and May catch reported has to be adjusted, added to the previous year's catch and removed from the reported year.  This means that we have to wait until the coming year to get the April and May catch for the current reported year.  (Rebecca Bernard)
Co-managers agree that July 1 2000 begins the combination of summer and winter run timed wild steelhead into ONE stock--Management Season is July 1 through June 30 of the following year.  October 31, 2000 signals the end of the returning summer run hatchery releases into the Skagit. (Rebecca Bernard 11/5/2009) </t>
        </r>
      </text>
    </comment>
    <comment ref="AE29" authorId="0" shapeId="0" xr:uid="{00000000-0006-0000-0000-00006D000000}">
      <text>
        <r>
          <rPr>
            <b/>
            <sz val="8"/>
            <color indexed="81"/>
            <rFont val="Tahoma"/>
            <family val="2"/>
          </rPr>
          <t xml:space="preserve"> Rebecca Bernard:</t>
        </r>
        <r>
          <rPr>
            <sz val="8"/>
            <color indexed="81"/>
            <rFont val="Tahoma"/>
            <family val="2"/>
          </rPr>
          <t xml:space="preserve">
to hatchery,1 adclipped in July, 1 ad-clipped in Aug, 1 in Sept, and and 8 ad-clipped morts from an equipment malfunction in October</t>
        </r>
      </text>
    </comment>
    <comment ref="AF29" authorId="0" shapeId="0" xr:uid="{00000000-0006-0000-0000-00006E000000}">
      <text>
        <r>
          <rPr>
            <b/>
            <sz val="8"/>
            <color indexed="81"/>
            <rFont val="Tahoma"/>
            <family val="2"/>
          </rPr>
          <t xml:space="preserve"> Rebecca Bernard:</t>
        </r>
        <r>
          <rPr>
            <sz val="8"/>
            <color indexed="81"/>
            <rFont val="Tahoma"/>
            <family val="2"/>
          </rPr>
          <t xml:space="preserve">
73 ad-clipped to hatchery in Dec and Jan, and 2 morts assume adclipped due to timing</t>
        </r>
      </text>
    </comment>
    <comment ref="AG29" authorId="0" shapeId="0" xr:uid="{00000000-0006-0000-0000-00006F000000}">
      <text>
        <r>
          <rPr>
            <b/>
            <sz val="8"/>
            <color indexed="81"/>
            <rFont val="Tahoma"/>
            <family val="2"/>
          </rPr>
          <t xml:space="preserve"> Rebecca Bernard:</t>
        </r>
        <r>
          <rPr>
            <sz val="8"/>
            <color indexed="81"/>
            <rFont val="Tahoma"/>
            <family val="2"/>
          </rPr>
          <t xml:space="preserve">
</t>
        </r>
        <r>
          <rPr>
            <b/>
            <sz val="8"/>
            <color indexed="81"/>
            <rFont val="Tahoma"/>
            <family val="2"/>
          </rPr>
          <t xml:space="preserve">UNMARKED NOV-MAY </t>
        </r>
        <r>
          <rPr>
            <sz val="8"/>
            <color indexed="81"/>
            <rFont val="Tahoma"/>
            <family val="2"/>
          </rPr>
          <t>to Lake:  June (2) and1  Dec and1 Jan return--also 3 um morts in October</t>
        </r>
      </text>
    </comment>
    <comment ref="AI29" authorId="0" shapeId="0" xr:uid="{00000000-0006-0000-0000-000070000000}">
      <text>
        <r>
          <rPr>
            <b/>
            <sz val="8"/>
            <color indexed="81"/>
            <rFont val="Tahoma"/>
            <family val="2"/>
          </rPr>
          <t xml:space="preserve"> Rebecca Bernard:</t>
        </r>
        <r>
          <rPr>
            <sz val="8"/>
            <color indexed="81"/>
            <rFont val="Tahoma"/>
            <family val="2"/>
          </rPr>
          <t xml:space="preserve">
</t>
        </r>
        <r>
          <rPr>
            <sz val="8"/>
            <color indexed="81"/>
            <rFont val="Tahoma"/>
            <family val="2"/>
          </rPr>
          <t>Those summer timed hatchery catches are likely summer run hatchery strays from out of basin hatchery (Brett Barkdull 11/5/2009)</t>
        </r>
      </text>
    </comment>
    <comment ref="AO29" authorId="2" shapeId="0" xr:uid="{00000000-0006-0000-0000-000071000000}">
      <text>
        <r>
          <rPr>
            <b/>
            <sz val="8"/>
            <color indexed="81"/>
            <rFont val="Tahoma"/>
            <family val="2"/>
          </rPr>
          <t>Rebecca Bernard:</t>
        </r>
        <r>
          <rPr>
            <sz val="8"/>
            <color indexed="81"/>
            <rFont val="Tahoma"/>
            <family val="2"/>
          </rPr>
          <t xml:space="preserve">
Starting in 2000, the winter run is split between two CRC seasons and will need to capture April data from the following year's report (a + sign indicates that the 12th month, April, is missing) (Bill Gill).
Sport catch is adjusted for Skagit Winter steelhead Management period (Nov 1 through May 31).  In most cases, the April and May catch reported has to be adjusted, added to the previous year's catch and removed from the reported year.  This means that we have to wait until the coming year to get the April and May catch for the current reported year.  (Rebecca Bernard)
Co-managers agree that July 1 2000 begins the combination of summer and winter run timed wild steelhead into ONE stock--Management Season is July 1 through June 30 of the following year.  October 31, 2000 signals the end of the returning summer run hatchery releases into the Skagit. (Rebecca Bernard 11/5/2009) </t>
        </r>
      </text>
    </comment>
    <comment ref="A30" authorId="2" shapeId="0" xr:uid="{00000000-0006-0000-0000-000072000000}">
      <text>
        <r>
          <rPr>
            <b/>
            <sz val="8"/>
            <color indexed="81"/>
            <rFont val="Tahoma"/>
            <family val="2"/>
          </rPr>
          <t>Rebecca Bernard:</t>
        </r>
        <r>
          <rPr>
            <sz val="8"/>
            <color indexed="81"/>
            <rFont val="Tahoma"/>
            <family val="2"/>
          </rPr>
          <t xml:space="preserve">
Starting in 2000, the winter run is split between two CRC seasons and will need to capture April data from the following year's report (a + sign indicates that the 12th month, April, is missing) (Bill Gill).
Sport catch is adjusted for Skagit Winter steelhead Management period (Nov 1 through May 31).  In most cases, the April and May catch reported has to be adjusted, added to the previous year's catch and removed from the reported year.  This means that we have to wait until the coming year to get the April and May catch for the current reported year.  (Rebecca Bernard)
Co-managers agree that July 1 2000 begins the combination of summer and winter run timed wild steelhead into ONE stock--Management Season is July 1 through June 30 of the following year.  October 31, 2000 signals the end of the returning summer run hatchery releases into the Skagit. (Rebecca Bernard 11/5/2009) </t>
        </r>
      </text>
    </comment>
    <comment ref="AE30" authorId="0" shapeId="0" xr:uid="{00000000-0006-0000-0000-000073000000}">
      <text>
        <r>
          <rPr>
            <b/>
            <sz val="8"/>
            <color indexed="81"/>
            <rFont val="Tahoma"/>
            <family val="2"/>
          </rPr>
          <t xml:space="preserve"> Rebecca Bernard:</t>
        </r>
        <r>
          <rPr>
            <sz val="8"/>
            <color indexed="81"/>
            <rFont val="Tahoma"/>
            <family val="2"/>
          </rPr>
          <t xml:space="preserve">
to tribes or hatchery</t>
        </r>
      </text>
    </comment>
    <comment ref="AF30" authorId="0" shapeId="0" xr:uid="{00000000-0006-0000-0000-000074000000}">
      <text>
        <r>
          <rPr>
            <b/>
            <sz val="8"/>
            <color indexed="81"/>
            <rFont val="Tahoma"/>
            <family val="2"/>
          </rPr>
          <t xml:space="preserve"> Rebecca Bernard:</t>
        </r>
        <r>
          <rPr>
            <sz val="8"/>
            <color indexed="81"/>
            <rFont val="Tahoma"/>
            <family val="2"/>
          </rPr>
          <t xml:space="preserve">
282 and 1 ad clipped mort</t>
        </r>
      </text>
    </comment>
    <comment ref="AG30" authorId="0" shapeId="0" xr:uid="{00000000-0006-0000-0000-000075000000}">
      <text>
        <r>
          <rPr>
            <b/>
            <sz val="8"/>
            <color indexed="81"/>
            <rFont val="Tahoma"/>
            <family val="2"/>
          </rPr>
          <t xml:space="preserve"> Rebecca Bernard:</t>
        </r>
        <r>
          <rPr>
            <sz val="8"/>
            <color indexed="81"/>
            <rFont val="Tahoma"/>
            <family val="2"/>
          </rPr>
          <t xml:space="preserve">
</t>
        </r>
        <r>
          <rPr>
            <b/>
            <sz val="8"/>
            <color indexed="81"/>
            <rFont val="Tahoma"/>
            <family val="2"/>
          </rPr>
          <t xml:space="preserve">UNMARKED NOV-MAY </t>
        </r>
        <r>
          <rPr>
            <sz val="8"/>
            <color indexed="81"/>
            <rFont val="Tahoma"/>
            <family val="2"/>
          </rPr>
          <t>to Lake:  February return--so 37total unmarked fish</t>
        </r>
      </text>
    </comment>
    <comment ref="AO30" authorId="2" shapeId="0" xr:uid="{00000000-0006-0000-0000-000076000000}">
      <text>
        <r>
          <rPr>
            <b/>
            <sz val="8"/>
            <color indexed="81"/>
            <rFont val="Tahoma"/>
            <family val="2"/>
          </rPr>
          <t>Rebecca Bernard:</t>
        </r>
        <r>
          <rPr>
            <sz val="8"/>
            <color indexed="81"/>
            <rFont val="Tahoma"/>
            <family val="2"/>
          </rPr>
          <t xml:space="preserve">
Starting in 2000, the winter run is split between two CRC seasons and will need to capture April data from the following year's report (a + sign indicates that the 12th month, April, is missing) (Bill Gill).
Sport catch is adjusted for Skagit Winter steelhead Management period (Nov 1 through May 31).  In most cases, the April and May catch reported has to be adjusted, added to the previous year's catch and removed from the reported year.  This means that we have to wait until the coming year to get the April and May catch for the current reported year.  (Rebecca Bernard)
Co-managers agree that July 1 2000 begins the combination of summer and winter run timed wild steelhead into ONE stock--Management Season is July 1 through June 30 of the following year.  October 31, 2000 signals the end of the returning summer run hatchery releases into the Skagit. (Rebecca Bernard 11/5/2009) </t>
        </r>
      </text>
    </comment>
    <comment ref="A31" authorId="2" shapeId="0" xr:uid="{00000000-0006-0000-0000-000077000000}">
      <text>
        <r>
          <rPr>
            <b/>
            <sz val="8"/>
            <color indexed="81"/>
            <rFont val="Tahoma"/>
            <family val="2"/>
          </rPr>
          <t>Rebecca Bernard:</t>
        </r>
        <r>
          <rPr>
            <sz val="8"/>
            <color indexed="81"/>
            <rFont val="Tahoma"/>
            <family val="2"/>
          </rPr>
          <t xml:space="preserve">
Starting in 2000, the winter run is split between two CRC seasons and will need to capture April data from the following year's report (a + sign indicates that the 12th month, April, is missing) (Bill Gill).
Sport catch is adjusted for Skagit Winter steelhead Management period (Nov 1 through May 31).  In most cases, the April and May catch reported has to be adjusted, added to the previous year's catch and removed from the reported year.  This means that we have to wait until the coming year to get the April and May catch for the current reported year.  (Rebecca Bernard)
Co-managers agree that July 1 2000 begins the combination of summer and winter run timed wild steelhead into ONE stock--Management Season is July 1 through June 30 of the following year.  October 31, 2000 signals the end of the returning summer run hatchery releases into the Skagit. (Rebecca Bernard 11/5/2009) </t>
        </r>
      </text>
    </comment>
    <comment ref="AE31" authorId="0" shapeId="0" xr:uid="{00000000-0006-0000-0000-000078000000}">
      <text>
        <r>
          <rPr>
            <b/>
            <sz val="8"/>
            <color indexed="81"/>
            <rFont val="Tahoma"/>
            <family val="2"/>
          </rPr>
          <t>Rebecca Bernard:</t>
        </r>
        <r>
          <rPr>
            <sz val="8"/>
            <color indexed="81"/>
            <rFont val="Tahoma"/>
            <family val="2"/>
          </rPr>
          <t xml:space="preserve">
June, July, Aug adclipped to lake per protocol</t>
        </r>
      </text>
    </comment>
    <comment ref="AG31" authorId="0" shapeId="0" xr:uid="{00000000-0006-0000-0000-000079000000}">
      <text>
        <r>
          <rPr>
            <b/>
            <sz val="8"/>
            <color indexed="81"/>
            <rFont val="Tahoma"/>
            <family val="2"/>
          </rPr>
          <t xml:space="preserve">Rebecca Bernard: 
</t>
        </r>
        <r>
          <rPr>
            <sz val="8"/>
            <color indexed="81"/>
            <rFont val="Tahoma"/>
            <family val="2"/>
          </rPr>
          <t>all unmarked back to River per protocol</t>
        </r>
      </text>
    </comment>
    <comment ref="AO31" authorId="2" shapeId="0" xr:uid="{00000000-0006-0000-0000-00007A000000}">
      <text>
        <r>
          <rPr>
            <b/>
            <sz val="8"/>
            <color indexed="81"/>
            <rFont val="Tahoma"/>
            <family val="2"/>
          </rPr>
          <t>Rebecca Bernard:</t>
        </r>
        <r>
          <rPr>
            <sz val="8"/>
            <color indexed="81"/>
            <rFont val="Tahoma"/>
            <family val="2"/>
          </rPr>
          <t xml:space="preserve">
Starting in 2000, the winter run is split between two CRC seasons and will need to capture April data from the following year's report (a + sign indicates that the 12th month, April, is missing) (Bill Gill).
Sport catch is adjusted for Skagit Winter steelhead Management period (Nov 1 through May 31).  In most cases, the April and May catch reported has to be adjusted, added to the previous year's catch and removed from the reported year.  This means that we have to wait until the coming year to get the April and May catch for the current reported year.  (Rebecca Bernard)
Co-managers agree that July 1 2000 begins the combination of summer and winter run timed wild steelhead into ONE stock--Management Season is July 1 through June 30 of the following year.  October 31, 2000 signals the end of the returning summer run hatchery releases into the Skagit. (Rebecca Bernard 11/5/2009) </t>
        </r>
      </text>
    </comment>
    <comment ref="A32" authorId="2" shapeId="0" xr:uid="{00000000-0006-0000-0000-00007B000000}">
      <text>
        <r>
          <rPr>
            <b/>
            <sz val="8"/>
            <color indexed="81"/>
            <rFont val="Tahoma"/>
            <family val="2"/>
          </rPr>
          <t>Rebecca Bernard:</t>
        </r>
        <r>
          <rPr>
            <sz val="8"/>
            <color indexed="81"/>
            <rFont val="Tahoma"/>
            <family val="2"/>
          </rPr>
          <t xml:space="preserve">
Starting in 2000, the winter run is split between two CRC seasons and will need to capture April data from the following year's report (a + sign indicates that the 12th month, April, is missing) (Bill Gill).
Sport catch is adjusted for Skagit Winter steelhead Management period (Nov 1 through May 31).  In most cases, the April and May catch reported has to be adjusted, added to the previous year's catch and removed from the reported year.  This means that we have to wait until the coming year to get the April and May catch for the current reported year.  (Rebecca Bernard)
Co-managers agree that July 1 2000 begins the combination of summer and winter run timed wild steelhead into ONE stock--Management Season is July 1 through June 30 of the following year.  October 31, 2000 signals the end of the returning summer run hatchery releases into the Skagit. (Rebecca Bernard 11/5/2009) </t>
        </r>
      </text>
    </comment>
    <comment ref="AC32" authorId="5" shapeId="0" xr:uid="{00000000-0006-0000-0000-00007C000000}">
      <text>
        <r>
          <rPr>
            <b/>
            <sz val="8"/>
            <color indexed="81"/>
            <rFont val="Tahoma"/>
            <family val="2"/>
          </rPr>
          <t>Rebecca Bernard:</t>
        </r>
        <r>
          <rPr>
            <sz val="8"/>
            <color indexed="81"/>
            <rFont val="Tahoma"/>
            <family val="2"/>
          </rPr>
          <t xml:space="preserve">
131 barnaby fsih and 261 Marblemount fish=392</t>
        </r>
      </text>
    </comment>
    <comment ref="AE32" authorId="0" shapeId="0" xr:uid="{00000000-0006-0000-0000-00007D000000}">
      <text>
        <r>
          <rPr>
            <b/>
            <sz val="8"/>
            <color indexed="81"/>
            <rFont val="Tahoma"/>
            <family val="2"/>
          </rPr>
          <t xml:space="preserve"> Rebecca Bernard:</t>
        </r>
        <r>
          <rPr>
            <sz val="8"/>
            <color indexed="81"/>
            <rFont val="Tahoma"/>
            <family val="2"/>
          </rPr>
          <t xml:space="preserve">
</t>
        </r>
        <r>
          <rPr>
            <b/>
            <sz val="8"/>
            <color indexed="81"/>
            <rFont val="Tahoma"/>
            <family val="2"/>
          </rPr>
          <t xml:space="preserve">June-Aug Ad-clipped to Lake: </t>
        </r>
        <r>
          <rPr>
            <sz val="8"/>
            <color indexed="81"/>
            <rFont val="Tahoma"/>
            <family val="2"/>
          </rPr>
          <t xml:space="preserve"> June to August, Feb return, and 2 adclipped July returns to Hatchery/Tribes</t>
        </r>
      </text>
    </comment>
    <comment ref="AG32" authorId="0" shapeId="0" xr:uid="{00000000-0006-0000-0000-00007E000000}">
      <text>
        <r>
          <rPr>
            <b/>
            <sz val="8"/>
            <color indexed="81"/>
            <rFont val="Tahoma"/>
            <family val="2"/>
          </rPr>
          <t xml:space="preserve">Rebecca Bernard: 
</t>
        </r>
        <r>
          <rPr>
            <sz val="8"/>
            <color indexed="81"/>
            <rFont val="Tahoma"/>
            <family val="2"/>
          </rPr>
          <t>all unmarked back to River per protocol</t>
        </r>
      </text>
    </comment>
    <comment ref="AO32" authorId="2" shapeId="0" xr:uid="{00000000-0006-0000-0000-00007F000000}">
      <text>
        <r>
          <rPr>
            <b/>
            <sz val="8"/>
            <color indexed="81"/>
            <rFont val="Tahoma"/>
            <family val="2"/>
          </rPr>
          <t>Rebecca Bernard:</t>
        </r>
        <r>
          <rPr>
            <sz val="8"/>
            <color indexed="81"/>
            <rFont val="Tahoma"/>
            <family val="2"/>
          </rPr>
          <t xml:space="preserve">
Starting in 2000, the winter run is split between two CRC seasons and will need to capture April data from the following year's report (a + sign indicates that the 12th month, April, is missing) (Bill Gill).
Sport catch is adjusted for Skagit Winter steelhead Management period (Nov 1 through May 31).  In most cases, the April and May catch reported has to be adjusted, added to the previous year's catch and removed from the reported year.  This means that we have to wait until the coming year to get the April and May catch for the current reported year.  (Rebecca Bernard)
Co-managers agree that July 1 2000 begins the combination of summer and winter run timed wild steelhead into ONE stock--Management Season is July 1 through June 30 of the following year.  October 31, 2000 signals the end of the returning summer run hatchery releases into the Skagit. (Rebecca Bernard 11/5/2009) </t>
        </r>
      </text>
    </comment>
    <comment ref="A33" authorId="2" shapeId="0" xr:uid="{00000000-0006-0000-0000-000080000000}">
      <text>
        <r>
          <rPr>
            <b/>
            <sz val="8"/>
            <color indexed="81"/>
            <rFont val="Tahoma"/>
            <family val="2"/>
          </rPr>
          <t>Rebecca Bernard:</t>
        </r>
        <r>
          <rPr>
            <sz val="8"/>
            <color indexed="81"/>
            <rFont val="Tahoma"/>
            <family val="2"/>
          </rPr>
          <t xml:space="preserve">
Starting in 2000, the winter run is split between two CRC seasons and will need to capture April data from the following year's report (a + sign indicates that the 12th month, April, is missing) (Bill Gill).
Sport catch is adjusted for Skagit Winter steelhead Management period (Nov 1 through May 31).  In most cases, the April and May catch reported has to be adjusted, added to the previous year's catch and removed from the reported year.  This means that we have to wait until the coming year to get the April and May catch for the current reported year.  (Rebecca Bernard)
Co-managers agree that July 1 2000 begins the combination of summer and winter run timed wild steelhead into ONE stock--Management Season is July 1 through June 30 of the following year.  October 31, 2000 signals the end of the returning summer run hatchery releases into the Skagit. (Rebecca Bernard 11/5/2009) </t>
        </r>
      </text>
    </comment>
    <comment ref="I33" authorId="0" shapeId="0" xr:uid="{00000000-0006-0000-0000-000081000000}">
      <text>
        <r>
          <rPr>
            <b/>
            <sz val="8"/>
            <color indexed="81"/>
            <rFont val="Tahoma"/>
            <family val="2"/>
          </rPr>
          <t xml:space="preserve"> Rebecca Bernard:</t>
        </r>
        <r>
          <rPr>
            <sz val="8"/>
            <color indexed="81"/>
            <rFont val="Tahoma"/>
            <family val="2"/>
          </rPr>
          <t xml:space="preserve">
Estimated release mortality during spring chinook MSF and non-salmon seasons.  Kelt adjustment started this year.</t>
        </r>
      </text>
    </comment>
    <comment ref="AD33" authorId="6" shapeId="0" xr:uid="{00000000-0006-0000-0000-000082000000}">
      <text>
        <r>
          <rPr>
            <b/>
            <sz val="8"/>
            <color indexed="81"/>
            <rFont val="Tahoma"/>
            <family val="2"/>
          </rPr>
          <t>rbernard:</t>
        </r>
        <r>
          <rPr>
            <sz val="8"/>
            <color indexed="81"/>
            <rFont val="Tahoma"/>
            <family val="2"/>
          </rPr>
          <t xml:space="preserve">
escapement spreadsheet error, corrected 6/25/2008--and again 12/16/2009 as error turned up again and Brett caught it.</t>
        </r>
      </text>
    </comment>
    <comment ref="AE33" authorId="0" shapeId="0" xr:uid="{00000000-0006-0000-0000-000083000000}">
      <text>
        <r>
          <rPr>
            <b/>
            <sz val="8"/>
            <color indexed="81"/>
            <rFont val="Tahoma"/>
            <family val="2"/>
          </rPr>
          <t xml:space="preserve"> Rebecca Bernard:</t>
        </r>
        <r>
          <rPr>
            <sz val="8"/>
            <color indexed="81"/>
            <rFont val="Tahoma"/>
            <family val="2"/>
          </rPr>
          <t xml:space="preserve">
</t>
        </r>
        <r>
          <rPr>
            <b/>
            <sz val="8"/>
            <color indexed="81"/>
            <rFont val="Tahoma"/>
            <family val="2"/>
          </rPr>
          <t xml:space="preserve">June-Aug Ad-clipped to Lake:  5 </t>
        </r>
        <r>
          <rPr>
            <sz val="8"/>
            <color indexed="81"/>
            <rFont val="Tahoma"/>
            <family val="2"/>
          </rPr>
          <t>June to August return and one July adclipped return to hatchery/tribes</t>
        </r>
      </text>
    </comment>
    <comment ref="AG33" authorId="0" shapeId="0" xr:uid="{00000000-0006-0000-0000-000084000000}">
      <text>
        <r>
          <rPr>
            <b/>
            <sz val="8"/>
            <color indexed="81"/>
            <rFont val="Tahoma"/>
            <family val="2"/>
          </rPr>
          <t xml:space="preserve">Rebecca Bernard: 
</t>
        </r>
        <r>
          <rPr>
            <sz val="8"/>
            <color indexed="81"/>
            <rFont val="Tahoma"/>
            <family val="2"/>
          </rPr>
          <t>all unmarked back to River per protocol</t>
        </r>
      </text>
    </comment>
    <comment ref="AO33" authorId="2" shapeId="0" xr:uid="{00000000-0006-0000-0000-000085000000}">
      <text>
        <r>
          <rPr>
            <b/>
            <sz val="8"/>
            <color indexed="81"/>
            <rFont val="Tahoma"/>
            <family val="2"/>
          </rPr>
          <t>Rebecca Bernard:</t>
        </r>
        <r>
          <rPr>
            <sz val="8"/>
            <color indexed="81"/>
            <rFont val="Tahoma"/>
            <family val="2"/>
          </rPr>
          <t xml:space="preserve">
Starting in 2000, the winter run is split between two CRC seasons and will need to capture April data from the following year's report (a + sign indicates that the 12th month, April, is missing) (Bill Gill).
Sport catch is adjusted for Skagit Winter steelhead Management period (Nov 1 through May 31).  In most cases, the April and May catch reported has to be adjusted, added to the previous year's catch and removed from the reported year.  This means that we have to wait until the coming year to get the April and May catch for the current reported year.  (Rebecca Bernard)
Co-managers agree that July 1 2000 begins the combination of summer and winter run timed wild steelhead into ONE stock--Management Season is July 1 through June 30 of the following year.  October 31, 2000 signals the end of the returning summer run hatchery releases into the Skagit. (Rebecca Bernard 11/5/2009) </t>
        </r>
      </text>
    </comment>
    <comment ref="A34" authorId="2" shapeId="0" xr:uid="{00000000-0006-0000-0000-000086000000}">
      <text>
        <r>
          <rPr>
            <b/>
            <sz val="8"/>
            <color indexed="81"/>
            <rFont val="Tahoma"/>
            <family val="2"/>
          </rPr>
          <t>Rebecca Bernard:</t>
        </r>
        <r>
          <rPr>
            <sz val="8"/>
            <color indexed="81"/>
            <rFont val="Tahoma"/>
            <family val="2"/>
          </rPr>
          <t xml:space="preserve">
Starting in 2000, the winter run is split between two CRC seasons and will need to capture April data from the following year's report (a + sign indicates that the 12th month, April, is missing) (Bill Gill).
Sport catch is adjusted for Skagit Winter steelhead Management period (Nov 1 through May 31).  In most cases, the April and May catch reported has to be adjusted, added to the previous year's catch and removed from the reported year.  This means that we have to wait until the coming year to get the April and May catch for the current reported year.  (Rebecca Bernard)
Co-managers agree that July 1 2000 begins the combination of summer and winter run timed wild steelhead into ONE stock--Management Season is July 1 through June 30 of the following year.  October 31, 2000 signals the end of the returning summer run hatchery releases into the Skagit. (Rebecca Bernard 11/5/2009) </t>
        </r>
      </text>
    </comment>
    <comment ref="I34" authorId="0" shapeId="0" xr:uid="{00000000-0006-0000-0000-000087000000}">
      <text>
        <r>
          <rPr>
            <b/>
            <sz val="8"/>
            <color indexed="81"/>
            <rFont val="Tahoma"/>
            <family val="2"/>
          </rPr>
          <t xml:space="preserve"> Rebecca Bernard:</t>
        </r>
        <r>
          <rPr>
            <sz val="8"/>
            <color indexed="81"/>
            <rFont val="Tahoma"/>
            <family val="2"/>
          </rPr>
          <t xml:space="preserve">
Estimated release mortality during spring chinook MSF and non-salmon seasons</t>
        </r>
      </text>
    </comment>
    <comment ref="AD34" authorId="6" shapeId="0" xr:uid="{00000000-0006-0000-0000-000088000000}">
      <text>
        <r>
          <rPr>
            <b/>
            <sz val="8"/>
            <color indexed="81"/>
            <rFont val="Tahoma"/>
            <family val="2"/>
          </rPr>
          <t>rbernard:</t>
        </r>
        <r>
          <rPr>
            <sz val="8"/>
            <color indexed="81"/>
            <rFont val="Tahoma"/>
            <family val="2"/>
          </rPr>
          <t xml:space="preserve">
escapement spreadsheet error, corrected 11/2/2007</t>
        </r>
      </text>
    </comment>
    <comment ref="AE34" authorId="0" shapeId="0" xr:uid="{00000000-0006-0000-0000-000089000000}">
      <text>
        <r>
          <rPr>
            <b/>
            <sz val="8"/>
            <color indexed="81"/>
            <rFont val="Tahoma"/>
            <family val="2"/>
          </rPr>
          <t xml:space="preserve"> Rebecca Bernard:</t>
        </r>
        <r>
          <rPr>
            <sz val="8"/>
            <color indexed="81"/>
            <rFont val="Tahoma"/>
            <family val="2"/>
          </rPr>
          <t xml:space="preserve">
</t>
        </r>
        <r>
          <rPr>
            <b/>
            <sz val="8"/>
            <color indexed="81"/>
            <rFont val="Tahoma"/>
            <family val="2"/>
          </rPr>
          <t xml:space="preserve">June-Aug Ad-clipped to Lake: </t>
        </r>
        <r>
          <rPr>
            <sz val="8"/>
            <color indexed="81"/>
            <rFont val="Tahoma"/>
            <family val="2"/>
          </rPr>
          <t xml:space="preserve"> 2 adclipped June returns to lake</t>
        </r>
      </text>
    </comment>
    <comment ref="AG34" authorId="0" shapeId="0" xr:uid="{00000000-0006-0000-0000-00008A000000}">
      <text>
        <r>
          <rPr>
            <b/>
            <sz val="8"/>
            <color indexed="81"/>
            <rFont val="Tahoma"/>
            <family val="2"/>
          </rPr>
          <t xml:space="preserve">Rebecca Bernard: 
</t>
        </r>
        <r>
          <rPr>
            <sz val="8"/>
            <color indexed="81"/>
            <rFont val="Tahoma"/>
            <family val="2"/>
          </rPr>
          <t>all unmarked back to River per protocol</t>
        </r>
      </text>
    </comment>
    <comment ref="AO34" authorId="2" shapeId="0" xr:uid="{00000000-0006-0000-0000-00008B000000}">
      <text>
        <r>
          <rPr>
            <b/>
            <sz val="8"/>
            <color indexed="81"/>
            <rFont val="Tahoma"/>
            <family val="2"/>
          </rPr>
          <t>Rebecca Bernard:</t>
        </r>
        <r>
          <rPr>
            <sz val="8"/>
            <color indexed="81"/>
            <rFont val="Tahoma"/>
            <family val="2"/>
          </rPr>
          <t xml:space="preserve">
Starting in 2000, the winter run is split between two CRC seasons and will need to capture April data from the following year's report (a + sign indicates that the 12th month, April, is missing) (Bill Gill).
Sport catch is adjusted for Skagit Winter steelhead Management period (Nov 1 through May 31).  In most cases, the April and May catch reported has to be adjusted, added to the previous year's catch and removed from the reported year.  This means that we have to wait until the coming year to get the April and May catch for the current reported year.  (Rebecca Bernard)
Co-managers agree that July 1 2000 begins the combination of summer and winter run timed wild steelhead into ONE stock--Management Season is July 1 through June 30 of the following year.  October 31, 2000 signals the end of the returning summer run hatchery releases into the Skagit. (Rebecca Bernard 11/5/2009) </t>
        </r>
      </text>
    </comment>
    <comment ref="A35" authorId="2" shapeId="0" xr:uid="{00000000-0006-0000-0000-00008C000000}">
      <text>
        <r>
          <rPr>
            <b/>
            <sz val="8"/>
            <color indexed="81"/>
            <rFont val="Tahoma"/>
            <family val="2"/>
          </rPr>
          <t>Rebecca Bernard:</t>
        </r>
        <r>
          <rPr>
            <sz val="8"/>
            <color indexed="81"/>
            <rFont val="Tahoma"/>
            <family val="2"/>
          </rPr>
          <t xml:space="preserve">
Starting in 2000, the winter run is split between two CRC seasons and will need to capture April data from the following year's report (a + sign indicates that the 12th month, April, is missing) (Bill Gill).
Sport catch is adjusted for Skagit Winter steelhead Management period (Nov 1 through May 31).  In most cases, the April and May catch reported has to be adjusted, added to the previous year's catch and removed from the reported year.  This means that we have to wait until the coming year to get the April and May catch for the current reported year.  (Rebecca Bernard)
Co-managers agree that July 1 2000 begins the combination of summer and winter run timed wild steelhead into ONE stock--Management Season is July 1 through June 30 of the following year.  October 31, 2000 signals the end of the returning summer run hatchery releases into the Skagit. (Rebecca Bernard 11/5/2009) </t>
        </r>
      </text>
    </comment>
    <comment ref="I35" authorId="0" shapeId="0" xr:uid="{00000000-0006-0000-0000-00008D000000}">
      <text>
        <r>
          <rPr>
            <b/>
            <sz val="8"/>
            <color indexed="81"/>
            <rFont val="Tahoma"/>
            <family val="2"/>
          </rPr>
          <t xml:space="preserve"> Rebecca Bernard:</t>
        </r>
        <r>
          <rPr>
            <sz val="8"/>
            <color indexed="81"/>
            <rFont val="Tahoma"/>
            <family val="2"/>
          </rPr>
          <t xml:space="preserve">
Estimated release mortality during spring chinook MSF and non-salmon seasons</t>
        </r>
      </text>
    </comment>
    <comment ref="AE35" authorId="0" shapeId="0" xr:uid="{00000000-0006-0000-0000-00008E000000}">
      <text>
        <r>
          <rPr>
            <b/>
            <sz val="8"/>
            <color indexed="81"/>
            <rFont val="Tahoma"/>
            <family val="2"/>
          </rPr>
          <t xml:space="preserve"> Rebecca Bernard:</t>
        </r>
        <r>
          <rPr>
            <sz val="8"/>
            <color indexed="81"/>
            <rFont val="Tahoma"/>
            <family val="2"/>
          </rPr>
          <t xml:space="preserve">
</t>
        </r>
        <r>
          <rPr>
            <b/>
            <sz val="8"/>
            <color indexed="81"/>
            <rFont val="Tahoma"/>
            <family val="2"/>
          </rPr>
          <t xml:space="preserve">May-Aug Ad-clipped to Lake: </t>
        </r>
        <r>
          <rPr>
            <sz val="8"/>
            <color indexed="81"/>
            <rFont val="Tahoma"/>
            <family val="2"/>
          </rPr>
          <t xml:space="preserve"> 4 in June and 6 in July; also 2 adclipped fish to tribe/hatchery in July</t>
        </r>
      </text>
    </comment>
    <comment ref="AF35" authorId="0" shapeId="0" xr:uid="{00000000-0006-0000-0000-00008F000000}">
      <text>
        <r>
          <rPr>
            <b/>
            <sz val="8"/>
            <color indexed="81"/>
            <rFont val="Tahoma"/>
            <family val="2"/>
          </rPr>
          <t xml:space="preserve"> Rebecca Bernard:</t>
        </r>
        <r>
          <rPr>
            <sz val="8"/>
            <color indexed="81"/>
            <rFont val="Tahoma"/>
            <family val="2"/>
          </rPr>
          <t xml:space="preserve">
all ad-clipped to tribe or hatchery--95 in Dec and Jan and 9 adclipped morts Dec-March</t>
        </r>
      </text>
    </comment>
    <comment ref="AG35" authorId="0" shapeId="0" xr:uid="{00000000-0006-0000-0000-000090000000}">
      <text>
        <r>
          <rPr>
            <b/>
            <sz val="8"/>
            <color indexed="81"/>
            <rFont val="Tahoma"/>
            <family val="2"/>
          </rPr>
          <t xml:space="preserve">Rebecca Bernard: 
</t>
        </r>
        <r>
          <rPr>
            <sz val="8"/>
            <color indexed="81"/>
            <rFont val="Tahoma"/>
            <family val="2"/>
          </rPr>
          <t>all unmarked back to River per protocol</t>
        </r>
      </text>
    </comment>
    <comment ref="AO35" authorId="2" shapeId="0" xr:uid="{00000000-0006-0000-0000-000091000000}">
      <text>
        <r>
          <rPr>
            <b/>
            <sz val="8"/>
            <color indexed="81"/>
            <rFont val="Tahoma"/>
            <family val="2"/>
          </rPr>
          <t>Rebecca Bernard:</t>
        </r>
        <r>
          <rPr>
            <sz val="8"/>
            <color indexed="81"/>
            <rFont val="Tahoma"/>
            <family val="2"/>
          </rPr>
          <t xml:space="preserve">
Starting in 2000, the winter run is split between two CRC seasons and will need to capture April data from the following year's report (a + sign indicates that the 12th month, April, is missing) (Bill Gill).
Sport catch is adjusted for Skagit Winter steelhead Management period (Nov 1 through May 31).  In most cases, the April and May catch reported has to be adjusted, added to the previous year's catch and removed from the reported year.  This means that we have to wait until the coming year to get the April and May catch for the current reported year.  (Rebecca Bernard)
Co-managers agree that July 1 2000 begins the combination of summer and winter run timed wild steelhead into ONE stock--Management Season is July 1 through June 30 of the following year.  October 31, 2000 signals the end of the returning summer run hatchery releases into the Skagit. (Rebecca Bernard 11/5/2009) </t>
        </r>
      </text>
    </comment>
    <comment ref="A36" authorId="2" shapeId="0" xr:uid="{00000000-0006-0000-0000-000092000000}">
      <text>
        <r>
          <rPr>
            <b/>
            <sz val="8"/>
            <color indexed="81"/>
            <rFont val="Tahoma"/>
            <family val="2"/>
          </rPr>
          <t>Rebecca Bernard:</t>
        </r>
        <r>
          <rPr>
            <sz val="8"/>
            <color indexed="81"/>
            <rFont val="Tahoma"/>
            <family val="2"/>
          </rPr>
          <t xml:space="preserve">
Starting in 2000, the winter run is split between two CRC seasons and will need to capture April data from the following year's report (a + sign indicates that the 12th month, April, is missing) (Bill Gill).
Sport catch is adjusted for Skagit Winter steelhead Management period (Nov 1 through May 31).  In most cases, the April and May catch reported has to be adjusted, added to the previous year's catch and removed from the reported year.  This means that we have to wait until the coming year to get the April and May catch for the current reported year.  (Rebecca Bernard)
Co-managers agree that July 1 2000 begins the combination of summer and winter run timed wild steelhead into ONE stock--Management Season is July 1 through June 30 of the following year.  October 31, 2000 signals the end of the returning summer run hatchery releases into the Skagit. (Rebecca Bernard 11/5/2009) </t>
        </r>
      </text>
    </comment>
    <comment ref="I36" authorId="0" shapeId="0" xr:uid="{00000000-0006-0000-0000-000093000000}">
      <text>
        <r>
          <rPr>
            <b/>
            <sz val="8"/>
            <color indexed="81"/>
            <rFont val="Tahoma"/>
            <family val="2"/>
          </rPr>
          <t xml:space="preserve"> Rebecca Bernard:</t>
        </r>
        <r>
          <rPr>
            <sz val="8"/>
            <color indexed="81"/>
            <rFont val="Tahoma"/>
            <family val="2"/>
          </rPr>
          <t xml:space="preserve">
Estimated release mortality during spring chinook MSF and non-salmon seasons</t>
        </r>
      </text>
    </comment>
    <comment ref="AC36" authorId="6" shapeId="0" xr:uid="{00000000-0006-0000-0000-000094000000}">
      <text>
        <r>
          <rPr>
            <b/>
            <sz val="8"/>
            <color indexed="81"/>
            <rFont val="Tahoma"/>
            <family val="2"/>
          </rPr>
          <t>rbernard:</t>
        </r>
        <r>
          <rPr>
            <sz val="8"/>
            <color indexed="81"/>
            <rFont val="Tahoma"/>
            <family val="2"/>
          </rPr>
          <t xml:space="preserve">
30 of these returned to the Baker and were then transported to Marblemount.</t>
        </r>
      </text>
    </comment>
    <comment ref="AE36" authorId="0" shapeId="0" xr:uid="{00000000-0006-0000-0000-000095000000}">
      <text>
        <r>
          <rPr>
            <b/>
            <sz val="8"/>
            <color indexed="81"/>
            <rFont val="Tahoma"/>
            <family val="2"/>
          </rPr>
          <t xml:space="preserve"> Rebecca Bernard:</t>
        </r>
        <r>
          <rPr>
            <sz val="8"/>
            <color indexed="81"/>
            <rFont val="Tahoma"/>
            <family val="2"/>
          </rPr>
          <t xml:space="preserve">
all summer-timed ad-clipped to tribe or hatchery--1 in Oct</t>
        </r>
      </text>
    </comment>
    <comment ref="AF36" authorId="0" shapeId="0" xr:uid="{00000000-0006-0000-0000-000096000000}">
      <text>
        <r>
          <rPr>
            <b/>
            <sz val="8"/>
            <color indexed="81"/>
            <rFont val="Tahoma"/>
            <family val="2"/>
          </rPr>
          <t xml:space="preserve"> Rebecca Bernard:</t>
        </r>
        <r>
          <rPr>
            <sz val="8"/>
            <color indexed="81"/>
            <rFont val="Tahoma"/>
            <family val="2"/>
          </rPr>
          <t xml:space="preserve">
all ad-clipped to tribe, hatchery, or sacrificed</t>
        </r>
      </text>
    </comment>
    <comment ref="AG36" authorId="0" shapeId="0" xr:uid="{00000000-0006-0000-0000-000097000000}">
      <text>
        <r>
          <rPr>
            <b/>
            <sz val="8"/>
            <color indexed="81"/>
            <rFont val="Tahoma"/>
            <family val="2"/>
          </rPr>
          <t xml:space="preserve">Rebecca Bernard: 
</t>
        </r>
        <r>
          <rPr>
            <sz val="8"/>
            <color indexed="81"/>
            <rFont val="Tahoma"/>
            <family val="2"/>
          </rPr>
          <t>all unmarked back to River per protocol</t>
        </r>
      </text>
    </comment>
    <comment ref="AO36" authorId="2" shapeId="0" xr:uid="{00000000-0006-0000-0000-000098000000}">
      <text>
        <r>
          <rPr>
            <b/>
            <sz val="8"/>
            <color indexed="81"/>
            <rFont val="Tahoma"/>
            <family val="2"/>
          </rPr>
          <t>Rebecca Bernard:</t>
        </r>
        <r>
          <rPr>
            <sz val="8"/>
            <color indexed="81"/>
            <rFont val="Tahoma"/>
            <family val="2"/>
          </rPr>
          <t xml:space="preserve">
Starting in 2000, the winter run is split between two CRC seasons and will need to capture April data from the following year's report (a + sign indicates that the 12th month, April, is missing) (Bill Gill).
Sport catch is adjusted for Skagit Winter steelhead Management period (Nov 1 through May 31).  In most cases, the April and May catch reported has to be adjusted, added to the previous year's catch and removed from the reported year.  This means that we have to wait until the coming year to get the April and May catch for the current reported year.  (Rebecca Bernard)
Co-managers agree that July 1 2000 begins the combination of summer and winter run timed wild steelhead into ONE stock--Management Season is July 1 through June 30 of the following year.  October 31, 2000 signals the end of the returning summer run hatchery releases into the Skagit. (Rebecca Bernard 11/5/2009) </t>
        </r>
      </text>
    </comment>
    <comment ref="A37" authorId="2" shapeId="0" xr:uid="{00000000-0006-0000-0000-000099000000}">
      <text>
        <r>
          <rPr>
            <b/>
            <sz val="8"/>
            <color indexed="81"/>
            <rFont val="Tahoma"/>
            <family val="2"/>
          </rPr>
          <t>Rebecca Bernard:</t>
        </r>
        <r>
          <rPr>
            <sz val="8"/>
            <color indexed="81"/>
            <rFont val="Tahoma"/>
            <family val="2"/>
          </rPr>
          <t xml:space="preserve">
Starting in 2000, the winter run is split between two CRC seasons and will need to capture April data from the following year's report (a + sign indicates that the 12th month, April, is missing) (Bill Gill).
Sport catch is adjusted for Skagit Winter steelhead Management period (Nov 1 through May 31).  In most cases, the April and May catch reported has to be adjusted, added to the previous year's catch and removed from the reported year.  This means that we have to wait until the coming year to get the April and May catch for the current reported year.  (Rebecca Bernard)
Co-managers agree that July 1 2000 begins the combination of summer and winter run timed wild steelhead into ONE stock--Management Season is July 1 through June 30 of the following year.  October 31, 2000 signals the end of the returning summer run hatchery releases into the Skagit. (Rebecca Bernard 11/5/2009) </t>
        </r>
      </text>
    </comment>
    <comment ref="I37" authorId="0" shapeId="0" xr:uid="{00000000-0006-0000-0000-00009A000000}">
      <text>
        <r>
          <rPr>
            <b/>
            <sz val="8"/>
            <color indexed="81"/>
            <rFont val="Tahoma"/>
            <family val="2"/>
          </rPr>
          <t xml:space="preserve"> Rebecca Bernard:</t>
        </r>
        <r>
          <rPr>
            <sz val="8"/>
            <color indexed="81"/>
            <rFont val="Tahoma"/>
            <family val="2"/>
          </rPr>
          <t xml:space="preserve">
Estimated release mortality during spring chinook MSF and non-salmon seasons</t>
        </r>
      </text>
    </comment>
    <comment ref="AE37" authorId="0" shapeId="0" xr:uid="{00000000-0006-0000-0000-00009B000000}">
      <text>
        <r>
          <rPr>
            <b/>
            <sz val="8"/>
            <color indexed="81"/>
            <rFont val="Tahoma"/>
            <family val="2"/>
          </rPr>
          <t xml:space="preserve"> Rebecca Bernard:</t>
        </r>
        <r>
          <rPr>
            <sz val="8"/>
            <color indexed="81"/>
            <rFont val="Tahoma"/>
            <family val="2"/>
          </rPr>
          <t xml:space="preserve">
al lsummer-timed  ad-clipped to tribe or hatchery: 1 in June, I in Aug, 1 in Sept, I in Oct</t>
        </r>
      </text>
    </comment>
    <comment ref="AF37" authorId="0" shapeId="0" xr:uid="{00000000-0006-0000-0000-00009C000000}">
      <text>
        <r>
          <rPr>
            <b/>
            <sz val="8"/>
            <color indexed="81"/>
            <rFont val="Tahoma"/>
            <family val="2"/>
          </rPr>
          <t xml:space="preserve"> Rebecca Bernard:</t>
        </r>
        <r>
          <rPr>
            <sz val="8"/>
            <color indexed="81"/>
            <rFont val="Tahoma"/>
            <family val="2"/>
          </rPr>
          <t xml:space="preserve">
all ad-clipped to tribe, hatchery, or sacrificed</t>
        </r>
      </text>
    </comment>
    <comment ref="AG37" authorId="0" shapeId="0" xr:uid="{00000000-0006-0000-0000-00009D000000}">
      <text>
        <r>
          <rPr>
            <b/>
            <sz val="8"/>
            <color indexed="81"/>
            <rFont val="Tahoma"/>
            <family val="2"/>
          </rPr>
          <t xml:space="preserve">Rebecca Bernard: 
</t>
        </r>
        <r>
          <rPr>
            <sz val="8"/>
            <color indexed="81"/>
            <rFont val="Tahoma"/>
            <family val="2"/>
          </rPr>
          <t>all unmarked back to River per protocol</t>
        </r>
      </text>
    </comment>
    <comment ref="AO37" authorId="2" shapeId="0" xr:uid="{00000000-0006-0000-0000-00009E000000}">
      <text>
        <r>
          <rPr>
            <b/>
            <sz val="8"/>
            <color indexed="81"/>
            <rFont val="Tahoma"/>
            <family val="2"/>
          </rPr>
          <t>Rebecca Bernard:</t>
        </r>
        <r>
          <rPr>
            <sz val="8"/>
            <color indexed="81"/>
            <rFont val="Tahoma"/>
            <family val="2"/>
          </rPr>
          <t xml:space="preserve">
Starting in 2000, the winter run is split between two CRC seasons and will need to capture April data from the following year's report (a + sign indicates that the 12th month, April, is missing) (Bill Gill).
Sport catch is adjusted for Skagit Winter steelhead Management period (Nov 1 through May 31).  In most cases, the April and May catch reported has to be adjusted, added to the previous year's catch and removed from the reported year.  This means that we have to wait until the coming year to get the April and May catch for the current reported year.  (Rebecca Bernard)
Co-managers agree that July 1 2000 begins the combination of summer and winter run timed wild steelhead into ONE stock--Management Season is July 1 through June 30 of the following year.  October 31, 2000 signals the end of the returning summer run hatchery releases into the Skagit. (Rebecca Bernard 11/5/2009) </t>
        </r>
      </text>
    </comment>
    <comment ref="A38" authorId="2" shapeId="0" xr:uid="{00000000-0006-0000-0000-00009F000000}">
      <text>
        <r>
          <rPr>
            <b/>
            <sz val="8"/>
            <color indexed="81"/>
            <rFont val="Tahoma"/>
            <family val="2"/>
          </rPr>
          <t>Rebecca Bernard:</t>
        </r>
        <r>
          <rPr>
            <sz val="8"/>
            <color indexed="81"/>
            <rFont val="Tahoma"/>
            <family val="2"/>
          </rPr>
          <t xml:space="preserve">
Starting in 2000, the winter run is split between two CRC seasons and will need to capture April data from the following year's report (a + sign indicates that the 12th month, April, is missing) (Bill Gill).
Sport catch is adjusted for Skagit Winter steelhead Management period (Nov 1 through May 31).  In most cases, the April and May catch reported has to be adjusted, added to the previous year's catch and removed from the reported year.  This means that we have to wait until the coming year to get the April and May catch for the current reported year.  (Rebecca Bernard)
Co-managers agree that July 1 2000 begins the combination of summer and winter run timed wild steelhead into ONE stock--Management Season is July 1 through June 30 of the following year.  October 31, 2000 signals the end of the returning summer run hatchery releases into the Skagit. (Rebecca Bernard 11/5/2009) </t>
        </r>
      </text>
    </comment>
    <comment ref="B38" authorId="0" shapeId="0" xr:uid="{00000000-0006-0000-0000-0000A0000000}">
      <text>
        <r>
          <rPr>
            <b/>
            <sz val="8"/>
            <color indexed="81"/>
            <rFont val="Tahoma"/>
            <family val="2"/>
          </rPr>
          <t xml:space="preserve"> Rebecca Bernard:</t>
        </r>
        <r>
          <rPr>
            <sz val="8"/>
            <color indexed="81"/>
            <rFont val="Tahoma"/>
            <family val="2"/>
          </rPr>
          <t xml:space="preserve">
very preliminary--removed Aug-Sept from draft as those were probably pinks--per Brett Sept 17, 2010</t>
        </r>
      </text>
    </comment>
    <comment ref="I38" authorId="0" shapeId="0" xr:uid="{00000000-0006-0000-0000-0000A1000000}">
      <text>
        <r>
          <rPr>
            <b/>
            <sz val="8"/>
            <color indexed="81"/>
            <rFont val="Tahoma"/>
            <family val="2"/>
          </rPr>
          <t xml:space="preserve"> Rebecca Bernard:</t>
        </r>
        <r>
          <rPr>
            <sz val="8"/>
            <color indexed="81"/>
            <rFont val="Tahoma"/>
            <family val="2"/>
          </rPr>
          <t xml:space="preserve">
Estimated release mortality during spring chinook MSF and non-salmon seasons</t>
        </r>
      </text>
    </comment>
    <comment ref="AE38" authorId="0" shapeId="0" xr:uid="{00000000-0006-0000-0000-0000A2000000}">
      <text>
        <r>
          <rPr>
            <b/>
            <sz val="8"/>
            <color indexed="81"/>
            <rFont val="Tahoma"/>
            <family val="2"/>
          </rPr>
          <t xml:space="preserve"> Rebecca Bernard:</t>
        </r>
        <r>
          <rPr>
            <sz val="8"/>
            <color indexed="81"/>
            <rFont val="Tahoma"/>
            <family val="2"/>
          </rPr>
          <t xml:space="preserve">
all summer-timed ad-clipped to tribe or hatchery: 2 in July, 6 in Aug, 3 in Sept, 2 in Oct and 1 adclipped mort in July</t>
        </r>
      </text>
    </comment>
    <comment ref="AF38" authorId="0" shapeId="0" xr:uid="{00000000-0006-0000-0000-0000A3000000}">
      <text>
        <r>
          <rPr>
            <b/>
            <sz val="8"/>
            <color indexed="81"/>
            <rFont val="Tahoma"/>
            <family val="2"/>
          </rPr>
          <t xml:space="preserve"> Rebecca Bernard:</t>
        </r>
        <r>
          <rPr>
            <sz val="8"/>
            <color indexed="81"/>
            <rFont val="Tahoma"/>
            <family val="2"/>
          </rPr>
          <t xml:space="preserve">
all ad-clipped to tribe, hatchery, or sacrificed</t>
        </r>
      </text>
    </comment>
    <comment ref="AG38" authorId="0" shapeId="0" xr:uid="{00000000-0006-0000-0000-0000A4000000}">
      <text>
        <r>
          <rPr>
            <b/>
            <sz val="8"/>
            <color indexed="81"/>
            <rFont val="Tahoma"/>
            <family val="2"/>
          </rPr>
          <t xml:space="preserve">Rebecca Bernard:
</t>
        </r>
        <r>
          <rPr>
            <sz val="8"/>
            <color indexed="81"/>
            <rFont val="Tahoma"/>
            <family val="2"/>
          </rPr>
          <t>all unmarked back to River--6 trapped all returned to the Skagit</t>
        </r>
      </text>
    </comment>
    <comment ref="AO38" authorId="2" shapeId="0" xr:uid="{00000000-0006-0000-0000-0000A5000000}">
      <text>
        <r>
          <rPr>
            <b/>
            <sz val="8"/>
            <color indexed="81"/>
            <rFont val="Tahoma"/>
            <family val="2"/>
          </rPr>
          <t>Rebecca Bernard:</t>
        </r>
        <r>
          <rPr>
            <sz val="8"/>
            <color indexed="81"/>
            <rFont val="Tahoma"/>
            <family val="2"/>
          </rPr>
          <t xml:space="preserve">
Starting in 2000, the winter run is split between two CRC seasons and will need to capture April data from the following year's report (a + sign indicates that the 12th month, April, is missing) (Bill Gill).
Sport catch is adjusted for Skagit Winter steelhead Management period (Nov 1 through May 31).  In most cases, the April and May catch reported has to be adjusted, added to the previous year's catch and removed from the reported year.  This means that we have to wait until the coming year to get the April and May catch for the current reported year.  (Rebecca Bernard)
Co-managers agree that July 1 2000 begins the combination of summer and winter run timed wild steelhead into ONE stock--Management Season is July 1 through June 30 of the following year.  October 31, 2000 signals the end of the returning summer run hatchery releases into the Skagit. (Rebecca Bernard 11/5/2009) </t>
        </r>
      </text>
    </comment>
    <comment ref="B39" authorId="6" shapeId="0" xr:uid="{00000000-0006-0000-0000-0000A6000000}">
      <text>
        <r>
          <rPr>
            <b/>
            <sz val="9"/>
            <color indexed="81"/>
            <rFont val="Tahoma"/>
            <family val="2"/>
          </rPr>
          <t>rbernard:</t>
        </r>
        <r>
          <rPr>
            <sz val="9"/>
            <color indexed="81"/>
            <rFont val="Tahoma"/>
            <family val="2"/>
          </rPr>
          <t xml:space="preserve">
preliminary per Eric Kraig 8/10/2011</t>
        </r>
      </text>
    </comment>
    <comment ref="I39" authorId="0" shapeId="0" xr:uid="{00000000-0006-0000-0000-0000A7000000}">
      <text>
        <r>
          <rPr>
            <b/>
            <sz val="8"/>
            <color indexed="81"/>
            <rFont val="Tahoma"/>
            <family val="2"/>
          </rPr>
          <t xml:space="preserve"> Rebecca Bernard:</t>
        </r>
        <r>
          <rPr>
            <sz val="8"/>
            <color indexed="81"/>
            <rFont val="Tahoma"/>
            <family val="2"/>
          </rPr>
          <t xml:space="preserve">
Estimated release mortality during spring chinook MSF and non-salmon seasons</t>
        </r>
      </text>
    </comment>
    <comment ref="AE39" authorId="0" shapeId="0" xr:uid="{00000000-0006-0000-0000-0000A8000000}">
      <text>
        <r>
          <rPr>
            <b/>
            <sz val="8"/>
            <color indexed="81"/>
            <rFont val="Tahoma"/>
            <family val="2"/>
          </rPr>
          <t xml:space="preserve"> Rebecca Bernard:</t>
        </r>
        <r>
          <rPr>
            <sz val="8"/>
            <color indexed="81"/>
            <rFont val="Tahoma"/>
            <family val="2"/>
          </rPr>
          <t xml:space="preserve">
all summer-timed ad-clipped sacrificed or to hatchery:  3 in June,  2 in Sept, 1 in Oct</t>
        </r>
      </text>
    </comment>
    <comment ref="AF39" authorId="0" shapeId="0" xr:uid="{00000000-0006-0000-0000-0000A9000000}">
      <text>
        <r>
          <rPr>
            <b/>
            <sz val="8"/>
            <color indexed="81"/>
            <rFont val="Tahoma"/>
            <family val="2"/>
          </rPr>
          <t xml:space="preserve"> Rebecca Bernard:</t>
        </r>
        <r>
          <rPr>
            <sz val="8"/>
            <color indexed="81"/>
            <rFont val="Tahoma"/>
            <family val="2"/>
          </rPr>
          <t xml:space="preserve">
all ad-clipped to hatchery, or sacrificed: 6 sacrificed in Nov, 1 sacrificed in Dec, 7 sacrificed in Jan and one mort assumed hatchery due to timing.</t>
        </r>
      </text>
    </comment>
    <comment ref="AG39" authorId="0" shapeId="0" xr:uid="{00000000-0006-0000-0000-0000AA000000}">
      <text>
        <r>
          <rPr>
            <b/>
            <sz val="8"/>
            <color indexed="81"/>
            <rFont val="Tahoma"/>
            <family val="2"/>
          </rPr>
          <t xml:space="preserve">Rebecca Bernard: 
</t>
        </r>
        <r>
          <rPr>
            <sz val="8"/>
            <color indexed="81"/>
            <rFont val="Tahoma"/>
            <family val="2"/>
          </rPr>
          <t xml:space="preserve">all unmarked back to River--3 trapped fish, but all returned to the Skagit </t>
        </r>
      </text>
    </comment>
    <comment ref="I40" authorId="0" shapeId="0" xr:uid="{00000000-0006-0000-0000-0000AB000000}">
      <text>
        <r>
          <rPr>
            <b/>
            <sz val="8"/>
            <color indexed="81"/>
            <rFont val="Tahoma"/>
            <family val="2"/>
          </rPr>
          <t xml:space="preserve"> Rebecca Bernard:</t>
        </r>
        <r>
          <rPr>
            <sz val="8"/>
            <color indexed="81"/>
            <rFont val="Tahoma"/>
            <family val="2"/>
          </rPr>
          <t xml:space="preserve">
Estimated release mortality during spring chinook MSF, sockeye, and non-salmon seasons</t>
        </r>
      </text>
    </comment>
    <comment ref="AC40" authorId="6" shapeId="0" xr:uid="{00000000-0006-0000-0000-0000AC000000}">
      <text>
        <r>
          <rPr>
            <b/>
            <sz val="8"/>
            <color indexed="81"/>
            <rFont val="Tahoma"/>
            <family val="2"/>
          </rPr>
          <t>pkairis:</t>
        </r>
        <r>
          <rPr>
            <sz val="8"/>
            <color indexed="81"/>
            <rFont val="Tahoma"/>
            <family val="2"/>
          </rPr>
          <t xml:space="preserve">
from hatchery reports viewed on 10/4/2012 from WDFW website--includes Marblemount and Barnaby adults and jacks to hatchery minus those fish released (wild strays, determined by presence of adipose fin)
</t>
        </r>
      </text>
    </comment>
    <comment ref="AE40" authorId="0" shapeId="0" xr:uid="{00000000-0006-0000-0000-0000AD000000}">
      <text>
        <r>
          <rPr>
            <b/>
            <sz val="8"/>
            <color indexed="81"/>
            <rFont val="Tahoma"/>
            <family val="2"/>
          </rPr>
          <t>pkairis:</t>
        </r>
        <r>
          <rPr>
            <sz val="8"/>
            <color indexed="81"/>
            <rFont val="Tahoma"/>
            <family val="2"/>
          </rPr>
          <t xml:space="preserve">
all summer-timed ad-clipped sacrificed or to hatchery:  1 in June,  3 in Jully, 3, in August, 0 in Sept, 2 In Oct</t>
        </r>
      </text>
    </comment>
    <comment ref="AF40" authorId="0" shapeId="0" xr:uid="{00000000-0006-0000-0000-0000AE000000}">
      <text>
        <r>
          <rPr>
            <b/>
            <sz val="8"/>
            <color indexed="81"/>
            <rFont val="Tahoma"/>
            <family val="2"/>
          </rPr>
          <t>pkairis:</t>
        </r>
        <r>
          <rPr>
            <sz val="8"/>
            <color indexed="81"/>
            <rFont val="Tahoma"/>
            <family val="2"/>
          </rPr>
          <t xml:space="preserve">
all winter-timed ad-clipped sacrificed or to hatchery: 5 in Nov, 18 in Dec, 16 in Jan, 12 in Feb, 13 in March, 0 in April</t>
        </r>
      </text>
    </comment>
    <comment ref="AG40" authorId="0" shapeId="0" xr:uid="{00000000-0006-0000-0000-0000AF000000}">
      <text>
        <r>
          <rPr>
            <b/>
            <sz val="8"/>
            <color indexed="81"/>
            <rFont val="Tahoma"/>
            <family val="2"/>
          </rPr>
          <t xml:space="preserve">Rebecca Bernard: 
</t>
        </r>
        <r>
          <rPr>
            <sz val="8"/>
            <color indexed="81"/>
            <rFont val="Tahoma"/>
            <family val="2"/>
          </rPr>
          <t xml:space="preserve">all unmarked back to River--15 trapped fish, but all returned to the Skagit </t>
        </r>
      </text>
    </comment>
    <comment ref="I41" authorId="0" shapeId="0" xr:uid="{00000000-0006-0000-0000-0000B0000000}">
      <text>
        <r>
          <rPr>
            <b/>
            <sz val="8"/>
            <color indexed="81"/>
            <rFont val="Tahoma"/>
            <family val="2"/>
          </rPr>
          <t xml:space="preserve"> Rebecca Bernard:</t>
        </r>
        <r>
          <rPr>
            <sz val="8"/>
            <color indexed="81"/>
            <rFont val="Tahoma"/>
            <family val="2"/>
          </rPr>
          <t xml:space="preserve">
Estimated release mortality during spring chinook MSF and non-salmon seasons</t>
        </r>
      </text>
    </comment>
    <comment ref="AC41" authorId="6" shapeId="0" xr:uid="{00000000-0006-0000-0000-0000B1000000}">
      <text>
        <r>
          <rPr>
            <b/>
            <sz val="8"/>
            <color indexed="81"/>
            <rFont val="Tahoma"/>
            <family val="2"/>
          </rPr>
          <t>pkairis:</t>
        </r>
        <r>
          <rPr>
            <sz val="8"/>
            <color indexed="81"/>
            <rFont val="Tahoma"/>
            <family val="2"/>
          </rPr>
          <t xml:space="preserve">
from 08/15/2013 WDFW hatchery report--includes Marblemount and Barnaby adults and jacks to hatchery minus those fish released (wild strays, determined by presence of adipose fin)
</t>
        </r>
      </text>
    </comment>
    <comment ref="AE41" authorId="1" shapeId="0" xr:uid="{00000000-0006-0000-0000-0000B2000000}">
      <text>
        <r>
          <rPr>
            <b/>
            <sz val="9"/>
            <color indexed="81"/>
            <rFont val="Tahoma"/>
            <family val="2"/>
          </rPr>
          <t>Pete Kairis:</t>
        </r>
        <r>
          <rPr>
            <sz val="9"/>
            <color indexed="81"/>
            <rFont val="Tahoma"/>
            <family val="2"/>
          </rPr>
          <t xml:space="preserve">
Ad-clipped sacrificed or to hatchery June-October</t>
        </r>
      </text>
    </comment>
    <comment ref="AF41" authorId="1" shapeId="0" xr:uid="{00000000-0006-0000-0000-0000B3000000}">
      <text>
        <r>
          <rPr>
            <b/>
            <sz val="9"/>
            <color indexed="81"/>
            <rFont val="Tahoma"/>
            <family val="2"/>
          </rPr>
          <t>Pete Kairis:</t>
        </r>
        <r>
          <rPr>
            <sz val="9"/>
            <color indexed="81"/>
            <rFont val="Tahoma"/>
            <family val="2"/>
          </rPr>
          <t xml:space="preserve">
Ad-clipped sacrificed or to hatchery November - April</t>
        </r>
      </text>
    </comment>
    <comment ref="AG41" authorId="0" shapeId="0" xr:uid="{00000000-0006-0000-0000-0000B4000000}">
      <text>
        <r>
          <rPr>
            <b/>
            <sz val="8"/>
            <color indexed="81"/>
            <rFont val="Tahoma"/>
            <family val="2"/>
          </rPr>
          <t xml:space="preserve">pkairis: 
</t>
        </r>
        <r>
          <rPr>
            <sz val="8"/>
            <color indexed="81"/>
            <rFont val="Tahoma"/>
            <family val="2"/>
          </rPr>
          <t xml:space="preserve">all unmarked back to River--0 trapped fish, but all returned to the Skagit </t>
        </r>
      </text>
    </comment>
    <comment ref="I42" authorId="0" shapeId="0" xr:uid="{00000000-0006-0000-0000-0000B5000000}">
      <text>
        <r>
          <rPr>
            <b/>
            <sz val="8"/>
            <color indexed="81"/>
            <rFont val="Tahoma"/>
            <family val="2"/>
          </rPr>
          <t xml:space="preserve"> Rebecca Bernard:</t>
        </r>
        <r>
          <rPr>
            <sz val="8"/>
            <color indexed="81"/>
            <rFont val="Tahoma"/>
            <family val="2"/>
          </rPr>
          <t xml:space="preserve">
Estimated release mortality during spring chinook MSF, sockeye,  and non-salmon seasons</t>
        </r>
      </text>
    </comment>
    <comment ref="AC42" authorId="1" shapeId="0" xr:uid="{00000000-0006-0000-0000-0000B6000000}">
      <text>
        <r>
          <rPr>
            <b/>
            <sz val="9"/>
            <color indexed="81"/>
            <rFont val="Tahoma"/>
            <family val="2"/>
          </rPr>
          <t>Pete Kairis:</t>
        </r>
        <r>
          <rPr>
            <sz val="9"/>
            <color indexed="81"/>
            <rFont val="Tahoma"/>
            <family val="2"/>
          </rPr>
          <t xml:space="preserve">
From 6/19/14 hatchery report</t>
        </r>
      </text>
    </comment>
    <comment ref="AE42" authorId="1" shapeId="0" xr:uid="{00000000-0006-0000-0000-0000B7000000}">
      <text>
        <r>
          <rPr>
            <b/>
            <sz val="9"/>
            <color indexed="81"/>
            <rFont val="Tahoma"/>
            <family val="2"/>
          </rPr>
          <t>Pete Kairis:</t>
        </r>
        <r>
          <rPr>
            <sz val="9"/>
            <color indexed="81"/>
            <rFont val="Tahoma"/>
            <family val="2"/>
          </rPr>
          <t xml:space="preserve">
Ad-clipped sacrificed or to hatchery June-October</t>
        </r>
      </text>
    </comment>
    <comment ref="AF42" authorId="1" shapeId="0" xr:uid="{00000000-0006-0000-0000-0000B8000000}">
      <text>
        <r>
          <rPr>
            <b/>
            <sz val="9"/>
            <color indexed="81"/>
            <rFont val="Tahoma"/>
            <family val="2"/>
          </rPr>
          <t>Pete Kairis:</t>
        </r>
        <r>
          <rPr>
            <sz val="9"/>
            <color indexed="81"/>
            <rFont val="Tahoma"/>
            <family val="2"/>
          </rPr>
          <t xml:space="preserve">
Ad-clipped sacrificed or to hatchery November - April</t>
        </r>
      </text>
    </comment>
    <comment ref="I43" authorId="0" shapeId="0" xr:uid="{00000000-0006-0000-0000-0000B9000000}">
      <text>
        <r>
          <rPr>
            <b/>
            <sz val="8"/>
            <color indexed="81"/>
            <rFont val="Tahoma"/>
            <family val="2"/>
          </rPr>
          <t xml:space="preserve"> Rebecca Bernard:</t>
        </r>
        <r>
          <rPr>
            <sz val="8"/>
            <color indexed="81"/>
            <rFont val="Tahoma"/>
            <family val="2"/>
          </rPr>
          <t xml:space="preserve">
Estimated release mortality during spring chinook MSF, sockeye,  and non-salmon seasons.  Includes illegal retention during sockeye.</t>
        </r>
      </text>
    </comment>
    <comment ref="AG43" authorId="0" shapeId="0" xr:uid="{00000000-0006-0000-0000-0000BA000000}">
      <text>
        <r>
          <rPr>
            <b/>
            <sz val="8"/>
            <color indexed="81"/>
            <rFont val="Tahoma"/>
            <family val="2"/>
          </rPr>
          <t>pkairis: 
A</t>
        </r>
        <r>
          <rPr>
            <sz val="8"/>
            <color indexed="81"/>
            <rFont val="Tahoma"/>
            <family val="2"/>
          </rPr>
          <t>ll unmarked trapped sent back to Skagit River.  1 trapped fish, but returned to the Skagit so not included here.</t>
        </r>
      </text>
    </comment>
    <comment ref="I44" authorId="0" shapeId="0" xr:uid="{00000000-0006-0000-0000-0000BB000000}">
      <text>
        <r>
          <rPr>
            <b/>
            <sz val="8"/>
            <color indexed="81"/>
            <rFont val="Tahoma"/>
            <family val="2"/>
          </rPr>
          <t xml:space="preserve"> Rebecca Bernard:</t>
        </r>
        <r>
          <rPr>
            <sz val="8"/>
            <color indexed="81"/>
            <rFont val="Tahoma"/>
            <family val="2"/>
          </rPr>
          <t xml:space="preserve">
Estimated release mortality during spring chinook MSF, sockeye,  and non-salmon seasons.  Includes illegal retention during sockeye.</t>
        </r>
      </text>
    </comment>
    <comment ref="AG44" authorId="0" shapeId="0" xr:uid="{00000000-0006-0000-0000-0000BC000000}">
      <text>
        <r>
          <rPr>
            <b/>
            <sz val="8"/>
            <color indexed="81"/>
            <rFont val="Tahoma"/>
            <family val="2"/>
          </rPr>
          <t>pkairis: 
A</t>
        </r>
        <r>
          <rPr>
            <sz val="8"/>
            <color indexed="81"/>
            <rFont val="Tahoma"/>
            <family val="2"/>
          </rPr>
          <t>ll unmarked trapped sent back to Skagit River.  6 trapped wild fish, but returned to the Skagit so not included here.</t>
        </r>
      </text>
    </comment>
    <comment ref="I45" authorId="0" shapeId="0" xr:uid="{00000000-0006-0000-0000-0000BD000000}">
      <text>
        <r>
          <rPr>
            <b/>
            <sz val="8"/>
            <color indexed="81"/>
            <rFont val="Tahoma"/>
            <family val="2"/>
          </rPr>
          <t xml:space="preserve"> Rebecca Bernard:</t>
        </r>
        <r>
          <rPr>
            <sz val="8"/>
            <color indexed="81"/>
            <rFont val="Tahoma"/>
            <family val="2"/>
          </rPr>
          <t xml:space="preserve">
Estimated release mortality during spring chinook MSF, sockeye,  and non-salmon seasons.  Includes illegal retention during sockeye.</t>
        </r>
      </text>
    </comment>
    <comment ref="AA45" authorId="1" shapeId="0" xr:uid="{00000000-0006-0000-0000-0000BE000000}">
      <text>
        <r>
          <rPr>
            <b/>
            <sz val="9"/>
            <color indexed="81"/>
            <rFont val="Tahoma"/>
            <family val="2"/>
          </rPr>
          <t>Pete Kairis:</t>
        </r>
        <r>
          <rPr>
            <sz val="9"/>
            <color indexed="81"/>
            <rFont val="Tahoma"/>
            <family val="2"/>
          </rPr>
          <t xml:space="preserve">
Sampling project stopped early</t>
        </r>
      </text>
    </comment>
    <comment ref="AG45" authorId="0" shapeId="0" xr:uid="{00000000-0006-0000-0000-0000BF000000}">
      <text>
        <r>
          <rPr>
            <b/>
            <sz val="8"/>
            <color indexed="81"/>
            <rFont val="Tahoma"/>
            <family val="2"/>
          </rPr>
          <t>pkairis: 
A</t>
        </r>
        <r>
          <rPr>
            <sz val="8"/>
            <color indexed="81"/>
            <rFont val="Tahoma"/>
            <family val="2"/>
          </rPr>
          <t>ll unmarked trapped sent back to Skagit River.  1 trapped wild fish, but returned to the Skagit so not included here.</t>
        </r>
      </text>
    </comment>
    <comment ref="AG46" authorId="0" shapeId="0" xr:uid="{E6C7D3A2-877F-454F-A336-31B60FDD5AED}">
      <text>
        <r>
          <rPr>
            <b/>
            <sz val="8"/>
            <color indexed="81"/>
            <rFont val="Tahoma"/>
            <family val="2"/>
          </rPr>
          <t>pkairis: 
A</t>
        </r>
        <r>
          <rPr>
            <sz val="8"/>
            <color indexed="81"/>
            <rFont val="Tahoma"/>
            <family val="2"/>
          </rPr>
          <t>ll unmarked trapped sent back to Skagit River.  4 trapped wild fish, but returned to the Skagit so not included here.</t>
        </r>
      </text>
    </comment>
    <comment ref="AG47" authorId="1" shapeId="0" xr:uid="{5DD24129-5083-437C-B67A-CA5C39035635}">
      <text>
        <r>
          <rPr>
            <b/>
            <sz val="9"/>
            <color indexed="81"/>
            <rFont val="Tahoma"/>
            <family val="2"/>
          </rPr>
          <t>Pete Kairis:</t>
        </r>
        <r>
          <rPr>
            <sz val="9"/>
            <color indexed="81"/>
            <rFont val="Tahoma"/>
            <family val="2"/>
          </rPr>
          <t xml:space="preserve">
All unclipped fish returned to Skagit River</t>
        </r>
      </text>
    </comment>
    <comment ref="AG48" authorId="1" shapeId="0" xr:uid="{02AFE94F-8736-4595-8A88-A4067D35D1BC}">
      <text>
        <r>
          <rPr>
            <b/>
            <sz val="9"/>
            <color indexed="81"/>
            <rFont val="Tahoma"/>
            <family val="2"/>
          </rPr>
          <t>Pete Kairis:</t>
        </r>
        <r>
          <rPr>
            <sz val="9"/>
            <color indexed="81"/>
            <rFont val="Tahoma"/>
            <family val="2"/>
          </rPr>
          <t xml:space="preserve">
All unclipped fish returned to Skagit River</t>
        </r>
      </text>
    </comment>
    <comment ref="AG49" authorId="1" shapeId="0" xr:uid="{9E1B1305-DAF1-4340-B9D6-1950CB5836BC}">
      <text>
        <r>
          <rPr>
            <b/>
            <sz val="9"/>
            <color indexed="81"/>
            <rFont val="Tahoma"/>
            <family val="2"/>
          </rPr>
          <t>Pete Kairis:</t>
        </r>
        <r>
          <rPr>
            <sz val="9"/>
            <color indexed="81"/>
            <rFont val="Tahoma"/>
            <family val="2"/>
          </rPr>
          <t xml:space="preserve">
All unclipped fish returned to Skagit River</t>
        </r>
      </text>
    </comment>
    <comment ref="I50" authorId="3" shapeId="0" xr:uid="{7FDEF1ED-ECCC-40ED-8997-FCBEE5437252}">
      <text>
        <r>
          <rPr>
            <b/>
            <sz val="9"/>
            <color indexed="81"/>
            <rFont val="Tahoma"/>
            <family val="2"/>
          </rPr>
          <t>WDFW:</t>
        </r>
        <r>
          <rPr>
            <sz val="9"/>
            <color indexed="81"/>
            <rFont val="Tahoma"/>
            <family val="2"/>
          </rPr>
          <t xml:space="preserve">
11/22/22,AF: Added estimate from monitored coho sport fishery. This is a new addition in 2022.</t>
        </r>
      </text>
    </comment>
    <comment ref="AG50" authorId="1" shapeId="0" xr:uid="{5F5D2E5B-2818-40A2-8C50-40461BE7E8E7}">
      <text>
        <r>
          <rPr>
            <b/>
            <sz val="9"/>
            <color indexed="81"/>
            <rFont val="Tahoma"/>
            <family val="2"/>
          </rPr>
          <t>Pete Kairis:</t>
        </r>
        <r>
          <rPr>
            <sz val="9"/>
            <color indexed="81"/>
            <rFont val="Tahoma"/>
            <family val="2"/>
          </rPr>
          <t xml:space="preserve">
All unclipped fish returned to Skagit River</t>
        </r>
      </text>
    </comment>
    <comment ref="AG51" authorId="1" shapeId="0" xr:uid="{94D10AA0-3366-42FD-88EE-DD02E331B09D}">
      <text>
        <r>
          <rPr>
            <b/>
            <sz val="9"/>
            <color indexed="81"/>
            <rFont val="Tahoma"/>
            <family val="2"/>
          </rPr>
          <t>Pete Kairis:</t>
        </r>
        <r>
          <rPr>
            <sz val="9"/>
            <color indexed="81"/>
            <rFont val="Tahoma"/>
            <family val="2"/>
          </rPr>
          <t xml:space="preserve">
All unclipped fish returned to Skagit River</t>
        </r>
      </text>
    </comment>
    <comment ref="AO51" authorId="7" shapeId="0" xr:uid="{7615A814-406A-4B11-B5F3-F70CC2EE244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Typo?
</t>
        </r>
      </text>
    </comment>
    <comment ref="H55" authorId="3" shapeId="0" xr:uid="{BBAFC2BE-80BA-4AF0-9E0D-640AD545BFCD}">
      <text>
        <r>
          <rPr>
            <b/>
            <sz val="9"/>
            <color indexed="81"/>
            <rFont val="Tahoma"/>
            <family val="2"/>
          </rPr>
          <t>WDFW:</t>
        </r>
        <r>
          <rPr>
            <sz val="9"/>
            <color indexed="81"/>
            <rFont val="Tahoma"/>
            <family val="2"/>
          </rPr>
          <t xml:space="preserve">
11/22/22,AF: Salmon directed fisheries in "fall" time period (August-December) not monitored for incidental encounters in the past. Full creel during 2021 season. Incidental steelhead encounters table added to "SportRelMort" and estimate summed in this cell with existing sport estimates. 
Link to new table in cell E54.</t>
        </r>
      </text>
    </comment>
    <comment ref="I60" authorId="8" shapeId="0" xr:uid="{0E43FB68-9383-48D1-BF64-C17B636B9918}">
      <text>
        <r>
          <rPr>
            <b/>
            <sz val="9"/>
            <color indexed="81"/>
            <rFont val="Tahoma"/>
            <family val="2"/>
          </rPr>
          <t>Fowler, Andrew M (DFW):</t>
        </r>
        <r>
          <rPr>
            <sz val="9"/>
            <color indexed="81"/>
            <rFont val="Tahoma"/>
            <family val="2"/>
          </rPr>
          <t xml:space="preserve">
From unmonitored and monitored gamefish fisheries.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WDFW</author>
    <author>rbernard</author>
    <author>A.Fowler</author>
    <author>Fowler, Andrew M (DFW)</author>
    <author>Pete Kairis</author>
    <author>Andrew Fowler</author>
  </authors>
  <commentList>
    <comment ref="AX4" authorId="0" shapeId="0" xr:uid="{3D3FAB9B-74C8-4117-9766-C75093BB9EA1}">
      <text>
        <r>
          <rPr>
            <b/>
            <sz val="11"/>
            <color indexed="81"/>
            <rFont val="Tahoma"/>
            <family val="2"/>
          </rPr>
          <t>WDFW:</t>
        </r>
        <r>
          <rPr>
            <sz val="11"/>
            <color indexed="81"/>
            <rFont val="Tahoma"/>
            <family val="2"/>
          </rPr>
          <t xml:space="preserve">
11/14/22,AF: table updated. </t>
        </r>
      </text>
    </comment>
    <comment ref="AX9" authorId="0" shapeId="0" xr:uid="{6432C005-EAC1-4B8B-8420-D9644E010CF3}">
      <text>
        <r>
          <rPr>
            <b/>
            <sz val="11"/>
            <color indexed="81"/>
            <rFont val="Tahoma"/>
            <family val="2"/>
          </rPr>
          <t xml:space="preserve">WDFW:
</t>
        </r>
        <r>
          <rPr>
            <sz val="11"/>
            <color indexed="81"/>
            <rFont val="Tahoma"/>
            <family val="2"/>
          </rPr>
          <t xml:space="preserve">11/14/22,AF: From creel. Based on 3 released steelhead in creel. 1 was reported to be kelt, other two did not have stage reported. State-space catch method does not yet have ability to estimate for stage, so entering all incidentals as prespawn for this year. </t>
        </r>
      </text>
    </comment>
    <comment ref="AX10" authorId="0" shapeId="0" xr:uid="{1C64DD5A-C249-409B-A3F8-D0FF3206B69E}">
      <text>
        <r>
          <rPr>
            <b/>
            <sz val="11"/>
            <color indexed="81"/>
            <rFont val="Tahoma"/>
            <family val="2"/>
          </rPr>
          <t>WDFW:</t>
        </r>
        <r>
          <rPr>
            <sz val="11"/>
            <color indexed="81"/>
            <rFont val="Tahoma"/>
            <family val="2"/>
          </rPr>
          <t xml:space="preserve">
11/14/22,AF: see note in above cell. Leave this cell blank for this management period. This is something to work on in future season. Perhaps scale samples from tribal fisheries could be used to estimate percent of kelts for this period. 
</t>
        </r>
      </text>
    </comment>
    <comment ref="B16" authorId="1" shapeId="0" xr:uid="{00000000-0006-0000-0100-000009000000}">
      <text>
        <r>
          <rPr>
            <b/>
            <sz val="9"/>
            <color indexed="81"/>
            <rFont val="Tahoma"/>
            <family val="2"/>
          </rPr>
          <t>rbernard:</t>
        </r>
        <r>
          <rPr>
            <sz val="9"/>
            <color indexed="81"/>
            <rFont val="Tahoma"/>
            <family val="2"/>
          </rPr>
          <t xml:space="preserve">
Sockeye fishery in 2012 in area 78D2 only this is half of June because the fishery starts June 16 and the new return season starts July 1.  Since the June value above is for the whole river--divided by 4 to represent only one are of the river open.</t>
        </r>
      </text>
    </comment>
    <comment ref="C16" authorId="1" shapeId="0" xr:uid="{00000000-0006-0000-0100-00000A000000}">
      <text>
        <r>
          <rPr>
            <b/>
            <sz val="9"/>
            <color indexed="81"/>
            <rFont val="Tahoma"/>
            <family val="2"/>
          </rPr>
          <t>rbernard:</t>
        </r>
        <r>
          <rPr>
            <sz val="9"/>
            <color indexed="81"/>
            <rFont val="Tahoma"/>
            <family val="2"/>
          </rPr>
          <t xml:space="preserve">
Sockeye fishery in 2012 in area 78D2 only this is half of June because the fishery starts June 16 and the new return season starts July 1.  Since the June value above is for the whole river--divided by 4 to represent only one are of the river open.</t>
        </r>
      </text>
    </comment>
    <comment ref="D16" authorId="1" shapeId="0" xr:uid="{00000000-0006-0000-0100-00000B000000}">
      <text>
        <r>
          <rPr>
            <b/>
            <sz val="9"/>
            <color indexed="81"/>
            <rFont val="Tahoma"/>
            <family val="2"/>
          </rPr>
          <t>rbernard:</t>
        </r>
        <r>
          <rPr>
            <sz val="9"/>
            <color indexed="81"/>
            <rFont val="Tahoma"/>
            <family val="2"/>
          </rPr>
          <t xml:space="preserve">
Sockeye fishery in 2012 in area 78D2 only this is half of June because the fishery starts June 16 and the new return season starts July 1.  Since the June value above is for the whole river--divided by 4 to represent only one are of the river open.</t>
        </r>
      </text>
    </comment>
    <comment ref="E16" authorId="1" shapeId="0" xr:uid="{00000000-0006-0000-0100-00000C000000}">
      <text>
        <r>
          <rPr>
            <b/>
            <sz val="9"/>
            <color indexed="81"/>
            <rFont val="Tahoma"/>
            <family val="2"/>
          </rPr>
          <t>rbernard:</t>
        </r>
        <r>
          <rPr>
            <sz val="9"/>
            <color indexed="81"/>
            <rFont val="Tahoma"/>
            <family val="2"/>
          </rPr>
          <t xml:space="preserve">
Sockeye fishery in 2012 in area 78D2 only this is half of June because the fishery starts June 16 and the new return season starts July 1.  Since the June value above is for the whole river--divided by 4 to represent only one are of the river open.</t>
        </r>
      </text>
    </comment>
    <comment ref="F16" authorId="1" shapeId="0" xr:uid="{00000000-0006-0000-0100-00000D000000}">
      <text>
        <r>
          <rPr>
            <b/>
            <sz val="9"/>
            <color indexed="81"/>
            <rFont val="Tahoma"/>
            <family val="2"/>
          </rPr>
          <t>rbernard:</t>
        </r>
        <r>
          <rPr>
            <sz val="9"/>
            <color indexed="81"/>
            <rFont val="Tahoma"/>
            <family val="2"/>
          </rPr>
          <t xml:space="preserve">
Sockeye fishery in 2012 in area 78D2 only this is half of June because the fishery starts June 16 and the new return season starts July 1.  Since the June value above is for the whole river--divided by 4 to represent only one are of the river open.</t>
        </r>
      </text>
    </comment>
    <comment ref="G16" authorId="1" shapeId="0" xr:uid="{00000000-0006-0000-0100-00000E000000}">
      <text>
        <r>
          <rPr>
            <b/>
            <sz val="9"/>
            <color indexed="81"/>
            <rFont val="Tahoma"/>
            <family val="2"/>
          </rPr>
          <t>rbernard:</t>
        </r>
        <r>
          <rPr>
            <sz val="9"/>
            <color indexed="81"/>
            <rFont val="Tahoma"/>
            <family val="2"/>
          </rPr>
          <t xml:space="preserve">
Sockeye fishery in 2012 in area 78D2 only this is half of June because the fishery starts June 16 and the new return season starts July 1.  Since the June value above is for the whole river--divided by 4 to represent only one are of the river open.</t>
        </r>
      </text>
    </comment>
    <comment ref="H16" authorId="1" shapeId="0" xr:uid="{00000000-0006-0000-0100-00000F000000}">
      <text>
        <r>
          <rPr>
            <b/>
            <sz val="9"/>
            <color indexed="81"/>
            <rFont val="Tahoma"/>
            <family val="2"/>
          </rPr>
          <t>rbernard:</t>
        </r>
        <r>
          <rPr>
            <sz val="9"/>
            <color indexed="81"/>
            <rFont val="Tahoma"/>
            <family val="2"/>
          </rPr>
          <t xml:space="preserve">
Sockeye fishery in 2012 in area 78D2 only this is half of June because the fishery starts June 16 and the new return season starts July 1.  Since the June value above is for the whole river--divided by 4 to represent only one are of the river open.</t>
        </r>
      </text>
    </comment>
    <comment ref="I16" authorId="1" shapeId="0" xr:uid="{00000000-0006-0000-0100-000010000000}">
      <text>
        <r>
          <rPr>
            <b/>
            <sz val="9"/>
            <color indexed="81"/>
            <rFont val="Tahoma"/>
            <family val="2"/>
          </rPr>
          <t>rbernard:</t>
        </r>
        <r>
          <rPr>
            <sz val="9"/>
            <color indexed="81"/>
            <rFont val="Tahoma"/>
            <family val="2"/>
          </rPr>
          <t xml:space="preserve">
Sockeye fishery in 2012 in area 78D2 only this is half of June because the fishery starts June 16 and the new return season starts July 1.  Since the June value above is for the whole river--divided by 4 to represent only one are of the river open.</t>
        </r>
      </text>
    </comment>
    <comment ref="J16" authorId="1" shapeId="0" xr:uid="{00000000-0006-0000-0100-000011000000}">
      <text>
        <r>
          <rPr>
            <b/>
            <sz val="9"/>
            <color indexed="81"/>
            <rFont val="Tahoma"/>
            <family val="2"/>
          </rPr>
          <t>rbernard:</t>
        </r>
        <r>
          <rPr>
            <sz val="9"/>
            <color indexed="81"/>
            <rFont val="Tahoma"/>
            <family val="2"/>
          </rPr>
          <t xml:space="preserve">
Sockeye fishery in 2012 in area 78D2 only this is half of June because the fishery starts June 16 and the new return season starts July 1.  Since the June value above is for the whole river--divided by 4 to represent only one are of the river open.</t>
        </r>
      </text>
    </comment>
    <comment ref="K16" authorId="1" shapeId="0" xr:uid="{00000000-0006-0000-0100-000012000000}">
      <text>
        <r>
          <rPr>
            <b/>
            <sz val="9"/>
            <color indexed="81"/>
            <rFont val="Tahoma"/>
            <family val="2"/>
          </rPr>
          <t>rbernard:</t>
        </r>
        <r>
          <rPr>
            <sz val="9"/>
            <color indexed="81"/>
            <rFont val="Tahoma"/>
            <family val="2"/>
          </rPr>
          <t xml:space="preserve">
Sockeye fishery in 2012 in area 78D2 only this is half of June because the fishery starts June 16 and the new return season starts July 1.  Since the June value above is for the whole river--divided by 4 to represent only one are of the river open.</t>
        </r>
      </text>
    </comment>
    <comment ref="L16" authorId="1" shapeId="0" xr:uid="{00000000-0006-0000-0100-000013000000}">
      <text>
        <r>
          <rPr>
            <b/>
            <sz val="9"/>
            <color indexed="81"/>
            <rFont val="Tahoma"/>
            <family val="2"/>
          </rPr>
          <t>rbernard:</t>
        </r>
        <r>
          <rPr>
            <sz val="9"/>
            <color indexed="81"/>
            <rFont val="Tahoma"/>
            <family val="2"/>
          </rPr>
          <t xml:space="preserve">
Sockeye fishery in 2012 in area 78D2 only this is half of June because the fishery starts June 16 and the new return season starts July 1.  Since the June value above is for the whole river--divided by 4 to represent only one are of the river open.</t>
        </r>
      </text>
    </comment>
    <comment ref="M16" authorId="1" shapeId="0" xr:uid="{00000000-0006-0000-0100-000014000000}">
      <text>
        <r>
          <rPr>
            <b/>
            <sz val="9"/>
            <color indexed="81"/>
            <rFont val="Tahoma"/>
            <family val="2"/>
          </rPr>
          <t>rbernard:</t>
        </r>
        <r>
          <rPr>
            <sz val="9"/>
            <color indexed="81"/>
            <rFont val="Tahoma"/>
            <family val="2"/>
          </rPr>
          <t xml:space="preserve">
Sockeye fishery in 2012 in area 78D2 only this is half of June because the fishery starts June 16 and the new return season starts July 1.  Since the June value above is for the whole river--divided by 4 to represent only one are of the river open.</t>
        </r>
      </text>
    </comment>
    <comment ref="E19" authorId="1" shapeId="0" xr:uid="{00000000-0006-0000-0100-000015000000}">
      <text>
        <r>
          <rPr>
            <b/>
            <sz val="9"/>
            <color indexed="81"/>
            <rFont val="Tahoma"/>
            <family val="2"/>
          </rPr>
          <t>rbernard:</t>
        </r>
        <r>
          <rPr>
            <sz val="9"/>
            <color indexed="81"/>
            <rFont val="Tahoma"/>
            <family val="2"/>
          </rPr>
          <t xml:space="preserve">
no escapement estimate</t>
        </r>
      </text>
    </comment>
    <comment ref="F19" authorId="1" shapeId="0" xr:uid="{00000000-0006-0000-0100-000016000000}">
      <text>
        <r>
          <rPr>
            <b/>
            <sz val="9"/>
            <color indexed="81"/>
            <rFont val="Tahoma"/>
            <family val="2"/>
          </rPr>
          <t>rbernard:</t>
        </r>
        <r>
          <rPr>
            <sz val="9"/>
            <color indexed="81"/>
            <rFont val="Tahoma"/>
            <family val="2"/>
          </rPr>
          <t xml:space="preserve">
no escapement estimate</t>
        </r>
      </text>
    </comment>
    <comment ref="E20" authorId="1" shapeId="0" xr:uid="{00000000-0006-0000-0100-000017000000}">
      <text>
        <r>
          <rPr>
            <b/>
            <sz val="9"/>
            <color indexed="81"/>
            <rFont val="Tahoma"/>
            <family val="2"/>
          </rPr>
          <t>rbernard:</t>
        </r>
        <r>
          <rPr>
            <sz val="9"/>
            <color indexed="81"/>
            <rFont val="Tahoma"/>
            <family val="2"/>
          </rPr>
          <t xml:space="preserve">
no escapement estimate</t>
        </r>
      </text>
    </comment>
    <comment ref="F20" authorId="1" shapeId="0" xr:uid="{00000000-0006-0000-0100-000018000000}">
      <text>
        <r>
          <rPr>
            <b/>
            <sz val="9"/>
            <color indexed="81"/>
            <rFont val="Tahoma"/>
            <family val="2"/>
          </rPr>
          <t>rbernard:</t>
        </r>
        <r>
          <rPr>
            <sz val="9"/>
            <color indexed="81"/>
            <rFont val="Tahoma"/>
            <family val="2"/>
          </rPr>
          <t xml:space="preserve">
no escapement estimate</t>
        </r>
      </text>
    </comment>
    <comment ref="E21" authorId="1" shapeId="0" xr:uid="{00000000-0006-0000-0100-000019000000}">
      <text>
        <r>
          <rPr>
            <b/>
            <sz val="9"/>
            <color indexed="81"/>
            <rFont val="Tahoma"/>
            <family val="2"/>
          </rPr>
          <t>rbernard:</t>
        </r>
        <r>
          <rPr>
            <sz val="9"/>
            <color indexed="81"/>
            <rFont val="Tahoma"/>
            <family val="2"/>
          </rPr>
          <t xml:space="preserve">
no escapement estimate</t>
        </r>
      </text>
    </comment>
    <comment ref="F21" authorId="1" shapeId="0" xr:uid="{00000000-0006-0000-0100-00001A000000}">
      <text>
        <r>
          <rPr>
            <b/>
            <sz val="9"/>
            <color indexed="81"/>
            <rFont val="Tahoma"/>
            <family val="2"/>
          </rPr>
          <t>rbernard:</t>
        </r>
        <r>
          <rPr>
            <sz val="9"/>
            <color indexed="81"/>
            <rFont val="Tahoma"/>
            <family val="2"/>
          </rPr>
          <t xml:space="preserve">
no escapement estimate</t>
        </r>
      </text>
    </comment>
    <comment ref="AW21" authorId="2" shapeId="0" xr:uid="{29ADB7FC-E9ED-4F24-B818-C2058472A04E}">
      <text>
        <r>
          <rPr>
            <b/>
            <sz val="9"/>
            <color indexed="81"/>
            <rFont val="Tahoma"/>
            <family val="2"/>
          </rPr>
          <t>A.Fowler:</t>
        </r>
        <r>
          <rPr>
            <sz val="9"/>
            <color indexed="81"/>
            <rFont val="Tahoma"/>
            <family val="2"/>
          </rPr>
          <t xml:space="preserve">
12/8/21 WDFW update when creel values ready. </t>
        </r>
      </text>
    </comment>
    <comment ref="AX23" authorId="0" shapeId="0" xr:uid="{BBB45FC6-5019-4FBA-AB72-E60B4E045246}">
      <text>
        <r>
          <rPr>
            <b/>
            <sz val="11"/>
            <color indexed="81"/>
            <rFont val="Tahoma"/>
            <family val="2"/>
          </rPr>
          <t>WDFW:</t>
        </r>
        <r>
          <rPr>
            <sz val="11"/>
            <color indexed="81"/>
            <rFont val="Tahoma"/>
            <family val="2"/>
          </rPr>
          <t xml:space="preserve">
11/14/22,AF: table updated. </t>
        </r>
      </text>
    </comment>
    <comment ref="F26" authorId="3" shapeId="0" xr:uid="{421DD6FB-F412-4A3D-99BF-A9D83B3B26A1}">
      <text>
        <r>
          <rPr>
            <b/>
            <sz val="9"/>
            <color indexed="81"/>
            <rFont val="Tahoma"/>
            <family val="2"/>
          </rPr>
          <t xml:space="preserve">WDFW
11/30/23,Fowler,A: use this value when January gamefish is not monitored. Use value in "Basin Hooking mort rate June 1 - Dec31" when January gamefish is monitored. </t>
        </r>
      </text>
    </comment>
    <comment ref="AK29" authorId="4" shapeId="0" xr:uid="{00000000-0006-0000-0100-000001000000}">
      <text>
        <r>
          <rPr>
            <b/>
            <sz val="9"/>
            <color indexed="81"/>
            <rFont val="Tahoma"/>
            <family val="2"/>
          </rPr>
          <t>Pete Kairis:</t>
        </r>
        <r>
          <rPr>
            <sz val="9"/>
            <color indexed="81"/>
            <rFont val="Tahoma"/>
            <family val="2"/>
          </rPr>
          <t xml:space="preserve">
Rebecca used 24, which is the average of the previous 4 years.</t>
        </r>
      </text>
    </comment>
    <comment ref="AN29" authorId="4" shapeId="0" xr:uid="{00000000-0006-0000-0100-000002000000}">
      <text>
        <r>
          <rPr>
            <b/>
            <sz val="9"/>
            <color indexed="81"/>
            <rFont val="Tahoma"/>
            <family val="2"/>
          </rPr>
          <t>Pete Kairis:</t>
        </r>
        <r>
          <rPr>
            <sz val="9"/>
            <color indexed="81"/>
            <rFont val="Tahoma"/>
            <family val="2"/>
          </rPr>
          <t xml:space="preserve">
Only using catch through June 30th, since July 1 on is the next wild sthd mgmt year.</t>
        </r>
      </text>
    </comment>
    <comment ref="AO29" authorId="4" shapeId="0" xr:uid="{00000000-0006-0000-0100-000003000000}">
      <text>
        <r>
          <rPr>
            <b/>
            <sz val="9"/>
            <color indexed="81"/>
            <rFont val="Tahoma"/>
            <family val="2"/>
          </rPr>
          <t>Pete Kairis:</t>
        </r>
        <r>
          <rPr>
            <sz val="9"/>
            <color indexed="81"/>
            <rFont val="Tahoma"/>
            <family val="2"/>
          </rPr>
          <t xml:space="preserve">
Using average HR over last 5 years, since no creel</t>
        </r>
      </text>
    </comment>
    <comment ref="AP29" authorId="4" shapeId="0" xr:uid="{00000000-0006-0000-0100-000004000000}">
      <text>
        <r>
          <rPr>
            <b/>
            <sz val="9"/>
            <color indexed="81"/>
            <rFont val="Tahoma"/>
            <family val="2"/>
          </rPr>
          <t>Pete Kairis:</t>
        </r>
        <r>
          <rPr>
            <sz val="9"/>
            <color indexed="81"/>
            <rFont val="Tahoma"/>
            <family val="2"/>
          </rPr>
          <t xml:space="preserve">
Using average HR over last 5 years, since no creel</t>
        </r>
      </text>
    </comment>
    <comment ref="AR29" authorId="4" shapeId="0" xr:uid="{00000000-0006-0000-0100-000005000000}">
      <text>
        <r>
          <rPr>
            <b/>
            <sz val="9"/>
            <color indexed="81"/>
            <rFont val="Tahoma"/>
            <family val="2"/>
          </rPr>
          <t>Pete Kairis:</t>
        </r>
        <r>
          <rPr>
            <sz val="9"/>
            <color indexed="81"/>
            <rFont val="Tahoma"/>
            <family val="2"/>
          </rPr>
          <t xml:space="preserve">
Fishery did not start until  June 24th.  Estimate from Brett based on average encounters over the shortened time period from 2010-2012.</t>
        </r>
      </text>
    </comment>
    <comment ref="AX29" authorId="0" shapeId="0" xr:uid="{8FB4C46E-1C49-413A-8C03-C159BA453911}">
      <text>
        <r>
          <rPr>
            <b/>
            <sz val="9"/>
            <color indexed="81"/>
            <rFont val="Tahoma"/>
            <family val="2"/>
          </rPr>
          <t>WDFW:</t>
        </r>
        <r>
          <rPr>
            <sz val="9"/>
            <color indexed="81"/>
            <rFont val="Tahoma"/>
            <family val="2"/>
          </rPr>
          <t xml:space="preserve">
11/23/22,AF:
Fisheries and estimates
1. Cascade H spring Chinook 7/1/21 - 7/15/21: 0
2. Skagit H spring Chinook 7/1/21 - 7/15/21: 0 
3. 4. Cascade H spring Chinook 6/1/22 - 6/30/22: 13.83
5. Skagit H spring Chinook 6/1/22 - 6/30/22: 9.26
</t>
        </r>
      </text>
    </comment>
    <comment ref="AY29" authorId="0" shapeId="0" xr:uid="{621578CA-1A5A-4017-B040-491045DAEC45}">
      <text>
        <r>
          <rPr>
            <b/>
            <sz val="9"/>
            <color indexed="81"/>
            <rFont val="Tahoma"/>
            <family val="2"/>
          </rPr>
          <t>WDFW:</t>
        </r>
        <r>
          <rPr>
            <sz val="9"/>
            <color indexed="81"/>
            <rFont val="Tahoma"/>
            <family val="2"/>
          </rPr>
          <t xml:space="preserve">
11/29/23,AF:
Fisheries and estimates
</t>
        </r>
        <r>
          <rPr>
            <b/>
            <sz val="9"/>
            <color indexed="81"/>
            <rFont val="Tahoma"/>
            <family val="2"/>
          </rPr>
          <t>2022-2023 steelhead run reconstruction</t>
        </r>
        <r>
          <rPr>
            <sz val="9"/>
            <color indexed="81"/>
            <rFont val="Tahoma"/>
            <family val="2"/>
          </rPr>
          <t xml:space="preserve">
1. Cascade H spring Chinook 7/1/22 - 7/15/22: 6
2. Skagit H spring Chinook 7/1/22 - 7/15/22: 0 
3. Cascade H spring Chinook 6/1/23 - 6/30/23: 8 
5. Skagit H spring Chinook 6/1/23 - 6/30/23: 75
</t>
        </r>
        <r>
          <rPr>
            <b/>
            <sz val="9"/>
            <color indexed="81"/>
            <rFont val="Tahoma"/>
            <family val="2"/>
          </rPr>
          <t>2023-2024 steelhead run reconstruction</t>
        </r>
        <r>
          <rPr>
            <sz val="9"/>
            <color indexed="81"/>
            <rFont val="Tahoma"/>
            <family val="2"/>
          </rPr>
          <t xml:space="preserve">
6. Cascade spring Chinook 7/1/23 - 7/15/23: 
7. Skagit H spring Chinook 7/1/23 - 7/15/23: </t>
        </r>
      </text>
    </comment>
    <comment ref="I30" authorId="4" shapeId="0" xr:uid="{00000000-0006-0000-0100-000024000000}">
      <text>
        <r>
          <rPr>
            <b/>
            <sz val="9"/>
            <color indexed="81"/>
            <rFont val="Tahoma"/>
            <family val="2"/>
          </rPr>
          <t>Pete Kairis:</t>
        </r>
        <r>
          <rPr>
            <sz val="9"/>
            <color indexed="81"/>
            <rFont val="Tahoma"/>
            <family val="2"/>
          </rPr>
          <t xml:space="preserve">
without sport release morts</t>
        </r>
      </text>
    </comment>
    <comment ref="AY30" authorId="3" shapeId="0" xr:uid="{9E822828-C6AC-4497-AEE9-7FE7928E0FAE}">
      <text>
        <r>
          <rPr>
            <b/>
            <sz val="9"/>
            <color indexed="81"/>
            <rFont val="Tahoma"/>
            <family val="2"/>
          </rPr>
          <t>Fowler, Andrew M (DFW):</t>
        </r>
        <r>
          <rPr>
            <sz val="9"/>
            <color indexed="81"/>
            <rFont val="Tahoma"/>
            <family val="2"/>
          </rPr>
          <t xml:space="preserve">
Formula = estimated released from SportRelMortAY29 + Estimated wild spawning TerminalRR AD51</t>
        </r>
      </text>
    </comment>
    <comment ref="AF32" authorId="1" shapeId="0" xr:uid="{00000000-0006-0000-0100-000006000000}">
      <text>
        <r>
          <rPr>
            <b/>
            <sz val="9"/>
            <color indexed="81"/>
            <rFont val="Tahoma"/>
            <family val="2"/>
          </rPr>
          <t>rbernard:</t>
        </r>
        <r>
          <rPr>
            <sz val="9"/>
            <color indexed="81"/>
            <rFont val="Tahoma"/>
            <family val="2"/>
          </rPr>
          <t xml:space="preserve">
Brett's assumption</t>
        </r>
      </text>
    </comment>
    <comment ref="AF34" authorId="1" shapeId="0" xr:uid="{00000000-0006-0000-0100-000007000000}">
      <text>
        <r>
          <rPr>
            <b/>
            <sz val="9"/>
            <color indexed="81"/>
            <rFont val="Tahoma"/>
            <family val="2"/>
          </rPr>
          <t>rbernard:</t>
        </r>
        <r>
          <rPr>
            <sz val="9"/>
            <color indexed="81"/>
            <rFont val="Tahoma"/>
            <family val="2"/>
          </rPr>
          <t xml:space="preserve">
0.0661 is the average repeat spawner return rate for brood years 1998-2004--see 2010-2011 steelhead forecast file, tab "WildAgeByBrood" cell DH120</t>
        </r>
      </text>
    </comment>
    <comment ref="AY34" authorId="3" shapeId="0" xr:uid="{BCF72F43-D8E0-44D5-9FA9-37210CED9340}">
      <text>
        <r>
          <rPr>
            <b/>
            <sz val="9"/>
            <color indexed="81"/>
            <rFont val="Tahoma"/>
            <family val="2"/>
          </rPr>
          <t>Fowler, Andrew M (DFW):</t>
        </r>
        <r>
          <rPr>
            <sz val="9"/>
            <color indexed="81"/>
            <rFont val="Tahoma"/>
            <family val="2"/>
          </rPr>
          <t xml:space="preserve">
Adjusted kelt mortality  = estimated kelts x kelt adjustement factor calculated in Treaty Catch spreadsheet x hook release mortality rate</t>
        </r>
      </text>
    </comment>
    <comment ref="AY35" authorId="3" shapeId="0" xr:uid="{B9C01A69-030F-48BA-BFE8-04B466758294}">
      <text>
        <r>
          <rPr>
            <b/>
            <sz val="9"/>
            <color indexed="81"/>
            <rFont val="Tahoma"/>
            <family val="2"/>
          </rPr>
          <t>Fowler, Andrew M (DFW):</t>
        </r>
        <r>
          <rPr>
            <sz val="9"/>
            <color indexed="81"/>
            <rFont val="Tahoma"/>
            <family val="2"/>
          </rPr>
          <t xml:space="preserve">
=estimated prespawn steelhead encountered x hook release mortality rate. </t>
        </r>
      </text>
    </comment>
    <comment ref="AY36" authorId="3" shapeId="0" xr:uid="{1F0B2A28-7203-4DAC-8CAC-36E625396D45}">
      <text>
        <r>
          <rPr>
            <b/>
            <sz val="9"/>
            <color indexed="81"/>
            <rFont val="Tahoma"/>
            <family val="2"/>
          </rPr>
          <t>Fowler, Andrew M (DFW):</t>
        </r>
        <r>
          <rPr>
            <sz val="9"/>
            <color indexed="81"/>
            <rFont val="Tahoma"/>
            <family val="2"/>
          </rPr>
          <t xml:space="preserve">
=adjusted kelt mortality + prespawn mortality. </t>
        </r>
      </text>
    </comment>
    <comment ref="AY37" authorId="3" shapeId="0" xr:uid="{84D39288-231C-4A4D-8308-62ADB67F008E}">
      <text>
        <r>
          <rPr>
            <b/>
            <sz val="9"/>
            <color indexed="81"/>
            <rFont val="Tahoma"/>
            <family val="2"/>
          </rPr>
          <t xml:space="preserve">Fowler, Andrew M (DFW):
</t>
        </r>
        <r>
          <rPr>
            <sz val="9"/>
            <color indexed="81"/>
            <rFont val="Tahoma"/>
            <family val="2"/>
          </rPr>
          <t xml:space="preserve">Kelt adjusted harvest rate for this fishery. </t>
        </r>
      </text>
    </comment>
    <comment ref="BA37" authorId="4" shapeId="0" xr:uid="{00000000-0006-0000-0100-000008000000}">
      <text>
        <r>
          <rPr>
            <b/>
            <sz val="9"/>
            <color indexed="81"/>
            <rFont val="Tahoma"/>
            <family val="2"/>
          </rPr>
          <t>Pete Kairis:</t>
        </r>
        <r>
          <rPr>
            <sz val="9"/>
            <color indexed="81"/>
            <rFont val="Tahoma"/>
            <family val="2"/>
          </rPr>
          <t xml:space="preserve">
Rebecca's comment: just used last three year average because something changed as far as encounters.</t>
        </r>
      </text>
    </comment>
    <comment ref="B42" authorId="4" shapeId="0" xr:uid="{00000000-0006-0000-0100-000027000000}">
      <text>
        <r>
          <rPr>
            <b/>
            <sz val="9"/>
            <color indexed="81"/>
            <rFont val="Tahoma"/>
            <family val="2"/>
          </rPr>
          <t>Pete Kairis:</t>
        </r>
        <r>
          <rPr>
            <sz val="9"/>
            <color indexed="81"/>
            <rFont val="Tahoma"/>
            <family val="2"/>
          </rPr>
          <t xml:space="preserve">
Added by Brett Barkdull 12-1-2014 to estimate an increase in hatchery retention limit from 2 to 3 in lower Cascade.</t>
        </r>
      </text>
    </comment>
    <comment ref="AX43" authorId="0" shapeId="0" xr:uid="{1980BEBC-BC03-4D23-BA1E-6224D405AC84}">
      <text>
        <r>
          <rPr>
            <b/>
            <sz val="11"/>
            <color indexed="81"/>
            <rFont val="Tahoma"/>
            <family val="2"/>
          </rPr>
          <t>WDFW:</t>
        </r>
        <r>
          <rPr>
            <sz val="11"/>
            <color indexed="81"/>
            <rFont val="Tahoma"/>
            <family val="2"/>
          </rPr>
          <t xml:space="preserve">
June 2021, no river sockeye fishery. 
June 2022, river sockeye fishery.
June 16 - June 30, 2022 open from Mount Vernon to Dalles Bridge
July 01 - July 29, 2022 open from Mount Vernon to Dalles Bridge (this portion to go in 7/1/2022 through 6/30/2023 mangament period report.  
</t>
        </r>
      </text>
    </comment>
    <comment ref="AX44" authorId="0" shapeId="0" xr:uid="{BC1FE752-2BF9-4964-AE53-C95C57E77C5F}">
      <text>
        <r>
          <rPr>
            <b/>
            <sz val="11"/>
            <color indexed="81"/>
            <rFont val="Tahoma"/>
            <family val="2"/>
          </rPr>
          <t>WDFW:
11/14/22,AF: Complete</t>
        </r>
      </text>
    </comment>
    <comment ref="AX45" authorId="0" shapeId="0" xr:uid="{9CB7B712-5804-495B-B67C-7EA649C4C3D3}">
      <text>
        <r>
          <rPr>
            <b/>
            <sz val="11"/>
            <color indexed="81"/>
            <rFont val="Tahoma"/>
            <family val="2"/>
          </rPr>
          <t>WDFW:</t>
        </r>
        <r>
          <rPr>
            <sz val="11"/>
            <color indexed="81"/>
            <rFont val="Tahoma"/>
            <family val="2"/>
          </rPr>
          <t xml:space="preserve">
11/14/22,AF: table updated. </t>
        </r>
      </text>
    </comment>
    <comment ref="AY51" authorId="3" shapeId="0" xr:uid="{60495BD4-4EF7-4FF8-BEAE-3AEB58C3C5B6}">
      <text>
        <r>
          <rPr>
            <b/>
            <sz val="9"/>
            <color indexed="81"/>
            <rFont val="Tahoma"/>
            <family val="2"/>
          </rPr>
          <t>Fowler, Andrew M (DFW):</t>
        </r>
        <r>
          <rPr>
            <sz val="9"/>
            <color indexed="81"/>
            <rFont val="Tahoma"/>
            <family val="2"/>
          </rPr>
          <t xml:space="preserve">
Run year 2022: 7/1/22-7/29/22
</t>
        </r>
      </text>
    </comment>
    <comment ref="AY52" authorId="3" shapeId="0" xr:uid="{199BCCEA-8276-426F-B455-81192B882379}">
      <text>
        <r>
          <rPr>
            <b/>
            <sz val="9"/>
            <color indexed="81"/>
            <rFont val="Tahoma"/>
            <family val="2"/>
          </rPr>
          <t>Fowler, Andrew M (DFW):</t>
        </r>
        <r>
          <rPr>
            <sz val="9"/>
            <color indexed="81"/>
            <rFont val="Tahoma"/>
            <family val="2"/>
          </rPr>
          <t xml:space="preserve">
Run year 2023</t>
        </r>
      </text>
    </comment>
    <comment ref="AN53" authorId="4" shapeId="0" xr:uid="{00000000-0006-0000-0100-00001B000000}">
      <text>
        <r>
          <rPr>
            <b/>
            <sz val="9"/>
            <color indexed="81"/>
            <rFont val="Tahoma"/>
            <family val="2"/>
          </rPr>
          <t>Pete Kairis:</t>
        </r>
        <r>
          <rPr>
            <sz val="9"/>
            <color indexed="81"/>
            <rFont val="Tahoma"/>
            <family val="2"/>
          </rPr>
          <t xml:space="preserve">
Only includes catch through the end of June.  July 1 begins next management year.</t>
        </r>
      </text>
    </comment>
    <comment ref="AO53" authorId="4" shapeId="0" xr:uid="{00000000-0006-0000-0100-00001C000000}">
      <text>
        <r>
          <rPr>
            <b/>
            <sz val="9"/>
            <color indexed="81"/>
            <rFont val="Tahoma"/>
            <family val="2"/>
          </rPr>
          <t>Pete Kairis:</t>
        </r>
        <r>
          <rPr>
            <sz val="9"/>
            <color indexed="81"/>
            <rFont val="Tahoma"/>
            <family val="2"/>
          </rPr>
          <t xml:space="preserve">
Includes catch July 1-forward during the 2012 sockeye fishery.</t>
        </r>
      </text>
    </comment>
    <comment ref="AP53" authorId="4" shapeId="0" xr:uid="{00000000-0006-0000-0100-00001D000000}">
      <text>
        <r>
          <rPr>
            <b/>
            <sz val="9"/>
            <color indexed="81"/>
            <rFont val="Tahoma"/>
            <family val="2"/>
          </rPr>
          <t>Pete Kairis:</t>
        </r>
        <r>
          <rPr>
            <sz val="9"/>
            <color indexed="81"/>
            <rFont val="Tahoma"/>
            <family val="2"/>
          </rPr>
          <t xml:space="preserve">
Fishery did not extend into July</t>
        </r>
      </text>
    </comment>
    <comment ref="AQ53" authorId="4" shapeId="0" xr:uid="{00000000-0006-0000-0100-00001E000000}">
      <text>
        <r>
          <rPr>
            <b/>
            <sz val="9"/>
            <color indexed="81"/>
            <rFont val="Tahoma"/>
            <family val="2"/>
          </rPr>
          <t>Pete Kairis:</t>
        </r>
        <r>
          <rPr>
            <sz val="9"/>
            <color indexed="81"/>
            <rFont val="Tahoma"/>
            <family val="2"/>
          </rPr>
          <t xml:space="preserve">
through end of June</t>
        </r>
      </text>
    </comment>
    <comment ref="AR53" authorId="4" shapeId="0" xr:uid="{00000000-0006-0000-0100-00001F000000}">
      <text>
        <r>
          <rPr>
            <b/>
            <sz val="9"/>
            <color indexed="81"/>
            <rFont val="Tahoma"/>
            <family val="2"/>
          </rPr>
          <t>Pete Kairis:</t>
        </r>
        <r>
          <rPr>
            <sz val="9"/>
            <color indexed="81"/>
            <rFont val="Tahoma"/>
            <family val="2"/>
          </rPr>
          <t xml:space="preserve">
Through end of June, but includes 5 caught in the 2015 fishery during July</t>
        </r>
      </text>
    </comment>
    <comment ref="AS53" authorId="4" shapeId="0" xr:uid="{00000000-0006-0000-0100-000020000000}">
      <text>
        <r>
          <rPr>
            <b/>
            <sz val="9"/>
            <color indexed="81"/>
            <rFont val="Tahoma"/>
            <family val="2"/>
          </rPr>
          <t>Pete Kairis:</t>
        </r>
        <r>
          <rPr>
            <sz val="9"/>
            <color indexed="81"/>
            <rFont val="Tahoma"/>
            <family val="2"/>
          </rPr>
          <t xml:space="preserve">
Through end of June 2017, (none in July of 2016)</t>
        </r>
      </text>
    </comment>
    <comment ref="AT53" authorId="4" shapeId="0" xr:uid="{7D877A4D-831B-4CE4-828E-630A7AC2E55A}">
      <text>
        <r>
          <rPr>
            <b/>
            <sz val="9"/>
            <color indexed="81"/>
            <rFont val="Tahoma"/>
            <family val="2"/>
          </rPr>
          <t>Pete Kairis:</t>
        </r>
        <r>
          <rPr>
            <sz val="9"/>
            <color indexed="81"/>
            <rFont val="Tahoma"/>
            <family val="2"/>
          </rPr>
          <t xml:space="preserve">
Through end of June 2018, (none in July of 2017)</t>
        </r>
      </text>
    </comment>
    <comment ref="AU53" authorId="4" shapeId="0" xr:uid="{726EBDD7-1339-488D-B651-A8E81A03AB1F}">
      <text>
        <r>
          <rPr>
            <b/>
            <sz val="9"/>
            <color indexed="81"/>
            <rFont val="Tahoma"/>
            <family val="2"/>
          </rPr>
          <t>Pete Kairis:</t>
        </r>
        <r>
          <rPr>
            <sz val="9"/>
            <color indexed="81"/>
            <rFont val="Tahoma"/>
            <family val="2"/>
          </rPr>
          <t xml:space="preserve">
July 2018 through June 2019.  5 caught in 2018 and 6.1 in 2019 in this time frame.</t>
        </r>
      </text>
    </comment>
    <comment ref="AV53" authorId="4" shapeId="0" xr:uid="{5C6D8345-2408-4E71-AF7B-1838BE884BF4}">
      <text>
        <r>
          <rPr>
            <b/>
            <sz val="9"/>
            <color indexed="81"/>
            <rFont val="Tahoma"/>
            <family val="2"/>
          </rPr>
          <t xml:space="preserve">Pete Kairis:
</t>
        </r>
        <r>
          <rPr>
            <sz val="9"/>
            <color indexed="81"/>
            <rFont val="Tahoma"/>
            <family val="2"/>
          </rPr>
          <t>4.3 caught in July 2019 fishery after transition ti 2019-20 W Sthd Mgmt period.  None in 2020 because no fishery.</t>
        </r>
      </text>
    </comment>
    <comment ref="AX53" authorId="0" shapeId="0" xr:uid="{18867398-6041-44A7-986B-93CF9CA98C60}">
      <text>
        <r>
          <rPr>
            <b/>
            <sz val="9"/>
            <color indexed="81"/>
            <rFont val="Tahoma"/>
            <family val="2"/>
          </rPr>
          <t>WDFW:</t>
        </r>
        <r>
          <rPr>
            <sz val="9"/>
            <color indexed="81"/>
            <rFont val="Tahoma"/>
            <family val="2"/>
          </rPr>
          <t xml:space="preserve">
11/23/22,AF: 
Fishery and estimates
Sockeye 6/16/22 - 6/30/22: 3.01
</t>
        </r>
      </text>
    </comment>
    <comment ref="AQ54" authorId="4" shapeId="0" xr:uid="{00000000-0006-0000-0100-000021000000}">
      <text>
        <r>
          <rPr>
            <b/>
            <sz val="9"/>
            <color indexed="81"/>
            <rFont val="Tahoma"/>
            <family val="2"/>
          </rPr>
          <t>Pete Kairis:</t>
        </r>
        <r>
          <rPr>
            <sz val="9"/>
            <color indexed="81"/>
            <rFont val="Tahoma"/>
            <family val="2"/>
          </rPr>
          <t xml:space="preserve">
through end of June</t>
        </r>
      </text>
    </comment>
    <comment ref="AR54" authorId="4" shapeId="0" xr:uid="{00000000-0006-0000-0100-000022000000}">
      <text>
        <r>
          <rPr>
            <b/>
            <sz val="9"/>
            <color indexed="81"/>
            <rFont val="Tahoma"/>
            <family val="2"/>
          </rPr>
          <t>Pete Kairis:</t>
        </r>
        <r>
          <rPr>
            <sz val="9"/>
            <color indexed="81"/>
            <rFont val="Tahoma"/>
            <family val="2"/>
          </rPr>
          <t xml:space="preserve">
Through end of June, but includes 1.4 caught in the 2015 fishery during July</t>
        </r>
      </text>
    </comment>
    <comment ref="AS54" authorId="4" shapeId="0" xr:uid="{00000000-0006-0000-0100-000023000000}">
      <text>
        <r>
          <rPr>
            <b/>
            <sz val="9"/>
            <color indexed="81"/>
            <rFont val="Tahoma"/>
            <family val="2"/>
          </rPr>
          <t>Pete Kairis:</t>
        </r>
        <r>
          <rPr>
            <sz val="9"/>
            <color indexed="81"/>
            <rFont val="Tahoma"/>
            <family val="2"/>
          </rPr>
          <t xml:space="preserve">
Through end of June.  None caught in 2017, but 5.2 in July of 2016.</t>
        </r>
      </text>
    </comment>
    <comment ref="AT54" authorId="4" shapeId="0" xr:uid="{C972B603-6627-408A-835F-A4D4B1673F35}">
      <text>
        <r>
          <rPr>
            <b/>
            <sz val="9"/>
            <color indexed="81"/>
            <rFont val="Tahoma"/>
            <family val="2"/>
          </rPr>
          <t>Pete Kairis:</t>
        </r>
        <r>
          <rPr>
            <sz val="9"/>
            <color indexed="81"/>
            <rFont val="Tahoma"/>
            <family val="2"/>
          </rPr>
          <t xml:space="preserve">
Through end of June 2018, (none in July of 2017)</t>
        </r>
      </text>
    </comment>
    <comment ref="AF57" authorId="1" shapeId="0" xr:uid="{FEC60F04-0092-403C-92CC-9EBFF1C7703A}">
      <text>
        <r>
          <rPr>
            <b/>
            <sz val="9"/>
            <color indexed="81"/>
            <rFont val="Tahoma"/>
            <family val="2"/>
          </rPr>
          <t>rbernard:</t>
        </r>
        <r>
          <rPr>
            <sz val="9"/>
            <color indexed="81"/>
            <rFont val="Tahoma"/>
            <family val="2"/>
          </rPr>
          <t xml:space="preserve">
Brett's assumption</t>
        </r>
      </text>
    </comment>
    <comment ref="AF59" authorId="1" shapeId="0" xr:uid="{21C99AE9-C7DE-4043-AB54-A7FED7FFD721}">
      <text>
        <r>
          <rPr>
            <sz val="9"/>
            <color indexed="81"/>
            <rFont val="Tahoma"/>
            <family val="2"/>
          </rPr>
          <t>11/30/23,Fowler,A: 
Formula for release mortality of adjusted kelts =
(Estimated kelts*kelt adjustement factor)*(hook release mortality rate)</t>
        </r>
        <r>
          <rPr>
            <b/>
            <sz val="9"/>
            <color indexed="81"/>
            <rFont val="Tahoma"/>
            <family val="2"/>
          </rPr>
          <t xml:space="preserve">
rbernard:</t>
        </r>
        <r>
          <rPr>
            <sz val="9"/>
            <color indexed="81"/>
            <rFont val="Tahoma"/>
            <family val="2"/>
          </rPr>
          <t xml:space="preserve">
0.0661 is the average repeat spawner return rate for brood years 1998-2004--see 2010-2011 steelhead forecast file, tab "WildAgeByBrood" cell DH120</t>
        </r>
      </text>
    </comment>
    <comment ref="AY59" authorId="3" shapeId="0" xr:uid="{BD4B16D9-D455-48CC-90E6-DA73977B2519}">
      <text>
        <r>
          <rPr>
            <b/>
            <sz val="9"/>
            <color indexed="81"/>
            <rFont val="Tahoma"/>
            <family val="2"/>
          </rPr>
          <t>Fowler, Andrew M (DFW):</t>
        </r>
        <r>
          <rPr>
            <sz val="9"/>
            <color indexed="81"/>
            <rFont val="Tahoma"/>
            <family val="2"/>
          </rPr>
          <t xml:space="preserve">
Adjusted kelt mortality  = estimated kelts x kelt adjustement factor calculated in Treaty Catch spreadsheet x hook release mortality rate</t>
        </r>
      </text>
    </comment>
    <comment ref="AF60" authorId="3" shapeId="0" xr:uid="{D3987731-029A-447D-83AC-70F357AABAE8}">
      <text>
        <r>
          <rPr>
            <b/>
            <sz val="9"/>
            <color indexed="81"/>
            <rFont val="Tahoma"/>
            <family val="2"/>
          </rPr>
          <t>Fowler, Andrew M (DFW):</t>
        </r>
        <r>
          <rPr>
            <sz val="9"/>
            <color indexed="81"/>
            <rFont val="Tahoma"/>
            <family val="2"/>
          </rPr>
          <t xml:space="preserve">
From hook release mortality</t>
        </r>
      </text>
    </comment>
    <comment ref="AY60" authorId="3" shapeId="0" xr:uid="{429783A0-4791-421C-AA12-8090BF412CAA}">
      <text>
        <r>
          <rPr>
            <b/>
            <sz val="9"/>
            <color indexed="81"/>
            <rFont val="Tahoma"/>
            <family val="2"/>
          </rPr>
          <t>Fowler, Andrew M (DFW):</t>
        </r>
        <r>
          <rPr>
            <sz val="9"/>
            <color indexed="81"/>
            <rFont val="Tahoma"/>
            <family val="2"/>
          </rPr>
          <t xml:space="preserve">
=estimated prespawn steelhead encountered x hook release mortality rate. </t>
        </r>
      </text>
    </comment>
    <comment ref="J62" authorId="3" shapeId="0" xr:uid="{D3D76C21-4099-41E4-BD54-C23FD5064D7E}">
      <text>
        <r>
          <rPr>
            <b/>
            <sz val="9"/>
            <color indexed="81"/>
            <rFont val="Tahoma"/>
            <family val="2"/>
          </rPr>
          <t xml:space="preserve">WDFW
</t>
        </r>
        <r>
          <rPr>
            <sz val="9"/>
            <color indexed="81"/>
            <rFont val="Tahoma"/>
            <family val="2"/>
          </rPr>
          <t>11/30/23,Fowler,A:</t>
        </r>
        <r>
          <rPr>
            <sz val="9"/>
            <color indexed="81"/>
            <rFont val="Tahoma"/>
            <family val="2"/>
          </rPr>
          <t xml:space="preserve">
Formula adjusted for 7/1/22 - 6/30/23 steelhead management period. 
Rather than using the standard basin hooking mortality rate for June through February, the rate was adjusted because known higher intensity areas were monitored during December 2022 and January 2023. To adjust the rate (normal rate is 0.267% and originates from the sum of average encounters per month), December and January were removed from the sum, so the rate for June-November was .037% and was applied to the TRS. The total number of wild morts was calculated by summing the expected wild steelhead morts from estimated encounters during monitored gamefish with the June through November expected morts for unmonitored gamefish.  
Here are the estimated morts from each method. 
Normal method (Jun-Feb hook mort rate x TRS) = 12.19274
Adjusted method for 2022-2023 Skagit steelhead management period (SSMP) ((Jun-Nov hook mort rate x TRS)+(Dec-Jan hook morts) = 14.8
</t>
        </r>
      </text>
    </comment>
    <comment ref="AF68" authorId="0" shapeId="0" xr:uid="{CDABBE66-48C5-4BD5-AA11-D288ED807AC8}">
      <text>
        <r>
          <rPr>
            <b/>
            <sz val="9"/>
            <color indexed="81"/>
            <rFont val="Tahoma"/>
            <family val="2"/>
          </rPr>
          <t>WDFW:</t>
        </r>
        <r>
          <rPr>
            <sz val="9"/>
            <color indexed="81"/>
            <rFont val="Tahoma"/>
            <family val="2"/>
          </rPr>
          <t xml:space="preserve">
11/22/22, AF. New table beginning 2022. Historically, fall salmon fisheries were not monitored for incidental steelhead encounters. Full creel occurred during the 2022 season (September 1, 2021 - December 31, 2021). This table was built to add incidental steelhead encounters and resulting impacts into the terminal runsize estimate and annual steelhead harvest rate estimate. </t>
        </r>
      </text>
    </comment>
    <comment ref="AX69" authorId="0" shapeId="0" xr:uid="{B65578E1-2BB5-43AC-8CB6-9787D51137A9}">
      <text>
        <r>
          <rPr>
            <b/>
            <sz val="9"/>
            <color indexed="81"/>
            <rFont val="Tahoma"/>
            <family val="2"/>
          </rPr>
          <t>WDFW:</t>
        </r>
        <r>
          <rPr>
            <sz val="9"/>
            <color indexed="81"/>
            <rFont val="Tahoma"/>
            <family val="2"/>
          </rPr>
          <t xml:space="preserve">
Wild steelhead management period: July 1, 2021 - June 30, 2022</t>
        </r>
      </text>
    </comment>
    <comment ref="AT70" authorId="0" shapeId="0" xr:uid="{D170C80F-2C4D-4AB5-A100-270B71A5114F}">
      <text>
        <r>
          <rPr>
            <b/>
            <sz val="9"/>
            <color indexed="81"/>
            <rFont val="Tahoma"/>
            <family val="2"/>
          </rPr>
          <t>WDFW:</t>
        </r>
        <r>
          <rPr>
            <sz val="9"/>
            <color indexed="81"/>
            <rFont val="Tahoma"/>
            <family val="2"/>
          </rPr>
          <t xml:space="preserve">
Short season. </t>
        </r>
      </text>
    </comment>
    <comment ref="AX70" authorId="0" shapeId="0" xr:uid="{A1F227FE-8014-4ACB-A00A-D46D2F08D55F}">
      <text>
        <r>
          <rPr>
            <b/>
            <sz val="9"/>
            <color indexed="81"/>
            <rFont val="Tahoma"/>
            <family val="2"/>
          </rPr>
          <t>WDFW:</t>
        </r>
        <r>
          <rPr>
            <sz val="9"/>
            <color indexed="81"/>
            <rFont val="Tahoma"/>
            <family val="2"/>
          </rPr>
          <t xml:space="preserve">
11/23/22, AF: updated. </t>
        </r>
      </text>
    </comment>
    <comment ref="AF80" authorId="1" shapeId="0" xr:uid="{6B67D27B-2B8A-49B9-9240-7F5951D9D549}">
      <text>
        <r>
          <rPr>
            <b/>
            <sz val="9"/>
            <color indexed="81"/>
            <rFont val="Tahoma"/>
            <family val="2"/>
          </rPr>
          <t>rbernard:</t>
        </r>
        <r>
          <rPr>
            <sz val="9"/>
            <color indexed="81"/>
            <rFont val="Tahoma"/>
            <family val="2"/>
          </rPr>
          <t xml:space="preserve">
Brett's assumption</t>
        </r>
      </text>
    </comment>
    <comment ref="AF82" authorId="1" shapeId="0" xr:uid="{2078644D-ACB9-4D1E-9A97-43CADDB88ED4}">
      <text>
        <r>
          <rPr>
            <b/>
            <sz val="9"/>
            <color indexed="81"/>
            <rFont val="Tahoma"/>
            <family val="2"/>
          </rPr>
          <t>rbernard:</t>
        </r>
        <r>
          <rPr>
            <sz val="9"/>
            <color indexed="81"/>
            <rFont val="Tahoma"/>
            <family val="2"/>
          </rPr>
          <t xml:space="preserve">
0.0661 is the average repeat spawner return rate for brood years 1998-2004--see 2010-2011 steelhead forecast file, tab "WildAgeByBrood" cell DH120</t>
        </r>
      </text>
    </comment>
    <comment ref="AY97" authorId="3" shapeId="0" xr:uid="{D42CBC61-BE65-4153-AFA9-67EE633A7616}">
      <text>
        <r>
          <rPr>
            <b/>
            <sz val="9"/>
            <color indexed="81"/>
            <rFont val="Tahoma"/>
            <family val="2"/>
          </rPr>
          <t>Fowler, Andrew M (DFW):</t>
        </r>
        <r>
          <rPr>
            <sz val="9"/>
            <color indexed="81"/>
            <rFont val="Tahoma"/>
            <family val="2"/>
          </rPr>
          <t xml:space="preserve">
This is summed in the Basin Estimates during Non Salmon Fisheries Table beginning on i29 in this tab. </t>
        </r>
      </text>
    </comment>
    <comment ref="AT105" authorId="0" shapeId="0" xr:uid="{61BE4E86-4B4A-48B3-B029-F1C23D24C8F3}">
      <text>
        <r>
          <rPr>
            <b/>
            <sz val="9"/>
            <color indexed="81"/>
            <rFont val="Tahoma"/>
            <family val="2"/>
          </rPr>
          <t>WDFW:</t>
        </r>
        <r>
          <rPr>
            <sz val="9"/>
            <color indexed="81"/>
            <rFont val="Tahoma"/>
            <family val="2"/>
          </rPr>
          <t xml:space="preserve">
Short season. </t>
        </r>
      </text>
    </comment>
    <comment ref="AU106" authorId="4" shapeId="0" xr:uid="{D5B45B87-B89E-4D85-AEF6-09BDD3F7FC4A}">
      <text>
        <r>
          <rPr>
            <b/>
            <sz val="9"/>
            <color indexed="81"/>
            <rFont val="Tahoma"/>
            <family val="2"/>
          </rPr>
          <t>Pete Kairis:</t>
        </r>
        <r>
          <rPr>
            <sz val="9"/>
            <color indexed="81"/>
            <rFont val="Tahoma"/>
            <family val="2"/>
          </rPr>
          <t xml:space="preserve">
1378.3 in last creel spreadsheet I had, but Andrew had 1,127 (assuming correct)</t>
        </r>
      </text>
    </comment>
    <comment ref="AV106" authorId="4" shapeId="0" xr:uid="{804E6C21-3430-4258-88EE-AD2FF759DD10}">
      <text>
        <r>
          <rPr>
            <b/>
            <sz val="9"/>
            <color indexed="81"/>
            <rFont val="Tahoma"/>
            <family val="2"/>
          </rPr>
          <t>Pete Kairis:</t>
        </r>
        <r>
          <rPr>
            <sz val="9"/>
            <color indexed="81"/>
            <rFont val="Tahoma"/>
            <family val="2"/>
          </rPr>
          <t xml:space="preserve">
Low forecast, no sthd fishery this year</t>
        </r>
      </text>
    </comment>
    <comment ref="AX106" authorId="0" shapeId="0" xr:uid="{E4F3514E-A13F-450A-A032-B9E68F68EF60}">
      <text>
        <r>
          <rPr>
            <b/>
            <sz val="11"/>
            <color indexed="81"/>
            <rFont val="Tahoma"/>
            <family val="2"/>
          </rPr>
          <t>WDFW:</t>
        </r>
        <r>
          <rPr>
            <sz val="11"/>
            <color indexed="81"/>
            <rFont val="Tahoma"/>
            <family val="2"/>
          </rPr>
          <t xml:space="preserve">
11/14/22,AF: 2022 forecast less than 4,001; no directed catch and release fishery. </t>
        </r>
      </text>
    </comment>
    <comment ref="AU108" authorId="5" shapeId="0" xr:uid="{541D0EC8-12E8-4BAF-8833-FDBF50D5671A}">
      <text>
        <r>
          <rPr>
            <b/>
            <sz val="9"/>
            <color indexed="81"/>
            <rFont val="Tahoma"/>
            <family val="2"/>
          </rPr>
          <t>Andrew Fowler:</t>
        </r>
        <r>
          <rPr>
            <sz val="9"/>
            <color indexed="81"/>
            <rFont val="Tahoma"/>
            <family val="2"/>
          </rPr>
          <t xml:space="preserve">
3.1</t>
        </r>
      </text>
    </comment>
    <comment ref="AU109" authorId="5" shapeId="0" xr:uid="{B850E99F-B662-4839-894A-AF69E17B6A6D}">
      <text>
        <r>
          <rPr>
            <b/>
            <sz val="9"/>
            <color indexed="81"/>
            <rFont val="Tahoma"/>
            <family val="2"/>
          </rPr>
          <t>Andrew Fowler:</t>
        </r>
        <r>
          <rPr>
            <sz val="9"/>
            <color indexed="81"/>
            <rFont val="Tahoma"/>
            <family val="2"/>
          </rPr>
          <t xml:space="preserve">
2.2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xml:space="preserve"> Rebecca Bernard</author>
    <author>rbernard</author>
    <author>Pete Kairis</author>
  </authors>
  <commentList>
    <comment ref="B3" authorId="0" shapeId="0" xr:uid="{00000000-0006-0000-0200-000001000000}">
      <text>
        <r>
          <rPr>
            <b/>
            <sz val="8"/>
            <color indexed="81"/>
            <rFont val="Tahoma"/>
            <family val="2"/>
          </rPr>
          <t xml:space="preserve"> Rebecca Bernard:</t>
        </r>
        <r>
          <rPr>
            <sz val="8"/>
            <color indexed="81"/>
            <rFont val="Tahoma"/>
            <family val="2"/>
          </rPr>
          <t xml:space="preserve">
lots of scale samples from test week 39 to 52, but only a handfull of ages, and since the hatchery fish weren't massmarked, other then scales, no way to know if H or W--"stubbed dorsal", or not is not listed--so cannot use these test catches for h/w composition.</t>
        </r>
      </text>
    </comment>
    <comment ref="BF4" authorId="1" shapeId="0" xr:uid="{00000000-0006-0000-0200-000002000000}">
      <text>
        <r>
          <rPr>
            <b/>
            <sz val="9"/>
            <color indexed="81"/>
            <rFont val="Tahoma"/>
            <family val="2"/>
          </rPr>
          <t>rbernard:</t>
        </r>
        <r>
          <rPr>
            <sz val="9"/>
            <color indexed="81"/>
            <rFont val="Tahoma"/>
            <family val="2"/>
          </rPr>
          <t xml:space="preserve">
begins Jan 1 for Skagit Tribes--WDFW will have Jan 1 as week 2--in 2006, Bob's instructions were to use week 1 as Jan 1--plus TOCUS uses this. </t>
        </r>
      </text>
    </comment>
    <comment ref="BB10" authorId="0" shapeId="0" xr:uid="{00000000-0006-0000-0200-000003000000}">
      <text>
        <r>
          <rPr>
            <b/>
            <sz val="8"/>
            <color indexed="81"/>
            <rFont val="Tahoma"/>
            <family val="2"/>
          </rPr>
          <t xml:space="preserve"> Rebecca Bernard:</t>
        </r>
        <r>
          <rPr>
            <sz val="8"/>
            <color indexed="81"/>
            <rFont val="Tahoma"/>
            <family val="2"/>
          </rPr>
          <t xml:space="preserve">
closed February 10 at NOAA's insistance--Reference number: 3969231F-19
UPPER SKAGIT TRIBE FISHING REGULATION 2009/10
REGULATION NUMBER:   09SR-STEELHEAD-01G
DATE ADOPTED:    February 09, 2010
AMENDS REGULATION NUMBER:  09SR-STEELHEAD-01F
ON THE FOLLOWING DATE:   February 09, 2010
REGULATORY FISHERY PURPOSE:  Commercial/Subsistence/Ceremonial
FISH SPECIES:    Steelhead Salmon
EXPECTED EFFORT:   6 Boats
*********************************************************************
OPEN AREAS: SKAGIT RIVER AREAS 1,2,3,4, &amp; 5 (78C &amp; 78D)
Skagit River Area 1: That portion of the Skagit River, area 1 from the river fork, upstream to Mt. Vernon Memorial highway bridge in Mt. Vernon. The south fork of the Skagit River beginning at the mouth of the river upstream to the point where the north and south fork intersect is open.
Skagit River Area 2: Mount Vernon memorial Hwy Bridge upstream to Gilligan Creek.
Skagit River Area 3: Gilligan Creek upstream to Hamilton boat launch.
Skagit River Area 4: The portion of Skagit River from Hamilton boat launch upstream to east shore of Baker River.
Skagit River Area 5:  The portion of Skagit River from Baker River to Faber Ferry landing.
**THE FINAL OPENING IS FEB.8 THROUGH FEB 10, 2010-12:00PM. THE 2 DAY EXTENSION ANNOUNCED FEBRUARY 9TH,HAS BEEN REVOKED.THE 2009/2010 WINTER STEELHEAD FISHERY WILL CLOSE AS ORIGINALLY SCHEDULED ON FEBRUARY 10, 2010 AT 12:00 NOON. THIS WILL CONCLUDE THE STEELHEAD FISHERY THROUGH APRIL,2010. THE REMAINDER OF THE SCHEDULED OPENINGS ARE NO LONGER IN EFFECT.
FEBRUARY SCHEDULE
OPEN: 8:00AM  Monday    February 8, 2010
CLOSE: 12:00PM         Wednesday  February 10, 2010
THE ABOVE SCHEDULE IS SUBJECT TO CHANGE DUE TO RIVER CONDITIONS ANY EMERGENCY SAFETY CONCERNS OR OTHER INSEASON MANAGEMENT ACTIONS. IT IS THE RESPONSIBILITY OF THE FISHER TO BE AWARE OF ANY SCHEDULE CHANGES.
The Upper Skagit Tribe fisheries department will fish 2 nets marked with #33 for Tribal C &amp; S.
ADDITIONAL RESTRICTIONS:
All fish caught must be reported to the Upper Skagit Tribal Office to be put on Treaty Fish Receiving Ticket. 6 inch maximum mesh strech net. 2 nets per fisher.
SPECIAL REGULATIONS:
1) All fishers are must report specific River Catch Area on Treaty Fish Receiving Ticket.
2) No drinking/drug use or disruptive behavior will be allowed at Upper Skagit Indian Tribe fishing sites during the course of this fishery.
EMERGENCY REGULATIONS: Any provisions of this regulation may be modified at any time by emergency regulation.
JUSTIFICATION:  Catch 2009/10 treaty harvestable steelhead
**FAILURE TO COMPLY WITH THIS REGULATION MAY SUBJECT THE OFFENDING PARTY TO BEING CITED FOR VIOLATIONS OF THE UPPER SKAGIT'S FISHING ORINANCE INCLUDING BUT NOT LIMITED TO SECTIONS 38, 50 AND 52.
EMERGENCY REGULATIONS:
Any provision of this regulation may be modified at any time by emergency regulation.
DOREEN MALONEY
FISHERIES MANAGER
</t>
        </r>
      </text>
    </comment>
    <comment ref="BD10" authorId="1" shapeId="0" xr:uid="{00000000-0006-0000-0200-000004000000}">
      <text>
        <r>
          <rPr>
            <b/>
            <sz val="9"/>
            <color indexed="81"/>
            <rFont val="Tahoma"/>
            <family val="2"/>
          </rPr>
          <t>rbernard:</t>
        </r>
        <r>
          <rPr>
            <sz val="9"/>
            <color indexed="81"/>
            <rFont val="Tahoma"/>
            <family val="2"/>
          </rPr>
          <t xml:space="preserve">
this was Upper Skagit C&amp;S--but also open for commercial part of this week</t>
        </r>
      </text>
    </comment>
    <comment ref="BD12" authorId="1" shapeId="0" xr:uid="{00000000-0006-0000-0200-000005000000}">
      <text>
        <r>
          <rPr>
            <b/>
            <sz val="9"/>
            <color indexed="81"/>
            <rFont val="Tahoma"/>
            <family val="2"/>
          </rPr>
          <t>rbernard:</t>
        </r>
        <r>
          <rPr>
            <sz val="9"/>
            <color indexed="81"/>
            <rFont val="Tahoma"/>
            <family val="2"/>
          </rPr>
          <t xml:space="preserve">
this was Upper Skagit C&amp;S</t>
        </r>
      </text>
    </comment>
    <comment ref="BF15" authorId="1" shapeId="0" xr:uid="{00000000-0006-0000-0200-000006000000}">
      <text>
        <r>
          <rPr>
            <b/>
            <sz val="9"/>
            <color indexed="81"/>
            <rFont val="Tahoma"/>
            <family val="2"/>
          </rPr>
          <t>rbernard:</t>
        </r>
        <r>
          <rPr>
            <sz val="9"/>
            <color indexed="81"/>
            <rFont val="Tahoma"/>
            <family val="2"/>
          </rPr>
          <t xml:space="preserve">
this was Upper Skagit C&amp;S</t>
        </r>
      </text>
    </comment>
    <comment ref="BF16" authorId="1" shapeId="0" xr:uid="{00000000-0006-0000-0200-000007000000}">
      <text>
        <r>
          <rPr>
            <b/>
            <sz val="9"/>
            <color indexed="81"/>
            <rFont val="Tahoma"/>
            <family val="2"/>
          </rPr>
          <t>rbernard:</t>
        </r>
        <r>
          <rPr>
            <sz val="9"/>
            <color indexed="81"/>
            <rFont val="Tahoma"/>
            <family val="2"/>
          </rPr>
          <t xml:space="preserve">
this was Upper Skagit C&amp;S</t>
        </r>
      </text>
    </comment>
    <comment ref="BD19" authorId="1" shapeId="0" xr:uid="{00000000-0006-0000-0200-000008000000}">
      <text>
        <r>
          <rPr>
            <b/>
            <sz val="9"/>
            <color indexed="81"/>
            <rFont val="Tahoma"/>
            <family val="2"/>
          </rPr>
          <t>rbernard:</t>
        </r>
        <r>
          <rPr>
            <sz val="9"/>
            <color indexed="81"/>
            <rFont val="Tahoma"/>
            <family val="2"/>
          </rPr>
          <t xml:space="preserve">
this was Upper Skagit C&amp;S</t>
        </r>
      </text>
    </comment>
    <comment ref="A20" authorId="0" shapeId="0" xr:uid="{00000000-0006-0000-0200-000009000000}">
      <text>
        <r>
          <rPr>
            <b/>
            <sz val="8"/>
            <color indexed="81"/>
            <rFont val="Tahoma"/>
            <family val="2"/>
          </rPr>
          <t xml:space="preserve"> Rebecca Bernard:</t>
        </r>
        <r>
          <rPr>
            <sz val="8"/>
            <color indexed="81"/>
            <rFont val="Tahoma"/>
            <family val="2"/>
          </rPr>
          <t xml:space="preserve">
end of winter run hatchery season</t>
        </r>
      </text>
    </comment>
    <comment ref="A21" authorId="0" shapeId="0" xr:uid="{00000000-0006-0000-0200-00000A000000}">
      <text>
        <r>
          <rPr>
            <b/>
            <sz val="8"/>
            <color indexed="81"/>
            <rFont val="Tahoma"/>
            <family val="2"/>
          </rPr>
          <t xml:space="preserve"> Rebecca Bernard:</t>
        </r>
        <r>
          <rPr>
            <sz val="8"/>
            <color indexed="81"/>
            <rFont val="Tahoma"/>
            <family val="2"/>
          </rPr>
          <t xml:space="preserve">
test fishery week 18-45.
begining of summer run hatchery management season</t>
        </r>
      </text>
    </comment>
    <comment ref="BD21" authorId="1" shapeId="0" xr:uid="{00000000-0006-0000-0200-00000B000000}">
      <text>
        <r>
          <rPr>
            <b/>
            <sz val="9"/>
            <color indexed="81"/>
            <rFont val="Tahoma"/>
            <family val="2"/>
          </rPr>
          <t>rbernard:</t>
        </r>
        <r>
          <rPr>
            <sz val="9"/>
            <color indexed="81"/>
            <rFont val="Tahoma"/>
            <family val="2"/>
          </rPr>
          <t xml:space="preserve">
Upper Skagit Spring Chinook C&amp;S</t>
        </r>
      </text>
    </comment>
    <comment ref="BF21" authorId="1" shapeId="0" xr:uid="{00000000-0006-0000-0200-00000C000000}">
      <text>
        <r>
          <rPr>
            <b/>
            <sz val="9"/>
            <color indexed="81"/>
            <rFont val="Tahoma"/>
            <family val="2"/>
          </rPr>
          <t>rbernard:</t>
        </r>
        <r>
          <rPr>
            <sz val="9"/>
            <color indexed="81"/>
            <rFont val="Tahoma"/>
            <family val="2"/>
          </rPr>
          <t xml:space="preserve">
Upper Skagit Spring Chinook C&amp;S</t>
        </r>
      </text>
    </comment>
    <comment ref="BB22" authorId="1" shapeId="0" xr:uid="{00000000-0006-0000-0200-00000D000000}">
      <text>
        <r>
          <rPr>
            <b/>
            <sz val="9"/>
            <color indexed="81"/>
            <rFont val="Tahoma"/>
            <family val="2"/>
          </rPr>
          <t>rbernard:</t>
        </r>
        <r>
          <rPr>
            <sz val="9"/>
            <color indexed="81"/>
            <rFont val="Tahoma"/>
            <family val="2"/>
          </rPr>
          <t xml:space="preserve">
all three tribes open</t>
        </r>
      </text>
    </comment>
    <comment ref="BD22" authorId="1" shapeId="0" xr:uid="{00000000-0006-0000-0200-00000E000000}">
      <text>
        <r>
          <rPr>
            <b/>
            <sz val="9"/>
            <color indexed="81"/>
            <rFont val="Tahoma"/>
            <family val="2"/>
          </rPr>
          <t>rbernard:</t>
        </r>
        <r>
          <rPr>
            <sz val="9"/>
            <color indexed="81"/>
            <rFont val="Tahoma"/>
            <family val="2"/>
          </rPr>
          <t xml:space="preserve">
Swinomish and Sauk-Suiattle open</t>
        </r>
      </text>
    </comment>
    <comment ref="BF22" authorId="1" shapeId="0" xr:uid="{00000000-0006-0000-0200-00000F000000}">
      <text>
        <r>
          <rPr>
            <b/>
            <sz val="9"/>
            <color indexed="81"/>
            <rFont val="Tahoma"/>
            <family val="2"/>
          </rPr>
          <t>rbernard:</t>
        </r>
        <r>
          <rPr>
            <sz val="9"/>
            <color indexed="81"/>
            <rFont val="Tahoma"/>
            <family val="2"/>
          </rPr>
          <t xml:space="preserve">
Upper Skagit Spring Chinook C&amp;S--Swinomish and Sauk-Suiattle open for commerical</t>
        </r>
      </text>
    </comment>
    <comment ref="BB23" authorId="1" shapeId="0" xr:uid="{00000000-0006-0000-0200-000010000000}">
      <text>
        <r>
          <rPr>
            <b/>
            <sz val="9"/>
            <color indexed="81"/>
            <rFont val="Tahoma"/>
            <family val="2"/>
          </rPr>
          <t>rbernard:</t>
        </r>
        <r>
          <rPr>
            <sz val="9"/>
            <color indexed="81"/>
            <rFont val="Tahoma"/>
            <family val="2"/>
          </rPr>
          <t xml:space="preserve">
all three tribes open</t>
        </r>
      </text>
    </comment>
    <comment ref="BD23" authorId="1" shapeId="0" xr:uid="{00000000-0006-0000-0200-000011000000}">
      <text>
        <r>
          <rPr>
            <b/>
            <sz val="9"/>
            <color indexed="81"/>
            <rFont val="Tahoma"/>
            <family val="2"/>
          </rPr>
          <t>rbernard:</t>
        </r>
        <r>
          <rPr>
            <sz val="9"/>
            <color indexed="81"/>
            <rFont val="Tahoma"/>
            <family val="2"/>
          </rPr>
          <t xml:space="preserve">
all three tribes open</t>
        </r>
      </text>
    </comment>
    <comment ref="BF23" authorId="2" shapeId="0" xr:uid="{00000000-0006-0000-0200-000012000000}">
      <text>
        <r>
          <rPr>
            <b/>
            <sz val="9"/>
            <color indexed="81"/>
            <rFont val="Tahoma"/>
            <family val="2"/>
          </rPr>
          <t>Pete Kairis:</t>
        </r>
        <r>
          <rPr>
            <sz val="9"/>
            <color indexed="81"/>
            <rFont val="Tahoma"/>
            <family val="2"/>
          </rPr>
          <t xml:space="preserve">
USIT open</t>
        </r>
      </text>
    </comment>
    <comment ref="BB24" authorId="1" shapeId="0" xr:uid="{00000000-0006-0000-0200-000013000000}">
      <text>
        <r>
          <rPr>
            <b/>
            <sz val="9"/>
            <color indexed="81"/>
            <rFont val="Tahoma"/>
            <family val="2"/>
          </rPr>
          <t>rbernard:</t>
        </r>
        <r>
          <rPr>
            <sz val="9"/>
            <color indexed="81"/>
            <rFont val="Tahoma"/>
            <family val="2"/>
          </rPr>
          <t xml:space="preserve">
all three tribes open</t>
        </r>
      </text>
    </comment>
    <comment ref="BD24" authorId="1" shapeId="0" xr:uid="{00000000-0006-0000-0200-000014000000}">
      <text>
        <r>
          <rPr>
            <b/>
            <sz val="9"/>
            <color indexed="81"/>
            <rFont val="Tahoma"/>
            <family val="2"/>
          </rPr>
          <t>rbernard:</t>
        </r>
        <r>
          <rPr>
            <sz val="9"/>
            <color indexed="81"/>
            <rFont val="Tahoma"/>
            <family val="2"/>
          </rPr>
          <t xml:space="preserve">
all three tribes open</t>
        </r>
      </text>
    </comment>
    <comment ref="BF24" authorId="1" shapeId="0" xr:uid="{00000000-0006-0000-0200-000015000000}">
      <text>
        <r>
          <rPr>
            <b/>
            <sz val="9"/>
            <color indexed="81"/>
            <rFont val="Tahoma"/>
            <family val="2"/>
          </rPr>
          <t>rbernard:</t>
        </r>
        <r>
          <rPr>
            <sz val="9"/>
            <color indexed="81"/>
            <rFont val="Tahoma"/>
            <family val="2"/>
          </rPr>
          <t xml:space="preserve">
Swinomish and Sauk-Suiattle open for two days this week</t>
        </r>
      </text>
    </comment>
    <comment ref="BF25" authorId="1" shapeId="0" xr:uid="{00000000-0006-0000-0200-000016000000}">
      <text>
        <r>
          <rPr>
            <b/>
            <sz val="9"/>
            <color indexed="81"/>
            <rFont val="Tahoma"/>
            <family val="2"/>
          </rPr>
          <t>rbernard:</t>
        </r>
        <r>
          <rPr>
            <sz val="9"/>
            <color indexed="81"/>
            <rFont val="Tahoma"/>
            <family val="2"/>
          </rPr>
          <t xml:space="preserve">
upper Skagit tribe only</t>
        </r>
      </text>
    </comment>
    <comment ref="BD28" authorId="1" shapeId="0" xr:uid="{00000000-0006-0000-0200-000017000000}">
      <text>
        <r>
          <rPr>
            <b/>
            <sz val="9"/>
            <color indexed="81"/>
            <rFont val="Tahoma"/>
            <family val="2"/>
          </rPr>
          <t>rbernard:</t>
        </r>
        <r>
          <rPr>
            <sz val="9"/>
            <color indexed="81"/>
            <rFont val="Tahoma"/>
            <family val="2"/>
          </rPr>
          <t xml:space="preserve">
swin and Sauk-Suiattle scheduled preseason, but delayed to following week because of crab fishery</t>
        </r>
      </text>
    </comment>
    <comment ref="BF28" authorId="2" shapeId="0" xr:uid="{00000000-0006-0000-0200-000018000000}">
      <text>
        <r>
          <rPr>
            <b/>
            <sz val="9"/>
            <color indexed="81"/>
            <rFont val="Tahoma"/>
            <family val="2"/>
          </rPr>
          <t>Pete Kairis:</t>
        </r>
        <r>
          <rPr>
            <sz val="9"/>
            <color indexed="81"/>
            <rFont val="Tahoma"/>
            <family val="2"/>
          </rPr>
          <t xml:space="preserve">
Swin + Sauk-Suiattle
</t>
        </r>
      </text>
    </comment>
    <comment ref="A29" authorId="0" shapeId="0" xr:uid="{00000000-0006-0000-0200-000019000000}">
      <text>
        <r>
          <rPr>
            <b/>
            <sz val="8"/>
            <color indexed="81"/>
            <rFont val="Tahoma"/>
            <family val="2"/>
          </rPr>
          <t xml:space="preserve"> Rebecca Bernard:</t>
        </r>
        <r>
          <rPr>
            <sz val="8"/>
            <color indexed="81"/>
            <rFont val="Tahoma"/>
            <family val="2"/>
          </rPr>
          <t xml:space="preserve">
end of management season</t>
        </r>
      </text>
    </comment>
    <comment ref="BD29" authorId="1" shapeId="0" xr:uid="{00000000-0006-0000-0200-00001A000000}">
      <text>
        <r>
          <rPr>
            <b/>
            <sz val="9"/>
            <color indexed="81"/>
            <rFont val="Tahoma"/>
            <family val="2"/>
          </rPr>
          <t>rbernard:</t>
        </r>
        <r>
          <rPr>
            <sz val="9"/>
            <color indexed="81"/>
            <rFont val="Tahoma"/>
            <family val="2"/>
          </rPr>
          <t xml:space="preserve">
Swin and Sauk-Suiattle--only three days preseason, but delayed of week previous added to 4 days, but then elder (Bob Joe Sr.) died and the 4th day suspended until the following week.</t>
        </r>
      </text>
    </comment>
    <comment ref="BF29" authorId="2" shapeId="0" xr:uid="{00000000-0006-0000-0200-00001B000000}">
      <text>
        <r>
          <rPr>
            <b/>
            <sz val="9"/>
            <color indexed="81"/>
            <rFont val="Tahoma"/>
            <family val="2"/>
          </rPr>
          <t>Pete Kairis:</t>
        </r>
        <r>
          <rPr>
            <sz val="9"/>
            <color indexed="81"/>
            <rFont val="Tahoma"/>
            <family val="2"/>
          </rPr>
          <t xml:space="preserve">
Swin + Sauk-Suiattle
</t>
        </r>
      </text>
    </comment>
    <comment ref="A30" authorId="0" shapeId="0" xr:uid="{00000000-0006-0000-0200-00001C000000}">
      <text>
        <r>
          <rPr>
            <b/>
            <sz val="8"/>
            <color indexed="81"/>
            <rFont val="Tahoma"/>
            <family val="2"/>
          </rPr>
          <t xml:space="preserve"> Rebecca Bernard:</t>
        </r>
        <r>
          <rPr>
            <sz val="8"/>
            <color indexed="81"/>
            <rFont val="Tahoma"/>
            <family val="2"/>
          </rPr>
          <t xml:space="preserve">
start of new management season</t>
        </r>
      </text>
    </comment>
    <comment ref="BD30" authorId="1" shapeId="0" xr:uid="{00000000-0006-0000-0200-00001D000000}">
      <text>
        <r>
          <rPr>
            <b/>
            <sz val="9"/>
            <color indexed="81"/>
            <rFont val="Tahoma"/>
            <family val="2"/>
          </rPr>
          <t>rbernard:</t>
        </r>
        <r>
          <rPr>
            <sz val="9"/>
            <color indexed="81"/>
            <rFont val="Tahoma"/>
            <family val="2"/>
          </rPr>
          <t xml:space="preserve">
all three tribes</t>
        </r>
      </text>
    </comment>
    <comment ref="BF30" authorId="2" shapeId="0" xr:uid="{00000000-0006-0000-0200-00001E000000}">
      <text>
        <r>
          <rPr>
            <b/>
            <sz val="9"/>
            <color indexed="81"/>
            <rFont val="Tahoma"/>
            <family val="2"/>
          </rPr>
          <t>Pete Kairis:</t>
        </r>
        <r>
          <rPr>
            <sz val="9"/>
            <color indexed="81"/>
            <rFont val="Tahoma"/>
            <family val="2"/>
          </rPr>
          <t xml:space="preserve">
Swin + Sauk-Suiattle + Upper Skagit
</t>
        </r>
      </text>
    </comment>
    <comment ref="BD31" authorId="1" shapeId="0" xr:uid="{00000000-0006-0000-0200-00001F000000}">
      <text>
        <r>
          <rPr>
            <b/>
            <sz val="9"/>
            <color indexed="81"/>
            <rFont val="Tahoma"/>
            <family val="2"/>
          </rPr>
          <t>rbernard:</t>
        </r>
        <r>
          <rPr>
            <sz val="9"/>
            <color indexed="81"/>
            <rFont val="Tahoma"/>
            <family val="2"/>
          </rPr>
          <t xml:space="preserve">
all three tribes</t>
        </r>
      </text>
    </comment>
    <comment ref="BF31" authorId="2" shapeId="0" xr:uid="{00000000-0006-0000-0200-000020000000}">
      <text>
        <r>
          <rPr>
            <b/>
            <sz val="9"/>
            <color indexed="81"/>
            <rFont val="Tahoma"/>
            <family val="2"/>
          </rPr>
          <t>Pete Kairis:</t>
        </r>
        <r>
          <rPr>
            <sz val="9"/>
            <color indexed="81"/>
            <rFont val="Tahoma"/>
            <family val="2"/>
          </rPr>
          <t xml:space="preserve">
Swin + Sauk-Suiattle + Upper Skagit
</t>
        </r>
      </text>
    </comment>
    <comment ref="BB32" authorId="1" shapeId="0" xr:uid="{00000000-0006-0000-0200-000021000000}">
      <text>
        <r>
          <rPr>
            <b/>
            <sz val="9"/>
            <color indexed="81"/>
            <rFont val="Tahoma"/>
            <family val="2"/>
          </rPr>
          <t>rbernard:</t>
        </r>
        <r>
          <rPr>
            <sz val="9"/>
            <color indexed="81"/>
            <rFont val="Tahoma"/>
            <family val="2"/>
          </rPr>
          <t xml:space="preserve">
all three tribes</t>
        </r>
      </text>
    </comment>
    <comment ref="BD32" authorId="1" shapeId="0" xr:uid="{00000000-0006-0000-0200-000022000000}">
      <text>
        <r>
          <rPr>
            <b/>
            <sz val="9"/>
            <color indexed="81"/>
            <rFont val="Tahoma"/>
            <family val="2"/>
          </rPr>
          <t>rbernard:</t>
        </r>
        <r>
          <rPr>
            <sz val="9"/>
            <color indexed="81"/>
            <rFont val="Tahoma"/>
            <family val="2"/>
          </rPr>
          <t xml:space="preserve">
Swinomish and Sauk-Suiattle</t>
        </r>
      </text>
    </comment>
    <comment ref="BB33" authorId="1" shapeId="0" xr:uid="{00000000-0006-0000-0200-000023000000}">
      <text>
        <r>
          <rPr>
            <b/>
            <sz val="9"/>
            <color indexed="81"/>
            <rFont val="Tahoma"/>
            <family val="2"/>
          </rPr>
          <t>rbernard:</t>
        </r>
        <r>
          <rPr>
            <sz val="9"/>
            <color indexed="81"/>
            <rFont val="Tahoma"/>
            <family val="2"/>
          </rPr>
          <t xml:space="preserve">
just Swinomish and Sauk-Suiattle</t>
        </r>
      </text>
    </comment>
    <comment ref="BD37" authorId="1" shapeId="0" xr:uid="{00000000-0006-0000-0200-000024000000}">
      <text>
        <r>
          <rPr>
            <b/>
            <sz val="9"/>
            <color indexed="81"/>
            <rFont val="Tahoma"/>
            <family val="2"/>
          </rPr>
          <t>rbernard:</t>
        </r>
        <r>
          <rPr>
            <sz val="9"/>
            <color indexed="81"/>
            <rFont val="Tahoma"/>
            <family val="2"/>
          </rPr>
          <t xml:space="preserve">
Just Swinomish and Sauk-Suiattle</t>
        </r>
      </text>
    </comment>
    <comment ref="BD41" authorId="1" shapeId="0" xr:uid="{00000000-0006-0000-0200-000025000000}">
      <text>
        <r>
          <rPr>
            <b/>
            <sz val="9"/>
            <color indexed="81"/>
            <rFont val="Tahoma"/>
            <family val="2"/>
          </rPr>
          <t>rbernard:</t>
        </r>
        <r>
          <rPr>
            <sz val="9"/>
            <color indexed="81"/>
            <rFont val="Tahoma"/>
            <family val="2"/>
          </rPr>
          <t xml:space="preserve">
just Upper Skagit</t>
        </r>
      </text>
    </comment>
    <comment ref="BF41" authorId="2" shapeId="0" xr:uid="{00000000-0006-0000-0200-000026000000}">
      <text>
        <r>
          <rPr>
            <b/>
            <sz val="9"/>
            <color indexed="81"/>
            <rFont val="Tahoma"/>
            <family val="2"/>
          </rPr>
          <t>Pete Kairis:</t>
        </r>
        <r>
          <rPr>
            <sz val="9"/>
            <color indexed="81"/>
            <rFont val="Tahoma"/>
            <family val="2"/>
          </rPr>
          <t xml:space="preserve">
Swin + Sauk-Suiattle
</t>
        </r>
      </text>
    </comment>
    <comment ref="BD42" authorId="1" shapeId="0" xr:uid="{00000000-0006-0000-0200-000027000000}">
      <text>
        <r>
          <rPr>
            <b/>
            <sz val="9"/>
            <color indexed="81"/>
            <rFont val="Tahoma"/>
            <family val="2"/>
          </rPr>
          <t>rbernard:</t>
        </r>
        <r>
          <rPr>
            <sz val="9"/>
            <color indexed="81"/>
            <rFont val="Tahoma"/>
            <family val="2"/>
          </rPr>
          <t xml:space="preserve">
Just Swinomish and Sauk-Suiattle</t>
        </r>
      </text>
    </comment>
    <comment ref="BF42" authorId="2" shapeId="0" xr:uid="{00000000-0006-0000-0200-000028000000}">
      <text>
        <r>
          <rPr>
            <b/>
            <sz val="9"/>
            <color indexed="81"/>
            <rFont val="Tahoma"/>
            <family val="2"/>
          </rPr>
          <t>Pete Kairis:</t>
        </r>
        <r>
          <rPr>
            <sz val="9"/>
            <color indexed="81"/>
            <rFont val="Tahoma"/>
            <family val="2"/>
          </rPr>
          <t xml:space="preserve">
Swin + Sauk-Suiattle
</t>
        </r>
      </text>
    </comment>
    <comment ref="BF43" authorId="2" shapeId="0" xr:uid="{00000000-0006-0000-0200-000029000000}">
      <text>
        <r>
          <rPr>
            <b/>
            <sz val="9"/>
            <color indexed="81"/>
            <rFont val="Tahoma"/>
            <family val="2"/>
          </rPr>
          <t>Pete Kairis:</t>
        </r>
        <r>
          <rPr>
            <sz val="9"/>
            <color indexed="81"/>
            <rFont val="Tahoma"/>
            <family val="2"/>
          </rPr>
          <t xml:space="preserve">
Swin + Sauk-Suiattle
</t>
        </r>
      </text>
    </comment>
    <comment ref="BF44" authorId="2" shapeId="0" xr:uid="{00000000-0006-0000-0200-00002A000000}">
      <text>
        <r>
          <rPr>
            <b/>
            <sz val="9"/>
            <color indexed="81"/>
            <rFont val="Tahoma"/>
            <family val="2"/>
          </rPr>
          <t>Pete Kairis:</t>
        </r>
        <r>
          <rPr>
            <sz val="9"/>
            <color indexed="81"/>
            <rFont val="Tahoma"/>
            <family val="2"/>
          </rPr>
          <t xml:space="preserve">
Swin + Sauk-Suiattle
</t>
        </r>
      </text>
    </comment>
    <comment ref="BD45" authorId="1" shapeId="0" xr:uid="{00000000-0006-0000-0200-00002B000000}">
      <text>
        <r>
          <rPr>
            <b/>
            <sz val="9"/>
            <color indexed="81"/>
            <rFont val="Tahoma"/>
            <family val="2"/>
          </rPr>
          <t>rbernard:</t>
        </r>
        <r>
          <rPr>
            <sz val="9"/>
            <color indexed="81"/>
            <rFont val="Tahoma"/>
            <family val="2"/>
          </rPr>
          <t xml:space="preserve">
Just Upper Skagit</t>
        </r>
      </text>
    </comment>
    <comment ref="BF45" authorId="2" shapeId="0" xr:uid="{00000000-0006-0000-0200-00002C000000}">
      <text>
        <r>
          <rPr>
            <b/>
            <sz val="9"/>
            <color indexed="81"/>
            <rFont val="Tahoma"/>
            <family val="2"/>
          </rPr>
          <t>Pete Kairis:</t>
        </r>
        <r>
          <rPr>
            <sz val="9"/>
            <color indexed="81"/>
            <rFont val="Tahoma"/>
            <family val="2"/>
          </rPr>
          <t xml:space="preserve">
Swin + Sauk-Suiattle + Upper Skagit
</t>
        </r>
      </text>
    </comment>
    <comment ref="BD46" authorId="1" shapeId="0" xr:uid="{00000000-0006-0000-0200-00002D000000}">
      <text>
        <r>
          <rPr>
            <b/>
            <sz val="9"/>
            <color indexed="81"/>
            <rFont val="Tahoma"/>
            <family val="2"/>
          </rPr>
          <t>rbernard:</t>
        </r>
        <r>
          <rPr>
            <sz val="9"/>
            <color indexed="81"/>
            <rFont val="Tahoma"/>
            <family val="2"/>
          </rPr>
          <t xml:space="preserve">
Just Upper Skagit</t>
        </r>
      </text>
    </comment>
    <comment ref="A47" authorId="0" shapeId="0" xr:uid="{00000000-0006-0000-0200-00002E000000}">
      <text>
        <r>
          <rPr>
            <b/>
            <sz val="8"/>
            <color indexed="81"/>
            <rFont val="Tahoma"/>
            <family val="2"/>
          </rPr>
          <t xml:space="preserve"> Rebecca Bernard:</t>
        </r>
        <r>
          <rPr>
            <sz val="8"/>
            <color indexed="81"/>
            <rFont val="Tahoma"/>
            <family val="2"/>
          </rPr>
          <t xml:space="preserve">
end of summer run hatchery fish management season</t>
        </r>
      </text>
    </comment>
    <comment ref="A48" authorId="0" shapeId="0" xr:uid="{00000000-0006-0000-0200-00002F000000}">
      <text>
        <r>
          <rPr>
            <b/>
            <sz val="8"/>
            <color indexed="81"/>
            <rFont val="Tahoma"/>
            <family val="2"/>
          </rPr>
          <t xml:space="preserve"> Rebecca Bernard:</t>
        </r>
        <r>
          <rPr>
            <sz val="8"/>
            <color indexed="81"/>
            <rFont val="Tahoma"/>
            <family val="2"/>
          </rPr>
          <t xml:space="preserve">
beginning of winter run hatchery fish season</t>
        </r>
      </text>
    </comment>
    <comment ref="B61" authorId="0" shapeId="0" xr:uid="{00000000-0006-0000-0200-000030000000}">
      <text>
        <r>
          <rPr>
            <b/>
            <sz val="8"/>
            <color indexed="81"/>
            <rFont val="Tahoma"/>
            <family val="2"/>
          </rPr>
          <t xml:space="preserve"> Rebecca Bernard:</t>
        </r>
        <r>
          <rPr>
            <sz val="8"/>
            <color indexed="81"/>
            <rFont val="Tahoma"/>
            <family val="2"/>
          </rPr>
          <t xml:space="preserve">
lots of scale samples from test week 39 to 52, but only a handfull of ages, and since the hatchery fish weren't massmarked, other then scales, no way to know if H or W--"stubbed dorsal", or not is not listed--so cannot use these test catches for h/w composition.</t>
        </r>
      </text>
    </comment>
    <comment ref="C61" authorId="0" shapeId="0" xr:uid="{00000000-0006-0000-0200-000031000000}">
      <text>
        <r>
          <rPr>
            <b/>
            <sz val="8"/>
            <color indexed="81"/>
            <rFont val="Tahoma"/>
            <family val="2"/>
          </rPr>
          <t xml:space="preserve"> Rebecca Bernard:</t>
        </r>
        <r>
          <rPr>
            <sz val="8"/>
            <color indexed="81"/>
            <rFont val="Tahoma"/>
            <family val="2"/>
          </rPr>
          <t xml:space="preserve">
lots of scale samples from test week 39 to 52, but only a handfull of ages, and since the hatchery fish weren't massmarked, other then scales, no way to know if H or W--"stubbed dorsal", or not is not listed--so cannot use these test catches for h/w composition.</t>
        </r>
      </text>
    </comment>
    <comment ref="BF63" authorId="1" shapeId="0" xr:uid="{00000000-0006-0000-0200-000032000000}">
      <text>
        <r>
          <rPr>
            <b/>
            <sz val="9"/>
            <color indexed="81"/>
            <rFont val="Tahoma"/>
            <family val="2"/>
          </rPr>
          <t>rbernard:</t>
        </r>
        <r>
          <rPr>
            <sz val="9"/>
            <color indexed="81"/>
            <rFont val="Tahoma"/>
            <family val="2"/>
          </rPr>
          <t xml:space="preserve">
begins Jan 1 for Skagit Tribes--WDFW will have Jan 1 as week 2--in 2006, Bob's instructions were to use week 1 as Jan 1--plus TOCUS uses this. </t>
        </r>
      </text>
    </comment>
    <comment ref="BG63" authorId="1" shapeId="0" xr:uid="{00000000-0006-0000-0200-000033000000}">
      <text>
        <r>
          <rPr>
            <b/>
            <sz val="9"/>
            <color indexed="81"/>
            <rFont val="Tahoma"/>
            <family val="2"/>
          </rPr>
          <t>rbernard:</t>
        </r>
        <r>
          <rPr>
            <sz val="9"/>
            <color indexed="81"/>
            <rFont val="Tahoma"/>
            <family val="2"/>
          </rPr>
          <t xml:space="preserve">
begins Jan 1 for Skagit Tribes--WDFW will have Jan 1 as week 2--in 2006, Bob's instructions were to use week 1 as Jan 1--plus TOCUS uses this. </t>
        </r>
      </text>
    </comment>
    <comment ref="AX67" authorId="0" shapeId="0" xr:uid="{00000000-0006-0000-0200-000034000000}">
      <text>
        <r>
          <rPr>
            <b/>
            <sz val="8"/>
            <color indexed="81"/>
            <rFont val="Tahoma"/>
            <family val="2"/>
          </rPr>
          <t xml:space="preserve"> Rebecca Bernard:</t>
        </r>
        <r>
          <rPr>
            <sz val="8"/>
            <color indexed="81"/>
            <rFont val="Tahoma"/>
            <family val="2"/>
          </rPr>
          <t xml:space="preserve">
2 com, 1 chum brdsk incid.</t>
        </r>
      </text>
    </comment>
    <comment ref="AY67" authorId="0" shapeId="0" xr:uid="{00000000-0006-0000-0200-000035000000}">
      <text>
        <r>
          <rPr>
            <b/>
            <sz val="8"/>
            <color indexed="81"/>
            <rFont val="Tahoma"/>
            <family val="2"/>
          </rPr>
          <t xml:space="preserve"> Rebecca Bernard:</t>
        </r>
        <r>
          <rPr>
            <sz val="8"/>
            <color indexed="81"/>
            <rFont val="Tahoma"/>
            <family val="2"/>
          </rPr>
          <t xml:space="preserve">
3 com, 4 chum brdsk incidental</t>
        </r>
      </text>
    </comment>
    <comment ref="CJ67" authorId="2" shapeId="0" xr:uid="{00000000-0006-0000-0200-000036000000}">
      <text>
        <r>
          <rPr>
            <b/>
            <sz val="9"/>
            <color indexed="81"/>
            <rFont val="Tahoma"/>
            <family val="2"/>
          </rPr>
          <t>Pete Kairis:</t>
        </r>
        <r>
          <rPr>
            <sz val="9"/>
            <color indexed="81"/>
            <rFont val="Tahoma"/>
            <family val="2"/>
          </rPr>
          <t xml:space="preserve">
Placing the 2017 USIT tanglenet catch in the test fish tab instead of here.</t>
        </r>
      </text>
    </comment>
    <comment ref="BX70" authorId="2" shapeId="0" xr:uid="{00000000-0006-0000-0200-000037000000}">
      <text>
        <r>
          <rPr>
            <b/>
            <sz val="9"/>
            <color indexed="81"/>
            <rFont val="Tahoma"/>
            <family val="2"/>
          </rPr>
          <t>Pete Kairis:</t>
        </r>
        <r>
          <rPr>
            <sz val="9"/>
            <color indexed="81"/>
            <rFont val="Tahoma"/>
            <family val="2"/>
          </rPr>
          <t xml:space="preserve">
USIT tanglenet study</t>
        </r>
      </text>
    </comment>
    <comment ref="BE71" authorId="1" shapeId="0" xr:uid="{00000000-0006-0000-0200-000038000000}">
      <text>
        <r>
          <rPr>
            <b/>
            <sz val="9"/>
            <color indexed="81"/>
            <rFont val="Tahoma"/>
            <family val="2"/>
          </rPr>
          <t>rbernard:</t>
        </r>
        <r>
          <rPr>
            <sz val="9"/>
            <color indexed="81"/>
            <rFont val="Tahoma"/>
            <family val="2"/>
          </rPr>
          <t xml:space="preserve">
C&amp;S</t>
        </r>
      </text>
    </comment>
    <comment ref="CD71" authorId="2" shapeId="0" xr:uid="{00000000-0006-0000-0200-000039000000}">
      <text>
        <r>
          <rPr>
            <b/>
            <sz val="9"/>
            <color indexed="81"/>
            <rFont val="Tahoma"/>
            <family val="2"/>
          </rPr>
          <t>Pete Kairis:</t>
        </r>
        <r>
          <rPr>
            <sz val="9"/>
            <color indexed="81"/>
            <rFont val="Tahoma"/>
            <family val="2"/>
          </rPr>
          <t xml:space="preserve">
USIT tanglenet study</t>
        </r>
      </text>
    </comment>
    <comment ref="BE78" authorId="1" shapeId="0" xr:uid="{00000000-0006-0000-0200-00003A000000}">
      <text>
        <r>
          <rPr>
            <b/>
            <sz val="9"/>
            <color indexed="81"/>
            <rFont val="Tahoma"/>
            <family val="2"/>
          </rPr>
          <t>rbernard:</t>
        </r>
        <r>
          <rPr>
            <sz val="9"/>
            <color indexed="81"/>
            <rFont val="Tahoma"/>
            <family val="2"/>
          </rPr>
          <t xml:space="preserve">
C&amp;S 5 kelts and 56 prespawn--total 61--adjust to .06 per kelt; prespawn represents a whole fish.</t>
        </r>
      </text>
    </comment>
    <comment ref="A79" authorId="0" shapeId="0" xr:uid="{00000000-0006-0000-0200-00003B000000}">
      <text>
        <r>
          <rPr>
            <b/>
            <sz val="8"/>
            <color indexed="81"/>
            <rFont val="Tahoma"/>
            <family val="2"/>
          </rPr>
          <t xml:space="preserve"> Rebecca Bernard:</t>
        </r>
        <r>
          <rPr>
            <sz val="8"/>
            <color indexed="81"/>
            <rFont val="Tahoma"/>
            <family val="2"/>
          </rPr>
          <t xml:space="preserve">
end of winter run hatchery season</t>
        </r>
      </text>
    </comment>
    <comment ref="A80" authorId="0" shapeId="0" xr:uid="{00000000-0006-0000-0200-00003C000000}">
      <text>
        <r>
          <rPr>
            <b/>
            <sz val="8"/>
            <color indexed="81"/>
            <rFont val="Tahoma"/>
            <family val="2"/>
          </rPr>
          <t xml:space="preserve"> Rebecca Bernard:</t>
        </r>
        <r>
          <rPr>
            <sz val="8"/>
            <color indexed="81"/>
            <rFont val="Tahoma"/>
            <family val="2"/>
          </rPr>
          <t xml:space="preserve">
test fishery week 18-45.
begining of summer run hatchery management season</t>
        </r>
      </text>
    </comment>
    <comment ref="M80" authorId="0" shapeId="0" xr:uid="{00000000-0006-0000-0200-00003D000000}">
      <text>
        <r>
          <rPr>
            <b/>
            <sz val="8"/>
            <color indexed="81"/>
            <rFont val="Tahoma"/>
            <family val="2"/>
          </rPr>
          <t xml:space="preserve"> Rebecca Bernard:</t>
        </r>
        <r>
          <rPr>
            <sz val="8"/>
            <color indexed="81"/>
            <rFont val="Tahoma"/>
            <family val="2"/>
          </rPr>
          <t xml:space="preserve">
2 are wild kelts and 1 is wild prespawn</t>
        </r>
      </text>
    </comment>
    <comment ref="M81" authorId="0" shapeId="0" xr:uid="{00000000-0006-0000-0200-00003E000000}">
      <text>
        <r>
          <rPr>
            <b/>
            <sz val="8"/>
            <color indexed="81"/>
            <rFont val="Tahoma"/>
            <family val="2"/>
          </rPr>
          <t xml:space="preserve"> Rebecca Bernard:</t>
        </r>
        <r>
          <rPr>
            <sz val="8"/>
            <color indexed="81"/>
            <rFont val="Tahoma"/>
            <family val="2"/>
          </rPr>
          <t xml:space="preserve">
2 are wild kelts and 5 are wild prespawn</t>
        </r>
      </text>
    </comment>
    <comment ref="AX81" authorId="0" shapeId="0" xr:uid="{00000000-0006-0000-0200-00003F000000}">
      <text>
        <r>
          <rPr>
            <b/>
            <sz val="8"/>
            <color indexed="81"/>
            <rFont val="Tahoma"/>
            <family val="2"/>
          </rPr>
          <t xml:space="preserve"> Rebecca Bernard:</t>
        </r>
        <r>
          <rPr>
            <sz val="8"/>
            <color indexed="81"/>
            <rFont val="Tahoma"/>
            <family val="2"/>
          </rPr>
          <t xml:space="preserve">
Expansions from outside of workbook--see "steelhead age master".</t>
        </r>
      </text>
    </comment>
    <comment ref="AY81" authorId="0" shapeId="0" xr:uid="{00000000-0006-0000-0200-000040000000}">
      <text>
        <r>
          <rPr>
            <b/>
            <sz val="8"/>
            <color indexed="81"/>
            <rFont val="Tahoma"/>
            <family val="2"/>
          </rPr>
          <t xml:space="preserve"> Rebecca Bernard:</t>
        </r>
        <r>
          <rPr>
            <sz val="8"/>
            <color indexed="81"/>
            <rFont val="Tahoma"/>
            <family val="2"/>
          </rPr>
          <t xml:space="preserve">
not sampled for kelts--only 4 noted.  Expansions from outside of workbook--see "steelhead age master". 24.3 (24) prespawn and 16.9 (17) kelts calculated.</t>
        </r>
      </text>
    </comment>
    <comment ref="AZ81" authorId="0" shapeId="0" xr:uid="{00000000-0006-0000-0200-000041000000}">
      <text>
        <r>
          <rPr>
            <b/>
            <sz val="8"/>
            <color indexed="81"/>
            <rFont val="Tahoma"/>
            <family val="2"/>
          </rPr>
          <t xml:space="preserve"> Rebecca Bernard:</t>
        </r>
        <r>
          <rPr>
            <sz val="8"/>
            <color indexed="81"/>
            <rFont val="Tahoma"/>
            <family val="2"/>
          </rPr>
          <t xml:space="preserve">
Expansions from outside of workbook--see "steelhead age master".</t>
        </r>
      </text>
    </comment>
    <comment ref="BA81" authorId="0" shapeId="0" xr:uid="{00000000-0006-0000-0200-000042000000}">
      <text>
        <r>
          <rPr>
            <b/>
            <sz val="8"/>
            <color indexed="81"/>
            <rFont val="Tahoma"/>
            <family val="2"/>
          </rPr>
          <t xml:space="preserve"> Rebecca Bernard:</t>
        </r>
        <r>
          <rPr>
            <sz val="8"/>
            <color indexed="81"/>
            <rFont val="Tahoma"/>
            <family val="2"/>
          </rPr>
          <t xml:space="preserve">
11.0 kelts and 20.0 prespawned (but not thoroughly sampled for kelts, and 2.1 hatchery. Expansions from outside of workbook--see "steelhead age master".</t>
        </r>
      </text>
    </comment>
    <comment ref="BC81" authorId="0" shapeId="0" xr:uid="{00000000-0006-0000-0200-000043000000}">
      <text>
        <r>
          <rPr>
            <b/>
            <sz val="8"/>
            <color indexed="81"/>
            <rFont val="Tahoma"/>
            <family val="2"/>
          </rPr>
          <t xml:space="preserve"> Rebecca Bernard:</t>
        </r>
        <r>
          <rPr>
            <sz val="8"/>
            <color indexed="81"/>
            <rFont val="Tahoma"/>
            <family val="2"/>
          </rPr>
          <t xml:space="preserve">
8 scale samples but most evaluated for kelt and unspawned--15.9 total wild kelts and 21.1 total wild prespawn, no hathchery.  Expansions from outside of workbook--see "steelhead age master".
This cell edited 6/8/2012 when a 2010 ticket was submitted in July 2011--17 chinook and 2 steelhead from 78C--Upper Skagit.</t>
        </r>
      </text>
    </comment>
    <comment ref="BE81" authorId="1" shapeId="0" xr:uid="{00000000-0006-0000-0200-000044000000}">
      <text>
        <r>
          <rPr>
            <b/>
            <sz val="9"/>
            <color indexed="81"/>
            <rFont val="Tahoma"/>
            <family val="2"/>
          </rPr>
          <t>rbernard:</t>
        </r>
        <r>
          <rPr>
            <sz val="9"/>
            <color indexed="81"/>
            <rFont val="Tahoma"/>
            <family val="2"/>
          </rPr>
          <t xml:space="preserve">
during spring chinook commercial--swinomish catch all wild prespawn.</t>
        </r>
      </text>
    </comment>
    <comment ref="CJ81" authorId="2" shapeId="0" xr:uid="{00000000-0006-0000-0200-000045000000}">
      <text>
        <r>
          <rPr>
            <b/>
            <sz val="9"/>
            <color indexed="81"/>
            <rFont val="Tahoma"/>
            <family val="2"/>
          </rPr>
          <t>Pete Kairis:</t>
        </r>
        <r>
          <rPr>
            <sz val="9"/>
            <color indexed="81"/>
            <rFont val="Tahoma"/>
            <family val="2"/>
          </rPr>
          <t xml:space="preserve">
Using annual treaty commercial catch spreadsheet for H/W and kelt/prespawn, so this table is not needed anymore</t>
        </r>
      </text>
    </comment>
    <comment ref="M82" authorId="0" shapeId="0" xr:uid="{00000000-0006-0000-0200-000046000000}">
      <text>
        <r>
          <rPr>
            <b/>
            <sz val="8"/>
            <color indexed="81"/>
            <rFont val="Tahoma"/>
            <family val="2"/>
          </rPr>
          <t xml:space="preserve"> Rebecca Bernard:</t>
        </r>
        <r>
          <rPr>
            <sz val="8"/>
            <color indexed="81"/>
            <rFont val="Tahoma"/>
            <family val="2"/>
          </rPr>
          <t xml:space="preserve">
2 are wild kelts and 2 are wild prespawn</t>
        </r>
      </text>
    </comment>
    <comment ref="AX82" authorId="0" shapeId="0" xr:uid="{00000000-0006-0000-0200-000047000000}">
      <text>
        <r>
          <rPr>
            <b/>
            <sz val="8"/>
            <color indexed="81"/>
            <rFont val="Tahoma"/>
            <family val="2"/>
          </rPr>
          <t xml:space="preserve"> Rebecca Bernard:</t>
        </r>
        <r>
          <rPr>
            <sz val="8"/>
            <color indexed="81"/>
            <rFont val="Tahoma"/>
            <family val="2"/>
          </rPr>
          <t xml:space="preserve">
Expansions from outside of workbook--see "steelhead age master".</t>
        </r>
      </text>
    </comment>
    <comment ref="AY82" authorId="0" shapeId="0" xr:uid="{00000000-0006-0000-0200-000048000000}">
      <text>
        <r>
          <rPr>
            <b/>
            <sz val="8"/>
            <color indexed="81"/>
            <rFont val="Tahoma"/>
            <family val="2"/>
          </rPr>
          <t xml:space="preserve"> Rebecca Bernard:</t>
        </r>
        <r>
          <rPr>
            <sz val="8"/>
            <color indexed="81"/>
            <rFont val="Tahoma"/>
            <family val="2"/>
          </rPr>
          <t xml:space="preserve">
not sampled for kelts--Expansions from outside of workbook--see "steelhead age master".  9.7 (10) prespawn and 13.9 (14) kelts calculated.</t>
        </r>
      </text>
    </comment>
    <comment ref="AZ82" authorId="0" shapeId="0" xr:uid="{00000000-0006-0000-0200-000049000000}">
      <text>
        <r>
          <rPr>
            <b/>
            <sz val="8"/>
            <color indexed="81"/>
            <rFont val="Tahoma"/>
            <family val="2"/>
          </rPr>
          <t xml:space="preserve"> Rebecca Bernard:</t>
        </r>
        <r>
          <rPr>
            <sz val="8"/>
            <color indexed="81"/>
            <rFont val="Tahoma"/>
            <family val="2"/>
          </rPr>
          <t xml:space="preserve">
Expansions from outside of workbook--see "steelhead age master".</t>
        </r>
      </text>
    </comment>
    <comment ref="BA82" authorId="0" shapeId="0" xr:uid="{00000000-0006-0000-0200-00004A000000}">
      <text>
        <r>
          <rPr>
            <b/>
            <sz val="8"/>
            <color indexed="81"/>
            <rFont val="Tahoma"/>
            <family val="2"/>
          </rPr>
          <t xml:space="preserve"> Rebecca Bernard:</t>
        </r>
        <r>
          <rPr>
            <sz val="8"/>
            <color indexed="81"/>
            <rFont val="Tahoma"/>
            <family val="2"/>
          </rPr>
          <t xml:space="preserve">
13.1 kelts and 10.8 prespawned (but not thoroughly sampled for kelts) and 1.1 hatchery.  Expansions from outside of workbook--see "steelhead age master".</t>
        </r>
      </text>
    </comment>
    <comment ref="BC82" authorId="0" shapeId="0" xr:uid="{00000000-0006-0000-0200-00004B000000}">
      <text>
        <r>
          <rPr>
            <b/>
            <sz val="8"/>
            <color indexed="81"/>
            <rFont val="Tahoma"/>
            <family val="2"/>
          </rPr>
          <t xml:space="preserve"> Rebecca Bernard:</t>
        </r>
        <r>
          <rPr>
            <sz val="8"/>
            <color indexed="81"/>
            <rFont val="Tahoma"/>
            <family val="2"/>
          </rPr>
          <t xml:space="preserve">
most evaluated for kelt and unspawned--13.1 total wild kelts and 5.9 total wild prespawn, no hathchery. Expansions from outside of workbook--see "steelhead age master".</t>
        </r>
      </text>
    </comment>
    <comment ref="BD82" authorId="1" shapeId="0" xr:uid="{00000000-0006-0000-0200-00004C000000}">
      <text>
        <r>
          <rPr>
            <b/>
            <sz val="9"/>
            <color indexed="81"/>
            <rFont val="Tahoma"/>
            <family val="2"/>
          </rPr>
          <t>rbernard:</t>
        </r>
        <r>
          <rPr>
            <sz val="9"/>
            <color indexed="81"/>
            <rFont val="Tahoma"/>
            <family val="2"/>
          </rPr>
          <t xml:space="preserve">
10 from Swinomish: 7 prespawn and 3 kelts all wild; 22 from Upper Skagit 9 prespawn wild and 13 kelts (of which 2 were hatchery kelts).</t>
        </r>
      </text>
    </comment>
    <comment ref="BE82" authorId="1" shapeId="0" xr:uid="{00000000-0006-0000-0200-00004D000000}">
      <text>
        <r>
          <rPr>
            <b/>
            <sz val="9"/>
            <color indexed="81"/>
            <rFont val="Tahoma"/>
            <family val="2"/>
          </rPr>
          <t>rbernard:</t>
        </r>
        <r>
          <rPr>
            <sz val="9"/>
            <color indexed="81"/>
            <rFont val="Tahoma"/>
            <family val="2"/>
          </rPr>
          <t xml:space="preserve">
10 from Swinomish: 7 prespawn and 3 kelts all wild; 22 from Upper Skagit 9 prespawn wild and 13 kelts (of which 2 were hatchery kelts). Blakes' Test: 1 wild kelt.</t>
        </r>
      </text>
    </comment>
    <comment ref="L83" authorId="0" shapeId="0" xr:uid="{00000000-0006-0000-0200-00004E000000}">
      <text>
        <r>
          <rPr>
            <b/>
            <sz val="8"/>
            <color indexed="81"/>
            <rFont val="Tahoma"/>
            <family val="2"/>
          </rPr>
          <t xml:space="preserve"> Rebecca Bernard:</t>
        </r>
        <r>
          <rPr>
            <sz val="8"/>
            <color indexed="81"/>
            <rFont val="Tahoma"/>
            <family val="2"/>
          </rPr>
          <t xml:space="preserve">
these 3 fish are hatchery kelts</t>
        </r>
      </text>
    </comment>
    <comment ref="M83" authorId="0" shapeId="0" xr:uid="{00000000-0006-0000-0200-00004F000000}">
      <text>
        <r>
          <rPr>
            <b/>
            <sz val="8"/>
            <color indexed="81"/>
            <rFont val="Tahoma"/>
            <family val="2"/>
          </rPr>
          <t xml:space="preserve"> Rebecca Bernard:</t>
        </r>
        <r>
          <rPr>
            <sz val="8"/>
            <color indexed="81"/>
            <rFont val="Tahoma"/>
            <family val="2"/>
          </rPr>
          <t xml:space="preserve">
31 are wild kelts and 12 are wild prespawn</t>
        </r>
      </text>
    </comment>
    <comment ref="AZ83" authorId="0" shapeId="0" xr:uid="{00000000-0006-0000-0200-000050000000}">
      <text>
        <r>
          <rPr>
            <b/>
            <sz val="8"/>
            <color indexed="81"/>
            <rFont val="Tahoma"/>
            <family val="2"/>
          </rPr>
          <t xml:space="preserve"> Rebecca Bernard:</t>
        </r>
        <r>
          <rPr>
            <sz val="8"/>
            <color indexed="81"/>
            <rFont val="Tahoma"/>
            <family val="2"/>
          </rPr>
          <t xml:space="preserve">
Expansions from outside of workbook--see "steelhead age master".</t>
        </r>
      </text>
    </comment>
    <comment ref="BA83" authorId="0" shapeId="0" xr:uid="{00000000-0006-0000-0200-000051000000}">
      <text>
        <r>
          <rPr>
            <b/>
            <sz val="8"/>
            <color indexed="81"/>
            <rFont val="Tahoma"/>
            <family val="2"/>
          </rPr>
          <t xml:space="preserve"> Rebecca Bernard:</t>
        </r>
        <r>
          <rPr>
            <sz val="8"/>
            <color indexed="81"/>
            <rFont val="Tahoma"/>
            <family val="2"/>
          </rPr>
          <t xml:space="preserve">
6.1 kelts and 2.5 prespawned (but not thoroughly sampled for kelts).  Expansions from outside of workbook--see "steelhead age master".  24.9 prespawn and 17.2 kelts calculated.</t>
        </r>
      </text>
    </comment>
    <comment ref="BC83" authorId="0" shapeId="0" xr:uid="{00000000-0006-0000-0200-000052000000}">
      <text>
        <r>
          <rPr>
            <b/>
            <sz val="8"/>
            <color indexed="81"/>
            <rFont val="Tahoma"/>
            <family val="2"/>
          </rPr>
          <t xml:space="preserve"> Rebecca Bernard:</t>
        </r>
        <r>
          <rPr>
            <sz val="8"/>
            <color indexed="81"/>
            <rFont val="Tahoma"/>
            <family val="2"/>
          </rPr>
          <t xml:space="preserve">
5 scale samples; but most of catch evaluated for H/W and kelts--11 total Kelts and 3 wild prespawn, no hatchery.  Expansions from outside of workbook--see "steelhead age master".</t>
        </r>
      </text>
    </comment>
    <comment ref="BD83" authorId="1" shapeId="0" xr:uid="{00000000-0006-0000-0200-000053000000}">
      <text>
        <r>
          <rPr>
            <b/>
            <sz val="9"/>
            <color indexed="81"/>
            <rFont val="Tahoma"/>
            <family val="2"/>
          </rPr>
          <t>rbernard:</t>
        </r>
        <r>
          <rPr>
            <sz val="9"/>
            <color indexed="81"/>
            <rFont val="Tahoma"/>
            <family val="2"/>
          </rPr>
          <t xml:space="preserve">
6 from Swinomish: 0 prespawn and 6 kelts all wild; 20 from Upper Skagit 14 prespawn wild and 6  kelts (of which 1 was hatchery kelt).</t>
        </r>
      </text>
    </comment>
    <comment ref="BE83" authorId="1" shapeId="0" xr:uid="{00000000-0006-0000-0200-000054000000}">
      <text>
        <r>
          <rPr>
            <b/>
            <sz val="9"/>
            <color indexed="81"/>
            <rFont val="Tahoma"/>
            <family val="2"/>
          </rPr>
          <t>rbernard:</t>
        </r>
        <r>
          <rPr>
            <sz val="9"/>
            <color indexed="81"/>
            <rFont val="Tahoma"/>
            <family val="2"/>
          </rPr>
          <t xml:space="preserve">
6 from Swinomish: 0 prespawn and 6 kelts all wild; 24 from Upper Skagit sampled 14 prespawn wild and 6  kelts (of which 1 was hatchery kelt).</t>
        </r>
      </text>
    </comment>
    <comment ref="M84" authorId="0" shapeId="0" xr:uid="{00000000-0006-0000-0200-000055000000}">
      <text>
        <r>
          <rPr>
            <b/>
            <sz val="8"/>
            <color indexed="81"/>
            <rFont val="Tahoma"/>
            <family val="2"/>
          </rPr>
          <t xml:space="preserve"> Rebecca Bernard:</t>
        </r>
        <r>
          <rPr>
            <sz val="8"/>
            <color indexed="81"/>
            <rFont val="Tahoma"/>
            <family val="2"/>
          </rPr>
          <t xml:space="preserve">
6 are wild kelts and 6 are wild prespawn</t>
        </r>
      </text>
    </comment>
    <comment ref="AX84" authorId="0" shapeId="0" xr:uid="{00000000-0006-0000-0200-000056000000}">
      <text>
        <r>
          <rPr>
            <b/>
            <sz val="8"/>
            <color indexed="81"/>
            <rFont val="Tahoma"/>
            <family val="2"/>
          </rPr>
          <t xml:space="preserve"> Rebecca Bernard:</t>
        </r>
        <r>
          <rPr>
            <sz val="8"/>
            <color indexed="81"/>
            <rFont val="Tahoma"/>
            <family val="2"/>
          </rPr>
          <t xml:space="preserve">
Expansions from outside of workbook--see "steelhead age master".</t>
        </r>
      </text>
    </comment>
    <comment ref="AY84" authorId="0" shapeId="0" xr:uid="{00000000-0006-0000-0200-000057000000}">
      <text>
        <r>
          <rPr>
            <b/>
            <sz val="8"/>
            <color indexed="81"/>
            <rFont val="Tahoma"/>
            <family val="2"/>
          </rPr>
          <t xml:space="preserve"> Rebecca Bernard:</t>
        </r>
        <r>
          <rPr>
            <sz val="8"/>
            <color indexed="81"/>
            <rFont val="Tahoma"/>
            <family val="2"/>
          </rPr>
          <t xml:space="preserve">
not sampled for kelts--only one noted.  Expansions from outside of workbook--see "steelhead age master".  2.5 (3) prespawn and 6.1 (6)  kelts calculated.</t>
        </r>
      </text>
    </comment>
    <comment ref="M85" authorId="0" shapeId="0" xr:uid="{00000000-0006-0000-0200-000058000000}">
      <text>
        <r>
          <rPr>
            <b/>
            <sz val="8"/>
            <color indexed="81"/>
            <rFont val="Tahoma"/>
            <family val="2"/>
          </rPr>
          <t xml:space="preserve"> Rebecca Bernard:</t>
        </r>
        <r>
          <rPr>
            <sz val="8"/>
            <color indexed="81"/>
            <rFont val="Tahoma"/>
            <family val="2"/>
          </rPr>
          <t xml:space="preserve">
1 is wild kelts and 0 are wild prespawn</t>
        </r>
      </text>
    </comment>
    <comment ref="M86" authorId="0" shapeId="0" xr:uid="{00000000-0006-0000-0200-000059000000}">
      <text>
        <r>
          <rPr>
            <b/>
            <sz val="8"/>
            <color indexed="81"/>
            <rFont val="Tahoma"/>
            <family val="2"/>
          </rPr>
          <t xml:space="preserve"> Rebecca Bernard:</t>
        </r>
        <r>
          <rPr>
            <sz val="8"/>
            <color indexed="81"/>
            <rFont val="Tahoma"/>
            <family val="2"/>
          </rPr>
          <t xml:space="preserve">
6 are wild kelts and 1 are wild prespawn</t>
        </r>
      </text>
    </comment>
    <comment ref="BE86" authorId="2" shapeId="0" xr:uid="{00000000-0006-0000-0200-00005A000000}">
      <text>
        <r>
          <rPr>
            <b/>
            <sz val="9"/>
            <color indexed="81"/>
            <rFont val="Tahoma"/>
            <family val="2"/>
          </rPr>
          <t>Pete Kairis:</t>
        </r>
        <r>
          <rPr>
            <sz val="9"/>
            <color indexed="81"/>
            <rFont val="Tahoma"/>
            <family val="2"/>
          </rPr>
          <t xml:space="preserve">
USIT test fishery 2 wild kelts</t>
        </r>
      </text>
    </comment>
    <comment ref="BD87" authorId="2" shapeId="0" xr:uid="{00000000-0006-0000-0200-00005B000000}">
      <text>
        <r>
          <rPr>
            <b/>
            <sz val="9"/>
            <color indexed="81"/>
            <rFont val="Tahoma"/>
            <family val="2"/>
          </rPr>
          <t>Pete Kairis:</t>
        </r>
        <r>
          <rPr>
            <sz val="9"/>
            <color indexed="81"/>
            <rFont val="Tahoma"/>
            <family val="2"/>
          </rPr>
          <t xml:space="preserve">
USIT test fishery 1 hatchery</t>
        </r>
      </text>
    </comment>
    <comment ref="A88" authorId="0" shapeId="0" xr:uid="{00000000-0006-0000-0200-00005C000000}">
      <text>
        <r>
          <rPr>
            <b/>
            <sz val="8"/>
            <color indexed="81"/>
            <rFont val="Tahoma"/>
            <family val="2"/>
          </rPr>
          <t xml:space="preserve"> Rebecca Bernard:</t>
        </r>
        <r>
          <rPr>
            <sz val="8"/>
            <color indexed="81"/>
            <rFont val="Tahoma"/>
            <family val="2"/>
          </rPr>
          <t xml:space="preserve">
end of management season</t>
        </r>
      </text>
    </comment>
    <comment ref="BB88" authorId="0" shapeId="0" xr:uid="{00000000-0006-0000-0200-00005D000000}">
      <text>
        <r>
          <rPr>
            <b/>
            <sz val="8"/>
            <color indexed="81"/>
            <rFont val="Tahoma"/>
            <family val="2"/>
          </rPr>
          <t xml:space="preserve"> Rebecca Bernard:</t>
        </r>
        <r>
          <rPr>
            <sz val="8"/>
            <color indexed="81"/>
            <rFont val="Tahoma"/>
            <family val="2"/>
          </rPr>
          <t xml:space="preserve">
river area 3 sockeye test</t>
        </r>
      </text>
    </comment>
    <comment ref="BC88" authorId="0" shapeId="0" xr:uid="{00000000-0006-0000-0200-00005E000000}">
      <text>
        <r>
          <rPr>
            <b/>
            <sz val="8"/>
            <color indexed="81"/>
            <rFont val="Tahoma"/>
            <family val="2"/>
          </rPr>
          <t xml:space="preserve"> Rebecca Bernard:</t>
        </r>
        <r>
          <rPr>
            <sz val="8"/>
            <color indexed="81"/>
            <rFont val="Tahoma"/>
            <family val="2"/>
          </rPr>
          <t xml:space="preserve">
kelt from test</t>
        </r>
      </text>
    </comment>
    <comment ref="BD88" authorId="1" shapeId="0" xr:uid="{00000000-0006-0000-0200-00005F000000}">
      <text>
        <r>
          <rPr>
            <b/>
            <sz val="9"/>
            <color indexed="81"/>
            <rFont val="Tahoma"/>
            <family val="2"/>
          </rPr>
          <t>rbernard:</t>
        </r>
        <r>
          <rPr>
            <sz val="9"/>
            <color indexed="81"/>
            <rFont val="Tahoma"/>
            <family val="2"/>
          </rPr>
          <t xml:space="preserve">
Swinomish catch during the sockeye fishery--6 wild kelts and 2 prespawn hatchery fish</t>
        </r>
      </text>
    </comment>
    <comment ref="BE88" authorId="1" shapeId="0" xr:uid="{00000000-0006-0000-0200-000060000000}">
      <text>
        <r>
          <rPr>
            <b/>
            <sz val="9"/>
            <color indexed="81"/>
            <rFont val="Tahoma"/>
            <family val="2"/>
          </rPr>
          <t>rbernard:</t>
        </r>
        <r>
          <rPr>
            <sz val="9"/>
            <color indexed="81"/>
            <rFont val="Tahoma"/>
            <family val="2"/>
          </rPr>
          <t xml:space="preserve">
Swinomish catch during the sockeye fishery--6 wild kelts and 2 prespawn hatchery fish</t>
        </r>
      </text>
    </comment>
    <comment ref="A89" authorId="0" shapeId="0" xr:uid="{00000000-0006-0000-0200-000061000000}">
      <text>
        <r>
          <rPr>
            <b/>
            <sz val="8"/>
            <color indexed="81"/>
            <rFont val="Tahoma"/>
            <family val="2"/>
          </rPr>
          <t xml:space="preserve"> Rebecca Bernard:</t>
        </r>
        <r>
          <rPr>
            <sz val="8"/>
            <color indexed="81"/>
            <rFont val="Tahoma"/>
            <family val="2"/>
          </rPr>
          <t xml:space="preserve">
start of new management season</t>
        </r>
      </text>
    </comment>
    <comment ref="BE89" authorId="1" shapeId="0" xr:uid="{00000000-0006-0000-0200-000062000000}">
      <text>
        <r>
          <rPr>
            <b/>
            <sz val="9"/>
            <color indexed="81"/>
            <rFont val="Tahoma"/>
            <family val="2"/>
          </rPr>
          <t>rbernard:</t>
        </r>
        <r>
          <rPr>
            <sz val="9"/>
            <color indexed="81"/>
            <rFont val="Tahoma"/>
            <family val="2"/>
          </rPr>
          <t xml:space="preserve">
Swinomish catch during the sockeye fishery--4 wild kelts
</t>
        </r>
      </text>
    </comment>
    <comment ref="AX90" authorId="0" shapeId="0" xr:uid="{00000000-0006-0000-0200-000063000000}">
      <text>
        <r>
          <rPr>
            <b/>
            <sz val="8"/>
            <color indexed="81"/>
            <rFont val="Tahoma"/>
            <family val="2"/>
          </rPr>
          <t xml:space="preserve"> Rebecca Bernard:</t>
        </r>
        <r>
          <rPr>
            <sz val="8"/>
            <color indexed="81"/>
            <rFont val="Tahoma"/>
            <family val="2"/>
          </rPr>
          <t xml:space="preserve">
was 3 corrected to 4 7/9/2010</t>
        </r>
      </text>
    </comment>
    <comment ref="AY90" authorId="0" shapeId="0" xr:uid="{00000000-0006-0000-0200-000064000000}">
      <text>
        <r>
          <rPr>
            <b/>
            <sz val="8"/>
            <color indexed="81"/>
            <rFont val="Tahoma"/>
            <family val="2"/>
          </rPr>
          <t xml:space="preserve"> Rebecca Bernard:</t>
        </r>
        <r>
          <rPr>
            <sz val="8"/>
            <color indexed="81"/>
            <rFont val="Tahoma"/>
            <family val="2"/>
          </rPr>
          <t xml:space="preserve">
was 9 corrected to 8 7/9/2010</t>
        </r>
      </text>
    </comment>
    <comment ref="BC90" authorId="0" shapeId="0" xr:uid="{00000000-0006-0000-0200-000065000000}">
      <text>
        <r>
          <rPr>
            <b/>
            <sz val="8"/>
            <color indexed="81"/>
            <rFont val="Tahoma"/>
            <family val="2"/>
          </rPr>
          <t xml:space="preserve"> Rebecca Bernard:</t>
        </r>
        <r>
          <rPr>
            <sz val="8"/>
            <color indexed="81"/>
            <rFont val="Tahoma"/>
            <family val="2"/>
          </rPr>
          <t xml:space="preserve">
kelt from test</t>
        </r>
      </text>
    </comment>
    <comment ref="BD90" authorId="2" shapeId="0" xr:uid="{00000000-0006-0000-0200-000066000000}">
      <text>
        <r>
          <rPr>
            <b/>
            <sz val="9"/>
            <color indexed="81"/>
            <rFont val="Tahoma"/>
            <family val="2"/>
          </rPr>
          <t>Pete Kairis:</t>
        </r>
        <r>
          <rPr>
            <sz val="9"/>
            <color indexed="81"/>
            <rFont val="Tahoma"/>
            <family val="2"/>
          </rPr>
          <t xml:space="preserve">
USIT test summer hatchery sthd</t>
        </r>
      </text>
    </comment>
    <comment ref="BB91" authorId="0" shapeId="0" xr:uid="{00000000-0006-0000-0200-000067000000}">
      <text>
        <r>
          <rPr>
            <b/>
            <sz val="8"/>
            <color indexed="81"/>
            <rFont val="Tahoma"/>
            <family val="2"/>
          </rPr>
          <t xml:space="preserve"> Rebecca Bernard:</t>
        </r>
        <r>
          <rPr>
            <sz val="8"/>
            <color indexed="81"/>
            <rFont val="Tahoma"/>
            <family val="2"/>
          </rPr>
          <t xml:space="preserve">
2 take home from Upper Skagit commercial fishery--not on tickets.</t>
        </r>
      </text>
    </comment>
    <comment ref="BE91" authorId="2" shapeId="0" xr:uid="{00000000-0006-0000-0200-000068000000}">
      <text>
        <r>
          <rPr>
            <b/>
            <sz val="9"/>
            <color indexed="81"/>
            <rFont val="Tahoma"/>
            <family val="2"/>
          </rPr>
          <t>Pete Kairis:</t>
        </r>
        <r>
          <rPr>
            <sz val="9"/>
            <color indexed="81"/>
            <rFont val="Tahoma"/>
            <family val="2"/>
          </rPr>
          <t xml:space="preserve">
USIT test 1 wild kelt</t>
        </r>
      </text>
    </comment>
    <comment ref="BC92" authorId="0" shapeId="0" xr:uid="{00000000-0006-0000-0200-000069000000}">
      <text>
        <r>
          <rPr>
            <b/>
            <sz val="8"/>
            <color indexed="81"/>
            <rFont val="Tahoma"/>
            <family val="2"/>
          </rPr>
          <t xml:space="preserve"> Rebecca Bernard:</t>
        </r>
        <r>
          <rPr>
            <sz val="8"/>
            <color indexed="81"/>
            <rFont val="Tahoma"/>
            <family val="2"/>
          </rPr>
          <t xml:space="preserve">
unmarked Kelt in commercial fishery</t>
        </r>
      </text>
    </comment>
    <comment ref="AZ93" authorId="0" shapeId="0" xr:uid="{00000000-0006-0000-0200-00006A000000}">
      <text>
        <r>
          <rPr>
            <b/>
            <sz val="8"/>
            <color indexed="81"/>
            <rFont val="Tahoma"/>
            <family val="2"/>
          </rPr>
          <t xml:space="preserve"> Rebecca Bernard:</t>
        </r>
        <r>
          <rPr>
            <sz val="8"/>
            <color indexed="81"/>
            <rFont val="Tahoma"/>
            <family val="2"/>
          </rPr>
          <t xml:space="preserve">
test</t>
        </r>
      </text>
    </comment>
    <comment ref="AZ94" authorId="0" shapeId="0" xr:uid="{00000000-0006-0000-0200-00006B000000}">
      <text>
        <r>
          <rPr>
            <b/>
            <sz val="8"/>
            <color indexed="81"/>
            <rFont val="Tahoma"/>
            <family val="2"/>
          </rPr>
          <t xml:space="preserve"> Rebecca Bernard:</t>
        </r>
        <r>
          <rPr>
            <sz val="8"/>
            <color indexed="81"/>
            <rFont val="Tahoma"/>
            <family val="2"/>
          </rPr>
          <t xml:space="preserve">
one from test</t>
        </r>
      </text>
    </comment>
    <comment ref="BB96" authorId="0" shapeId="0" xr:uid="{00000000-0006-0000-0200-00006C000000}">
      <text>
        <r>
          <rPr>
            <b/>
            <sz val="8"/>
            <color indexed="81"/>
            <rFont val="Tahoma"/>
            <family val="2"/>
          </rPr>
          <t xml:space="preserve"> Rebecca Bernard:</t>
        </r>
        <r>
          <rPr>
            <sz val="8"/>
            <color indexed="81"/>
            <rFont val="Tahoma"/>
            <family val="2"/>
          </rPr>
          <t xml:space="preserve">
from test</t>
        </r>
      </text>
    </comment>
    <comment ref="BB97" authorId="0" shapeId="0" xr:uid="{00000000-0006-0000-0200-00006D000000}">
      <text>
        <r>
          <rPr>
            <b/>
            <sz val="8"/>
            <color indexed="81"/>
            <rFont val="Tahoma"/>
            <family val="2"/>
          </rPr>
          <t xml:space="preserve"> Rebecca Bernard:</t>
        </r>
        <r>
          <rPr>
            <sz val="8"/>
            <color indexed="81"/>
            <rFont val="Tahoma"/>
            <family val="2"/>
          </rPr>
          <t xml:space="preserve">
from test-kelt</t>
        </r>
      </text>
    </comment>
    <comment ref="AZ98" authorId="0" shapeId="0" xr:uid="{00000000-0006-0000-0200-00006E000000}">
      <text>
        <r>
          <rPr>
            <b/>
            <sz val="8"/>
            <color indexed="81"/>
            <rFont val="Tahoma"/>
            <family val="2"/>
          </rPr>
          <t xml:space="preserve"> Rebecca Bernard:</t>
        </r>
        <r>
          <rPr>
            <sz val="8"/>
            <color indexed="81"/>
            <rFont val="Tahoma"/>
            <family val="2"/>
          </rPr>
          <t xml:space="preserve">
2 from test</t>
        </r>
      </text>
    </comment>
    <comment ref="BB100" authorId="1" shapeId="0" xr:uid="{00000000-0006-0000-0200-00006F000000}">
      <text>
        <r>
          <rPr>
            <b/>
            <sz val="9"/>
            <color indexed="81"/>
            <rFont val="Tahoma"/>
            <family val="2"/>
          </rPr>
          <t>rbernard:</t>
        </r>
        <r>
          <rPr>
            <sz val="9"/>
            <color indexed="81"/>
            <rFont val="Tahoma"/>
            <family val="2"/>
          </rPr>
          <t xml:space="preserve">
from test prespawn</t>
        </r>
      </text>
    </comment>
    <comment ref="BB101" authorId="1" shapeId="0" xr:uid="{00000000-0006-0000-0200-000070000000}">
      <text>
        <r>
          <rPr>
            <b/>
            <sz val="9"/>
            <color indexed="81"/>
            <rFont val="Tahoma"/>
            <family val="2"/>
          </rPr>
          <t>rbernard:</t>
        </r>
        <r>
          <rPr>
            <sz val="9"/>
            <color indexed="81"/>
            <rFont val="Tahoma"/>
            <family val="2"/>
          </rPr>
          <t xml:space="preserve">
from test-spudhouse-prespawn</t>
        </r>
      </text>
    </comment>
    <comment ref="BB104" authorId="0" shapeId="0" xr:uid="{00000000-0006-0000-0200-000071000000}">
      <text>
        <r>
          <rPr>
            <b/>
            <sz val="8"/>
            <color indexed="81"/>
            <rFont val="Tahoma"/>
            <family val="2"/>
          </rPr>
          <t xml:space="preserve"> Rebecca Bernard:</t>
        </r>
        <r>
          <rPr>
            <sz val="8"/>
            <color indexed="81"/>
            <rFont val="Tahoma"/>
            <family val="2"/>
          </rPr>
          <t xml:space="preserve">
sockeye test-Blakes</t>
        </r>
      </text>
    </comment>
    <comment ref="AZ105" authorId="0" shapeId="0" xr:uid="{00000000-0006-0000-0200-000072000000}">
      <text>
        <r>
          <rPr>
            <b/>
            <sz val="8"/>
            <color indexed="81"/>
            <rFont val="Tahoma"/>
            <family val="2"/>
          </rPr>
          <t xml:space="preserve"> Rebecca Bernard:</t>
        </r>
        <r>
          <rPr>
            <sz val="8"/>
            <color indexed="81"/>
            <rFont val="Tahoma"/>
            <family val="2"/>
          </rPr>
          <t xml:space="preserve">
1 is from test</t>
        </r>
      </text>
    </comment>
    <comment ref="A106" authorId="0" shapeId="0" xr:uid="{00000000-0006-0000-0200-000073000000}">
      <text>
        <r>
          <rPr>
            <b/>
            <sz val="8"/>
            <color indexed="81"/>
            <rFont val="Tahoma"/>
            <family val="2"/>
          </rPr>
          <t xml:space="preserve"> Rebecca Bernard:</t>
        </r>
        <r>
          <rPr>
            <sz val="8"/>
            <color indexed="81"/>
            <rFont val="Tahoma"/>
            <family val="2"/>
          </rPr>
          <t xml:space="preserve">
end of summer run hatchery fish management season</t>
        </r>
      </text>
    </comment>
    <comment ref="BE106" authorId="2" shapeId="0" xr:uid="{00000000-0006-0000-0200-000074000000}">
      <text>
        <r>
          <rPr>
            <b/>
            <sz val="9"/>
            <color indexed="81"/>
            <rFont val="Tahoma"/>
            <family val="2"/>
          </rPr>
          <t>Pete Kairis:</t>
        </r>
        <r>
          <rPr>
            <sz val="9"/>
            <color indexed="81"/>
            <rFont val="Tahoma"/>
            <family val="2"/>
          </rPr>
          <t xml:space="preserve">
SRSC Blake's test 1 wild prespawn</t>
        </r>
      </text>
    </comment>
    <comment ref="A107" authorId="0" shapeId="0" xr:uid="{00000000-0006-0000-0200-000075000000}">
      <text>
        <r>
          <rPr>
            <b/>
            <sz val="8"/>
            <color indexed="81"/>
            <rFont val="Tahoma"/>
            <family val="2"/>
          </rPr>
          <t xml:space="preserve"> Rebecca Bernard:</t>
        </r>
        <r>
          <rPr>
            <sz val="8"/>
            <color indexed="81"/>
            <rFont val="Tahoma"/>
            <family val="2"/>
          </rPr>
          <t xml:space="preserve">
beginning of winter run hatchery fish season</t>
        </r>
      </text>
    </comment>
    <comment ref="BD107" authorId="2" shapeId="0" xr:uid="{00000000-0006-0000-0200-000076000000}">
      <text>
        <r>
          <rPr>
            <b/>
            <sz val="9"/>
            <color indexed="81"/>
            <rFont val="Tahoma"/>
            <family val="2"/>
          </rPr>
          <t>Pete Kairis:</t>
        </r>
        <r>
          <rPr>
            <sz val="9"/>
            <color indexed="81"/>
            <rFont val="Tahoma"/>
            <family val="2"/>
          </rPr>
          <t xml:space="preserve">
SRSC Blakes test 1 hatchery prespawn</t>
        </r>
      </text>
    </comment>
    <comment ref="B111" authorId="0" shapeId="0" xr:uid="{00000000-0006-0000-0200-000077000000}">
      <text>
        <r>
          <rPr>
            <b/>
            <sz val="8"/>
            <color indexed="81"/>
            <rFont val="Tahoma"/>
            <family val="2"/>
          </rPr>
          <t xml:space="preserve"> Rebecca Bernard:</t>
        </r>
        <r>
          <rPr>
            <sz val="8"/>
            <color indexed="81"/>
            <rFont val="Tahoma"/>
            <family val="2"/>
          </rPr>
          <t xml:space="preserve">
can't use because most of catch was "U" because hatchery fish not mass marked and very few ages available.</t>
        </r>
      </text>
    </comment>
    <comment ref="AV112" authorId="0" shapeId="0" xr:uid="{00000000-0006-0000-0200-000078000000}">
      <text>
        <r>
          <rPr>
            <b/>
            <sz val="8"/>
            <color indexed="81"/>
            <rFont val="Tahoma"/>
            <family val="2"/>
          </rPr>
          <t xml:space="preserve"> Rebecca Bernard:</t>
        </r>
        <r>
          <rPr>
            <sz val="8"/>
            <color indexed="81"/>
            <rFont val="Tahoma"/>
            <family val="2"/>
          </rPr>
          <t xml:space="preserve">
chum broodstock incidental</t>
        </r>
      </text>
    </comment>
    <comment ref="B113" authorId="0" shapeId="0" xr:uid="{00000000-0006-0000-0200-000079000000}">
      <text>
        <r>
          <rPr>
            <b/>
            <sz val="8"/>
            <color indexed="81"/>
            <rFont val="Tahoma"/>
            <family val="2"/>
          </rPr>
          <t xml:space="preserve"> Rebecca Bernard:</t>
        </r>
        <r>
          <rPr>
            <sz val="8"/>
            <color indexed="81"/>
            <rFont val="Tahoma"/>
            <family val="2"/>
          </rPr>
          <t xml:space="preserve">
can't use because most of catch was "U" because hatchery fish not mass marked and very few ages available.</t>
        </r>
      </text>
    </comment>
    <comment ref="BD113" authorId="1" shapeId="0" xr:uid="{00000000-0006-0000-0200-00007A000000}">
      <text>
        <r>
          <rPr>
            <b/>
            <sz val="9"/>
            <color indexed="81"/>
            <rFont val="Tahoma"/>
            <family val="2"/>
          </rPr>
          <t>rbernard:</t>
        </r>
        <r>
          <rPr>
            <sz val="9"/>
            <color indexed="81"/>
            <rFont val="Tahoma"/>
            <family val="2"/>
          </rPr>
          <t xml:space="preserve">
hatchery--7 prespawn </t>
        </r>
      </text>
    </comment>
    <comment ref="B114" authorId="0" shapeId="0" xr:uid="{00000000-0006-0000-0200-00007B000000}">
      <text>
        <r>
          <rPr>
            <b/>
            <sz val="8"/>
            <color indexed="81"/>
            <rFont val="Tahoma"/>
            <family val="2"/>
          </rPr>
          <t xml:space="preserve"> Rebecca Bernard:</t>
        </r>
        <r>
          <rPr>
            <sz val="8"/>
            <color indexed="81"/>
            <rFont val="Tahoma"/>
            <family val="2"/>
          </rPr>
          <t xml:space="preserve">
can't use because most of catch was "U" because hatchery fish not mass marked and very few ages available.</t>
        </r>
      </text>
    </comment>
    <comment ref="BD114" authorId="1" shapeId="0" xr:uid="{00000000-0006-0000-0200-00007C000000}">
      <text>
        <r>
          <rPr>
            <b/>
            <sz val="9"/>
            <color indexed="81"/>
            <rFont val="Tahoma"/>
            <family val="2"/>
          </rPr>
          <t>rbernard:</t>
        </r>
        <r>
          <rPr>
            <sz val="9"/>
            <color indexed="81"/>
            <rFont val="Tahoma"/>
            <family val="2"/>
          </rPr>
          <t xml:space="preserve">
hatchery--30 prespawn and 1 kelt</t>
        </r>
      </text>
    </comment>
    <comment ref="BF120" authorId="1" shapeId="0" xr:uid="{00000000-0006-0000-0200-00007D000000}">
      <text>
        <r>
          <rPr>
            <b/>
            <sz val="9"/>
            <color indexed="81"/>
            <rFont val="Tahoma"/>
            <family val="2"/>
          </rPr>
          <t>rbernard:</t>
        </r>
        <r>
          <rPr>
            <sz val="9"/>
            <color indexed="81"/>
            <rFont val="Tahoma"/>
            <family val="2"/>
          </rPr>
          <t xml:space="preserve">
begins Jan 1 for Skagit Tribes--WDFW will have Jan 1 as week 2--in 2006, Bob's instructions were to use week 1 as Jan 1--plus TOCUS uses this. </t>
        </r>
      </text>
    </comment>
    <comment ref="B121" authorId="0" shapeId="0" xr:uid="{00000000-0006-0000-0200-00007E000000}">
      <text>
        <r>
          <rPr>
            <b/>
            <sz val="8"/>
            <color indexed="81"/>
            <rFont val="Tahoma"/>
            <family val="2"/>
          </rPr>
          <t xml:space="preserve"> Rebecca Bernard:</t>
        </r>
        <r>
          <rPr>
            <sz val="8"/>
            <color indexed="81"/>
            <rFont val="Tahoma"/>
            <family val="2"/>
          </rPr>
          <t xml:space="preserve">
lots of scale samples from test week 39 to 52, but only a handfull of ages, and since the hatchery fish weren't massmarked, other then scales, no way to know if H or W--"stubbed dorsal", or not is not listed--so cannot use these test catches for h/w composition.</t>
        </r>
      </text>
    </comment>
    <comment ref="C121" authorId="0" shapeId="0" xr:uid="{00000000-0006-0000-0200-00007F000000}">
      <text>
        <r>
          <rPr>
            <b/>
            <sz val="8"/>
            <color indexed="81"/>
            <rFont val="Tahoma"/>
            <family val="2"/>
          </rPr>
          <t xml:space="preserve"> Rebecca Bernard:</t>
        </r>
        <r>
          <rPr>
            <sz val="8"/>
            <color indexed="81"/>
            <rFont val="Tahoma"/>
            <family val="2"/>
          </rPr>
          <t xml:space="preserve">
lots of scale samples from test week 39 to 52, but only a handfull of ages, and since the hatchery fish weren't massmarked, other then scales, no way to know if H or W--"stubbed dorsal", or not is not listed--so cannot use these test catches for h/w composition.</t>
        </r>
      </text>
    </comment>
    <comment ref="A138" authorId="0" shapeId="0" xr:uid="{00000000-0006-0000-0200-000080000000}">
      <text>
        <r>
          <rPr>
            <b/>
            <sz val="8"/>
            <color indexed="81"/>
            <rFont val="Tahoma"/>
            <family val="2"/>
          </rPr>
          <t xml:space="preserve"> Rebecca Bernard:</t>
        </r>
        <r>
          <rPr>
            <sz val="8"/>
            <color indexed="81"/>
            <rFont val="Tahoma"/>
            <family val="2"/>
          </rPr>
          <t xml:space="preserve">
end of winter run hatchery season</t>
        </r>
      </text>
    </comment>
    <comment ref="A139" authorId="0" shapeId="0" xr:uid="{00000000-0006-0000-0200-000081000000}">
      <text>
        <r>
          <rPr>
            <b/>
            <sz val="8"/>
            <color indexed="81"/>
            <rFont val="Tahoma"/>
            <family val="2"/>
          </rPr>
          <t xml:space="preserve"> Rebecca Bernard:</t>
        </r>
        <r>
          <rPr>
            <sz val="8"/>
            <color indexed="81"/>
            <rFont val="Tahoma"/>
            <family val="2"/>
          </rPr>
          <t xml:space="preserve">
test fishery week 18-45.
begining of summer run hatchery management season</t>
        </r>
      </text>
    </comment>
    <comment ref="CJ140" authorId="2" shapeId="0" xr:uid="{00000000-0006-0000-0200-000082000000}">
      <text>
        <r>
          <rPr>
            <b/>
            <sz val="9"/>
            <color indexed="81"/>
            <rFont val="Tahoma"/>
            <family val="2"/>
          </rPr>
          <t>Pete Kairis:</t>
        </r>
        <r>
          <rPr>
            <sz val="9"/>
            <color indexed="81"/>
            <rFont val="Tahoma"/>
            <family val="2"/>
          </rPr>
          <t xml:space="preserve">
Using annual treaty commercial catch spreadsheet for H/W and kelt/prespawn, so this table is not needed anymore</t>
        </r>
      </text>
    </comment>
    <comment ref="A147" authorId="0" shapeId="0" xr:uid="{00000000-0006-0000-0200-000083000000}">
      <text>
        <r>
          <rPr>
            <b/>
            <sz val="8"/>
            <color indexed="81"/>
            <rFont val="Tahoma"/>
            <family val="2"/>
          </rPr>
          <t xml:space="preserve"> Rebecca Bernard:</t>
        </r>
        <r>
          <rPr>
            <sz val="8"/>
            <color indexed="81"/>
            <rFont val="Tahoma"/>
            <family val="2"/>
          </rPr>
          <t xml:space="preserve">
end of management season</t>
        </r>
      </text>
    </comment>
    <comment ref="A148" authorId="0" shapeId="0" xr:uid="{00000000-0006-0000-0200-000084000000}">
      <text>
        <r>
          <rPr>
            <b/>
            <sz val="8"/>
            <color indexed="81"/>
            <rFont val="Tahoma"/>
            <family val="2"/>
          </rPr>
          <t xml:space="preserve"> Rebecca Bernard:</t>
        </r>
        <r>
          <rPr>
            <sz val="8"/>
            <color indexed="81"/>
            <rFont val="Tahoma"/>
            <family val="2"/>
          </rPr>
          <t xml:space="preserve">
start of new management season</t>
        </r>
      </text>
    </comment>
    <comment ref="BD149" authorId="1" shapeId="0" xr:uid="{00000000-0006-0000-0200-000085000000}">
      <text>
        <r>
          <rPr>
            <b/>
            <sz val="9"/>
            <color indexed="81"/>
            <rFont val="Tahoma"/>
            <family val="2"/>
          </rPr>
          <t>rbernard:</t>
        </r>
        <r>
          <rPr>
            <sz val="9"/>
            <color indexed="81"/>
            <rFont val="Tahoma"/>
            <family val="2"/>
          </rPr>
          <t xml:space="preserve">
test</t>
        </r>
      </text>
    </comment>
    <comment ref="BE149" authorId="1" shapeId="0" xr:uid="{00000000-0006-0000-0200-000086000000}">
      <text>
        <r>
          <rPr>
            <b/>
            <sz val="9"/>
            <color indexed="81"/>
            <rFont val="Tahoma"/>
            <family val="2"/>
          </rPr>
          <t>rbernard:</t>
        </r>
        <r>
          <rPr>
            <sz val="9"/>
            <color indexed="81"/>
            <rFont val="Tahoma"/>
            <family val="2"/>
          </rPr>
          <t xml:space="preserve">
test</t>
        </r>
      </text>
    </comment>
    <comment ref="BD150" authorId="1" shapeId="0" xr:uid="{00000000-0006-0000-0200-000087000000}">
      <text>
        <r>
          <rPr>
            <b/>
            <sz val="9"/>
            <color indexed="81"/>
            <rFont val="Tahoma"/>
            <family val="2"/>
          </rPr>
          <t>rbernard:</t>
        </r>
        <r>
          <rPr>
            <sz val="9"/>
            <color indexed="81"/>
            <rFont val="Tahoma"/>
            <family val="2"/>
          </rPr>
          <t xml:space="preserve">
test</t>
        </r>
      </text>
    </comment>
    <comment ref="BE150" authorId="1" shapeId="0" xr:uid="{00000000-0006-0000-0200-000088000000}">
      <text>
        <r>
          <rPr>
            <b/>
            <sz val="9"/>
            <color indexed="81"/>
            <rFont val="Tahoma"/>
            <family val="2"/>
          </rPr>
          <t>rbernard:</t>
        </r>
        <r>
          <rPr>
            <sz val="9"/>
            <color indexed="81"/>
            <rFont val="Tahoma"/>
            <family val="2"/>
          </rPr>
          <t xml:space="preserve">
test</t>
        </r>
      </text>
    </comment>
    <comment ref="AZ152" authorId="1" shapeId="0" xr:uid="{00000000-0006-0000-0200-000089000000}">
      <text>
        <r>
          <rPr>
            <b/>
            <sz val="9"/>
            <color indexed="81"/>
            <rFont val="Tahoma"/>
            <family val="2"/>
          </rPr>
          <t>rbernard:</t>
        </r>
        <r>
          <rPr>
            <sz val="9"/>
            <color indexed="81"/>
            <rFont val="Tahoma"/>
            <family val="2"/>
          </rPr>
          <t xml:space="preserve">
test</t>
        </r>
      </text>
    </comment>
    <comment ref="BA152" authorId="1" shapeId="0" xr:uid="{00000000-0006-0000-0200-00008A000000}">
      <text>
        <r>
          <rPr>
            <b/>
            <sz val="9"/>
            <color indexed="81"/>
            <rFont val="Tahoma"/>
            <family val="2"/>
          </rPr>
          <t>rbernard:</t>
        </r>
        <r>
          <rPr>
            <sz val="9"/>
            <color indexed="81"/>
            <rFont val="Tahoma"/>
            <family val="2"/>
          </rPr>
          <t xml:space="preserve">
test</t>
        </r>
      </text>
    </comment>
    <comment ref="BB155" authorId="1" shapeId="0" xr:uid="{00000000-0006-0000-0200-00008B000000}">
      <text>
        <r>
          <rPr>
            <b/>
            <sz val="9"/>
            <color indexed="81"/>
            <rFont val="Tahoma"/>
            <family val="2"/>
          </rPr>
          <t>rbernard:</t>
        </r>
        <r>
          <rPr>
            <sz val="9"/>
            <color indexed="81"/>
            <rFont val="Tahoma"/>
            <family val="2"/>
          </rPr>
          <t xml:space="preserve">
test</t>
        </r>
      </text>
    </comment>
    <comment ref="BC155" authorId="1" shapeId="0" xr:uid="{00000000-0006-0000-0200-00008C000000}">
      <text>
        <r>
          <rPr>
            <b/>
            <sz val="9"/>
            <color indexed="81"/>
            <rFont val="Tahoma"/>
            <family val="2"/>
          </rPr>
          <t>rbernard:</t>
        </r>
        <r>
          <rPr>
            <sz val="9"/>
            <color indexed="81"/>
            <rFont val="Tahoma"/>
            <family val="2"/>
          </rPr>
          <t xml:space="preserve">
test</t>
        </r>
      </text>
    </comment>
    <comment ref="BB156" authorId="1" shapeId="0" xr:uid="{00000000-0006-0000-0200-00008D000000}">
      <text>
        <r>
          <rPr>
            <b/>
            <sz val="9"/>
            <color indexed="81"/>
            <rFont val="Tahoma"/>
            <family val="2"/>
          </rPr>
          <t>rbernard:</t>
        </r>
        <r>
          <rPr>
            <sz val="9"/>
            <color indexed="81"/>
            <rFont val="Tahoma"/>
            <family val="2"/>
          </rPr>
          <t xml:space="preserve">
test</t>
        </r>
      </text>
    </comment>
    <comment ref="BC156" authorId="1" shapeId="0" xr:uid="{00000000-0006-0000-0200-00008E000000}">
      <text>
        <r>
          <rPr>
            <b/>
            <sz val="9"/>
            <color indexed="81"/>
            <rFont val="Tahoma"/>
            <family val="2"/>
          </rPr>
          <t>rbernard:</t>
        </r>
        <r>
          <rPr>
            <sz val="9"/>
            <color indexed="81"/>
            <rFont val="Tahoma"/>
            <family val="2"/>
          </rPr>
          <t xml:space="preserve">
test</t>
        </r>
      </text>
    </comment>
    <comment ref="BB159" authorId="1" shapeId="0" xr:uid="{00000000-0006-0000-0200-00008F000000}">
      <text>
        <r>
          <rPr>
            <b/>
            <sz val="9"/>
            <color indexed="81"/>
            <rFont val="Tahoma"/>
            <family val="2"/>
          </rPr>
          <t>rbernard:</t>
        </r>
        <r>
          <rPr>
            <sz val="9"/>
            <color indexed="81"/>
            <rFont val="Tahoma"/>
            <family val="2"/>
          </rPr>
          <t xml:space="preserve">
test</t>
        </r>
      </text>
    </comment>
    <comment ref="BC159" authorId="1" shapeId="0" xr:uid="{00000000-0006-0000-0200-000090000000}">
      <text>
        <r>
          <rPr>
            <b/>
            <sz val="9"/>
            <color indexed="81"/>
            <rFont val="Tahoma"/>
            <family val="2"/>
          </rPr>
          <t>rbernard:</t>
        </r>
        <r>
          <rPr>
            <sz val="9"/>
            <color indexed="81"/>
            <rFont val="Tahoma"/>
            <family val="2"/>
          </rPr>
          <t xml:space="preserve">
test</t>
        </r>
      </text>
    </comment>
    <comment ref="BB160" authorId="1" shapeId="0" xr:uid="{00000000-0006-0000-0200-000091000000}">
      <text>
        <r>
          <rPr>
            <b/>
            <sz val="9"/>
            <color indexed="81"/>
            <rFont val="Tahoma"/>
            <family val="2"/>
          </rPr>
          <t>rbernard:</t>
        </r>
        <r>
          <rPr>
            <sz val="9"/>
            <color indexed="81"/>
            <rFont val="Tahoma"/>
            <family val="2"/>
          </rPr>
          <t xml:space="preserve">
test</t>
        </r>
      </text>
    </comment>
    <comment ref="BC160" authorId="1" shapeId="0" xr:uid="{00000000-0006-0000-0200-000092000000}">
      <text>
        <r>
          <rPr>
            <b/>
            <sz val="9"/>
            <color indexed="81"/>
            <rFont val="Tahoma"/>
            <family val="2"/>
          </rPr>
          <t>rbernard:</t>
        </r>
        <r>
          <rPr>
            <sz val="9"/>
            <color indexed="81"/>
            <rFont val="Tahoma"/>
            <family val="2"/>
          </rPr>
          <t xml:space="preserve">
test</t>
        </r>
      </text>
    </comment>
    <comment ref="BB163" authorId="1" shapeId="0" xr:uid="{00000000-0006-0000-0200-000093000000}">
      <text>
        <r>
          <rPr>
            <b/>
            <sz val="9"/>
            <color indexed="81"/>
            <rFont val="Tahoma"/>
            <family val="2"/>
          </rPr>
          <t>rbernard:</t>
        </r>
        <r>
          <rPr>
            <sz val="9"/>
            <color indexed="81"/>
            <rFont val="Tahoma"/>
            <family val="2"/>
          </rPr>
          <t xml:space="preserve">
test</t>
        </r>
      </text>
    </comment>
    <comment ref="BC163" authorId="1" shapeId="0" xr:uid="{00000000-0006-0000-0200-000094000000}">
      <text>
        <r>
          <rPr>
            <b/>
            <sz val="9"/>
            <color indexed="81"/>
            <rFont val="Tahoma"/>
            <family val="2"/>
          </rPr>
          <t>rbernard:</t>
        </r>
        <r>
          <rPr>
            <sz val="9"/>
            <color indexed="81"/>
            <rFont val="Tahoma"/>
            <family val="2"/>
          </rPr>
          <t xml:space="preserve">
test</t>
        </r>
      </text>
    </comment>
    <comment ref="A165" authorId="0" shapeId="0" xr:uid="{00000000-0006-0000-0200-000095000000}">
      <text>
        <r>
          <rPr>
            <b/>
            <sz val="8"/>
            <color indexed="81"/>
            <rFont val="Tahoma"/>
            <family val="2"/>
          </rPr>
          <t xml:space="preserve"> Rebecca Bernard:</t>
        </r>
        <r>
          <rPr>
            <sz val="8"/>
            <color indexed="81"/>
            <rFont val="Tahoma"/>
            <family val="2"/>
          </rPr>
          <t xml:space="preserve">
end of summer run hatchery fish management season</t>
        </r>
      </text>
    </comment>
    <comment ref="BE165" authorId="1" shapeId="0" xr:uid="{00000000-0006-0000-0200-000096000000}">
      <text>
        <r>
          <rPr>
            <b/>
            <sz val="9"/>
            <color indexed="81"/>
            <rFont val="Tahoma"/>
            <family val="2"/>
          </rPr>
          <t>rbernard:</t>
        </r>
        <r>
          <rPr>
            <sz val="9"/>
            <color indexed="81"/>
            <rFont val="Tahoma"/>
            <family val="2"/>
          </rPr>
          <t xml:space="preserve">
test</t>
        </r>
      </text>
    </comment>
    <comment ref="A166" authorId="0" shapeId="0" xr:uid="{00000000-0006-0000-0200-000097000000}">
      <text>
        <r>
          <rPr>
            <b/>
            <sz val="8"/>
            <color indexed="81"/>
            <rFont val="Tahoma"/>
            <family val="2"/>
          </rPr>
          <t xml:space="preserve"> Rebecca Bernard:</t>
        </r>
        <r>
          <rPr>
            <sz val="8"/>
            <color indexed="81"/>
            <rFont val="Tahoma"/>
            <family val="2"/>
          </rPr>
          <t xml:space="preserve">
beginning of winter run hatchery fish season</t>
        </r>
      </text>
    </comment>
    <comment ref="BD166" authorId="1" shapeId="0" xr:uid="{00000000-0006-0000-0200-000098000000}">
      <text>
        <r>
          <rPr>
            <b/>
            <sz val="9"/>
            <color indexed="81"/>
            <rFont val="Tahoma"/>
            <family val="2"/>
          </rPr>
          <t>rbernard:</t>
        </r>
        <r>
          <rPr>
            <sz val="9"/>
            <color indexed="81"/>
            <rFont val="Tahoma"/>
            <family val="2"/>
          </rPr>
          <t xml:space="preserve">
test</t>
        </r>
      </text>
    </comment>
    <comment ref="B170" authorId="0" shapeId="0" xr:uid="{00000000-0006-0000-0200-000099000000}">
      <text>
        <r>
          <rPr>
            <b/>
            <sz val="8"/>
            <color indexed="81"/>
            <rFont val="Tahoma"/>
            <family val="2"/>
          </rPr>
          <t xml:space="preserve"> Rebecca Bernard:</t>
        </r>
        <r>
          <rPr>
            <sz val="8"/>
            <color indexed="81"/>
            <rFont val="Tahoma"/>
            <family val="2"/>
          </rPr>
          <t xml:space="preserve">
can't use because most of catch was "U" because hatchery fish not mass marked and very few ages available.</t>
        </r>
      </text>
    </comment>
    <comment ref="B172" authorId="0" shapeId="0" xr:uid="{00000000-0006-0000-0200-00009A000000}">
      <text>
        <r>
          <rPr>
            <b/>
            <sz val="8"/>
            <color indexed="81"/>
            <rFont val="Tahoma"/>
            <family val="2"/>
          </rPr>
          <t xml:space="preserve"> Rebecca Bernard:</t>
        </r>
        <r>
          <rPr>
            <sz val="8"/>
            <color indexed="81"/>
            <rFont val="Tahoma"/>
            <family val="2"/>
          </rPr>
          <t xml:space="preserve">
can't use because most of catch was "U" because hatchery fish not mass marked and very few ages available.</t>
        </r>
      </text>
    </comment>
    <comment ref="B173" authorId="0" shapeId="0" xr:uid="{00000000-0006-0000-0200-00009B000000}">
      <text>
        <r>
          <rPr>
            <b/>
            <sz val="8"/>
            <color indexed="81"/>
            <rFont val="Tahoma"/>
            <family val="2"/>
          </rPr>
          <t xml:space="preserve"> Rebecca Bernard:</t>
        </r>
        <r>
          <rPr>
            <sz val="8"/>
            <color indexed="81"/>
            <rFont val="Tahoma"/>
            <family val="2"/>
          </rPr>
          <t xml:space="preserve">
can't use because most of catch was "U" because hatchery fish not mass marked and very few ages available.</t>
        </r>
      </text>
    </comment>
    <comment ref="B179" authorId="0" shapeId="0" xr:uid="{00000000-0006-0000-0200-00009C000000}">
      <text>
        <r>
          <rPr>
            <b/>
            <sz val="8"/>
            <color indexed="81"/>
            <rFont val="Tahoma"/>
            <family val="2"/>
          </rPr>
          <t xml:space="preserve"> Rebecca Bernard:</t>
        </r>
        <r>
          <rPr>
            <sz val="8"/>
            <color indexed="81"/>
            <rFont val="Tahoma"/>
            <family val="2"/>
          </rPr>
          <t xml:space="preserve">
lots of scale samples from test week 39 to 52, but only a handfull of ages, and since the hatchery fish weren't massmarked, other then scales, no way to know if H or W--"stubbed dorsal", or not is not listed--so cannot use these test catches for h/w composition.</t>
        </r>
      </text>
    </comment>
    <comment ref="C179" authorId="0" shapeId="0" xr:uid="{00000000-0006-0000-0200-00009D000000}">
      <text>
        <r>
          <rPr>
            <b/>
            <sz val="8"/>
            <color indexed="81"/>
            <rFont val="Tahoma"/>
            <family val="2"/>
          </rPr>
          <t xml:space="preserve"> Rebecca Bernard:</t>
        </r>
        <r>
          <rPr>
            <sz val="8"/>
            <color indexed="81"/>
            <rFont val="Tahoma"/>
            <family val="2"/>
          </rPr>
          <t xml:space="preserve">
lots of scale samples from test week 39 to 52, but only a handfull of ages, and since the hatchery fish weren't massmarked, other then scales, no way to know if H or W--"stubbed dorsal", or not is not listed--so cannot use these test catches for h/w composition.</t>
        </r>
      </text>
    </comment>
    <comment ref="BF180" authorId="1" shapeId="0" xr:uid="{00000000-0006-0000-0200-00009E000000}">
      <text>
        <r>
          <rPr>
            <b/>
            <sz val="9"/>
            <color indexed="81"/>
            <rFont val="Tahoma"/>
            <family val="2"/>
          </rPr>
          <t>rbernard:</t>
        </r>
        <r>
          <rPr>
            <sz val="9"/>
            <color indexed="81"/>
            <rFont val="Tahoma"/>
            <family val="2"/>
          </rPr>
          <t xml:space="preserve">
begins Jan 1 for Skagit Tribes--WDFW will have Jan 1 as week 2--in 2006, Bob's instructions were to use week 1 as Jan 1--plus TOCUS uses this. </t>
        </r>
      </text>
    </comment>
    <comment ref="BG180" authorId="1" shapeId="0" xr:uid="{00000000-0006-0000-0200-00009F000000}">
      <text>
        <r>
          <rPr>
            <b/>
            <sz val="9"/>
            <color indexed="81"/>
            <rFont val="Tahoma"/>
            <family val="2"/>
          </rPr>
          <t>rbernard:</t>
        </r>
        <r>
          <rPr>
            <sz val="9"/>
            <color indexed="81"/>
            <rFont val="Tahoma"/>
            <family val="2"/>
          </rPr>
          <t xml:space="preserve">
begins Jan 1 for Skagit Tribes--WDFW will have Jan 1 as week 2--in 2006, Bob's instructions were to use week 1 as Jan 1--plus TOCUS uses this. </t>
        </r>
      </text>
    </comment>
    <comment ref="BL180" authorId="2" shapeId="0" xr:uid="{00000000-0006-0000-0200-0000A0000000}">
      <text>
        <r>
          <rPr>
            <b/>
            <sz val="9"/>
            <color indexed="81"/>
            <rFont val="Tahoma"/>
            <family val="2"/>
          </rPr>
          <t>Pete Kairis:</t>
        </r>
        <r>
          <rPr>
            <sz val="9"/>
            <color indexed="81"/>
            <rFont val="Tahoma"/>
            <family val="2"/>
          </rPr>
          <t xml:space="preserve">
Upper Skagit
</t>
        </r>
      </text>
    </comment>
    <comment ref="L181" authorId="0" shapeId="0" xr:uid="{00000000-0006-0000-0200-0000A1000000}">
      <text>
        <r>
          <rPr>
            <b/>
            <sz val="8"/>
            <color indexed="81"/>
            <rFont val="Tahoma"/>
            <family val="2"/>
          </rPr>
          <t xml:space="preserve"> Rebecca Bernard:</t>
        </r>
        <r>
          <rPr>
            <sz val="8"/>
            <color indexed="81"/>
            <rFont val="Tahoma"/>
            <family val="2"/>
          </rPr>
          <t xml:space="preserve">
6 seized</t>
        </r>
      </text>
    </comment>
    <comment ref="BF181" authorId="1" shapeId="0" xr:uid="{00000000-0006-0000-0200-0000A2000000}">
      <text>
        <r>
          <rPr>
            <b/>
            <sz val="9"/>
            <color indexed="81"/>
            <rFont val="Tahoma"/>
            <family val="2"/>
          </rPr>
          <t>rbernard:</t>
        </r>
        <r>
          <rPr>
            <sz val="9"/>
            <color indexed="81"/>
            <rFont val="Tahoma"/>
            <family val="2"/>
          </rPr>
          <t xml:space="preserve">
USIT</t>
        </r>
      </text>
    </comment>
    <comment ref="BL181" authorId="2" shapeId="0" xr:uid="{00000000-0006-0000-0200-0000A3000000}">
      <text>
        <r>
          <rPr>
            <b/>
            <sz val="9"/>
            <color indexed="81"/>
            <rFont val="Tahoma"/>
            <family val="2"/>
          </rPr>
          <t>Pete Kairis:</t>
        </r>
        <r>
          <rPr>
            <sz val="9"/>
            <color indexed="81"/>
            <rFont val="Tahoma"/>
            <family val="2"/>
          </rPr>
          <t xml:space="preserve">
Upper Skagit
</t>
        </r>
      </text>
    </comment>
    <comment ref="BL182" authorId="2" shapeId="0" xr:uid="{00000000-0006-0000-0200-0000A4000000}">
      <text>
        <r>
          <rPr>
            <b/>
            <sz val="9"/>
            <color indexed="81"/>
            <rFont val="Tahoma"/>
            <family val="2"/>
          </rPr>
          <t>Pete Kairis:</t>
        </r>
        <r>
          <rPr>
            <sz val="9"/>
            <color indexed="81"/>
            <rFont val="Tahoma"/>
            <family val="2"/>
          </rPr>
          <t xml:space="preserve">
Upper Skagit
</t>
        </r>
      </text>
    </comment>
    <comment ref="L183" authorId="0" shapeId="0" xr:uid="{00000000-0006-0000-0200-0000A5000000}">
      <text>
        <r>
          <rPr>
            <b/>
            <sz val="8"/>
            <color indexed="81"/>
            <rFont val="Tahoma"/>
            <family val="2"/>
          </rPr>
          <t xml:space="preserve"> Rebecca Bernard:</t>
        </r>
        <r>
          <rPr>
            <sz val="8"/>
            <color indexed="81"/>
            <rFont val="Tahoma"/>
            <family val="2"/>
          </rPr>
          <t xml:space="preserve">
2 seized</t>
        </r>
      </text>
    </comment>
    <comment ref="BF183" authorId="1" shapeId="0" xr:uid="{00000000-0006-0000-0200-0000A6000000}">
      <text>
        <r>
          <rPr>
            <b/>
            <sz val="9"/>
            <color indexed="81"/>
            <rFont val="Tahoma"/>
            <family val="2"/>
          </rPr>
          <t>rbernard:</t>
        </r>
        <r>
          <rPr>
            <sz val="9"/>
            <color indexed="81"/>
            <rFont val="Tahoma"/>
            <family val="2"/>
          </rPr>
          <t xml:space="preserve">
upper skagit Tribe</t>
        </r>
      </text>
    </comment>
    <comment ref="BF184" authorId="1" shapeId="0" xr:uid="{00000000-0006-0000-0200-0000A7000000}">
      <text>
        <r>
          <rPr>
            <b/>
            <sz val="9"/>
            <color indexed="81"/>
            <rFont val="Tahoma"/>
            <family val="2"/>
          </rPr>
          <t>rbernard:</t>
        </r>
        <r>
          <rPr>
            <sz val="9"/>
            <color indexed="81"/>
            <rFont val="Tahoma"/>
            <family val="2"/>
          </rPr>
          <t xml:space="preserve">
Swinomish tribe 2--USIT 20</t>
        </r>
      </text>
    </comment>
    <comment ref="V185" authorId="0" shapeId="0" xr:uid="{00000000-0006-0000-0200-0000A8000000}">
      <text>
        <r>
          <rPr>
            <b/>
            <sz val="8"/>
            <color indexed="81"/>
            <rFont val="Tahoma"/>
            <family val="2"/>
          </rPr>
          <t xml:space="preserve"> Rebecca Bernard:</t>
        </r>
        <r>
          <rPr>
            <sz val="8"/>
            <color indexed="81"/>
            <rFont val="Tahoma"/>
            <family val="2"/>
          </rPr>
          <t xml:space="preserve">
samples but no catch on ticket</t>
        </r>
      </text>
    </comment>
    <comment ref="BF185" authorId="1" shapeId="0" xr:uid="{00000000-0006-0000-0200-0000A9000000}">
      <text>
        <r>
          <rPr>
            <b/>
            <sz val="9"/>
            <color indexed="81"/>
            <rFont val="Tahoma"/>
            <family val="2"/>
          </rPr>
          <t>rbernard:</t>
        </r>
        <r>
          <rPr>
            <sz val="9"/>
            <color indexed="81"/>
            <rFont val="Tahoma"/>
            <family val="2"/>
          </rPr>
          <t xml:space="preserve">
upper skagit</t>
        </r>
      </text>
    </comment>
    <comment ref="N186" authorId="0" shapeId="0" xr:uid="{00000000-0006-0000-0200-0000AA000000}">
      <text>
        <r>
          <rPr>
            <b/>
            <sz val="8"/>
            <color indexed="81"/>
            <rFont val="Tahoma"/>
            <family val="2"/>
          </rPr>
          <t xml:space="preserve"> Rebecca Bernard:</t>
        </r>
        <r>
          <rPr>
            <sz val="8"/>
            <color indexed="81"/>
            <rFont val="Tahoma"/>
            <family val="2"/>
          </rPr>
          <t xml:space="preserve">
samples but no catch on ticket</t>
        </r>
      </text>
    </comment>
    <comment ref="AL186" authorId="0" shapeId="0" xr:uid="{00000000-0006-0000-0200-0000AB000000}">
      <text>
        <r>
          <rPr>
            <b/>
            <sz val="8"/>
            <color indexed="81"/>
            <rFont val="Tahoma"/>
            <family val="2"/>
          </rPr>
          <t xml:space="preserve"> Rebecca Bernard:</t>
        </r>
        <r>
          <rPr>
            <sz val="8"/>
            <color indexed="81"/>
            <rFont val="Tahoma"/>
            <family val="2"/>
          </rPr>
          <t xml:space="preserve">
not open</t>
        </r>
      </text>
    </comment>
    <comment ref="BD186" authorId="1" shapeId="0" xr:uid="{00000000-0006-0000-0200-0000AC000000}">
      <text>
        <r>
          <rPr>
            <b/>
            <sz val="9"/>
            <color indexed="81"/>
            <rFont val="Tahoma"/>
            <family val="2"/>
          </rPr>
          <t>rbernard:</t>
        </r>
        <r>
          <rPr>
            <sz val="9"/>
            <color indexed="81"/>
            <rFont val="Tahoma"/>
            <family val="2"/>
          </rPr>
          <t xml:space="preserve">
Upper Skagit C&amp;S</t>
        </r>
      </text>
    </comment>
    <comment ref="BF186" authorId="1" shapeId="0" xr:uid="{00000000-0006-0000-0200-0000AD000000}">
      <text>
        <r>
          <rPr>
            <b/>
            <sz val="9"/>
            <color indexed="81"/>
            <rFont val="Tahoma"/>
            <family val="2"/>
          </rPr>
          <t>rbernard:</t>
        </r>
        <r>
          <rPr>
            <sz val="9"/>
            <color indexed="81"/>
            <rFont val="Tahoma"/>
            <family val="2"/>
          </rPr>
          <t xml:space="preserve">
upper skagit</t>
        </r>
      </text>
    </comment>
    <comment ref="V187" authorId="0" shapeId="0" xr:uid="{00000000-0006-0000-0200-0000AE000000}">
      <text>
        <r>
          <rPr>
            <b/>
            <sz val="8"/>
            <color indexed="81"/>
            <rFont val="Tahoma"/>
            <family val="2"/>
          </rPr>
          <t xml:space="preserve"> Rebecca Bernard:</t>
        </r>
        <r>
          <rPr>
            <sz val="8"/>
            <color indexed="81"/>
            <rFont val="Tahoma"/>
            <family val="2"/>
          </rPr>
          <t xml:space="preserve">
samples but no catch on ticket</t>
        </r>
      </text>
    </comment>
    <comment ref="Z187" authorId="0" shapeId="0" xr:uid="{00000000-0006-0000-0200-0000AF000000}">
      <text>
        <r>
          <rPr>
            <b/>
            <sz val="8"/>
            <color indexed="81"/>
            <rFont val="Tahoma"/>
            <family val="2"/>
          </rPr>
          <t xml:space="preserve"> Rebecca Bernard:</t>
        </r>
        <r>
          <rPr>
            <sz val="8"/>
            <color indexed="81"/>
            <rFont val="Tahoma"/>
            <family val="2"/>
          </rPr>
          <t xml:space="preserve">
samples, but no catch on tickts</t>
        </r>
      </text>
    </comment>
    <comment ref="AL187" authorId="0" shapeId="0" xr:uid="{00000000-0006-0000-0200-0000B0000000}">
      <text>
        <r>
          <rPr>
            <b/>
            <sz val="8"/>
            <color indexed="81"/>
            <rFont val="Tahoma"/>
            <family val="2"/>
          </rPr>
          <t xml:space="preserve"> Rebecca Bernard:</t>
        </r>
        <r>
          <rPr>
            <sz val="8"/>
            <color indexed="81"/>
            <rFont val="Tahoma"/>
            <family val="2"/>
          </rPr>
          <t xml:space="preserve">
not open</t>
        </r>
      </text>
    </comment>
    <comment ref="BL187" authorId="2" shapeId="0" xr:uid="{00000000-0006-0000-0200-0000B1000000}">
      <text>
        <r>
          <rPr>
            <b/>
            <sz val="9"/>
            <color indexed="81"/>
            <rFont val="Tahoma"/>
            <family val="2"/>
          </rPr>
          <t>Pete Kairis:</t>
        </r>
        <r>
          <rPr>
            <sz val="9"/>
            <color indexed="81"/>
            <rFont val="Tahoma"/>
            <family val="2"/>
          </rPr>
          <t xml:space="preserve">
USIT tanglenet "C&amp;S", all released.  Estimated mortality 18.5%.</t>
        </r>
      </text>
    </comment>
    <comment ref="BR187" authorId="2" shapeId="0" xr:uid="{00000000-0006-0000-0200-0000B2000000}">
      <text>
        <r>
          <rPr>
            <b/>
            <sz val="9"/>
            <color indexed="81"/>
            <rFont val="Tahoma"/>
            <family val="2"/>
          </rPr>
          <t>Pete Kairis:</t>
        </r>
        <r>
          <rPr>
            <sz val="9"/>
            <color indexed="81"/>
            <rFont val="Tahoma"/>
            <family val="2"/>
          </rPr>
          <t xml:space="preserve">
USIT tanglenet "C&amp;S", all released.  Estimated mortality 18.5%.</t>
        </r>
      </text>
    </comment>
    <comment ref="BX187" authorId="2" shapeId="0" xr:uid="{00000000-0006-0000-0200-0000B3000000}">
      <text>
        <r>
          <rPr>
            <b/>
            <sz val="9"/>
            <color indexed="81"/>
            <rFont val="Tahoma"/>
            <family val="2"/>
          </rPr>
          <t>Pete Kairis:</t>
        </r>
        <r>
          <rPr>
            <sz val="9"/>
            <color indexed="81"/>
            <rFont val="Tahoma"/>
            <family val="2"/>
          </rPr>
          <t xml:space="preserve">
USIT tanglenet study.  All wilds released, all hatchery retained.  </t>
        </r>
      </text>
    </comment>
    <comment ref="V188" authorId="0" shapeId="0" xr:uid="{00000000-0006-0000-0200-0000B4000000}">
      <text>
        <r>
          <rPr>
            <b/>
            <sz val="8"/>
            <color indexed="81"/>
            <rFont val="Tahoma"/>
            <family val="2"/>
          </rPr>
          <t xml:space="preserve"> Rebecca Bernard:</t>
        </r>
        <r>
          <rPr>
            <sz val="8"/>
            <color indexed="81"/>
            <rFont val="Tahoma"/>
            <family val="2"/>
          </rPr>
          <t xml:space="preserve">
samples but no catch on ticket</t>
        </r>
      </text>
    </comment>
    <comment ref="AL188" authorId="0" shapeId="0" xr:uid="{00000000-0006-0000-0200-0000B5000000}">
      <text>
        <r>
          <rPr>
            <b/>
            <sz val="8"/>
            <color indexed="81"/>
            <rFont val="Tahoma"/>
            <family val="2"/>
          </rPr>
          <t xml:space="preserve"> Rebecca Bernard:</t>
        </r>
        <r>
          <rPr>
            <sz val="8"/>
            <color indexed="81"/>
            <rFont val="Tahoma"/>
            <family val="2"/>
          </rPr>
          <t xml:space="preserve">
not open</t>
        </r>
      </text>
    </comment>
    <comment ref="BD188" authorId="1" shapeId="0" xr:uid="{00000000-0006-0000-0200-0000B6000000}">
      <text>
        <r>
          <rPr>
            <b/>
            <sz val="9"/>
            <color indexed="81"/>
            <rFont val="Tahoma"/>
            <family val="2"/>
          </rPr>
          <t>rbernard:</t>
        </r>
        <r>
          <rPr>
            <sz val="9"/>
            <color indexed="81"/>
            <rFont val="Tahoma"/>
            <family val="2"/>
          </rPr>
          <t xml:space="preserve">
Upper Skagit C&amp;S</t>
        </r>
      </text>
    </comment>
    <comment ref="BL188" authorId="2" shapeId="0" xr:uid="{00000000-0006-0000-0200-0000B7000000}">
      <text>
        <r>
          <rPr>
            <b/>
            <sz val="9"/>
            <color indexed="81"/>
            <rFont val="Tahoma"/>
            <family val="2"/>
          </rPr>
          <t>Pete Kairis:</t>
        </r>
        <r>
          <rPr>
            <sz val="9"/>
            <color indexed="81"/>
            <rFont val="Tahoma"/>
            <family val="2"/>
          </rPr>
          <t xml:space="preserve">
USIT tanglenet "C&amp;S", all released.  Estimated mortality 18.5%.</t>
        </r>
      </text>
    </comment>
    <comment ref="BR188" authorId="2" shapeId="0" xr:uid="{00000000-0006-0000-0200-0000B8000000}">
      <text>
        <r>
          <rPr>
            <b/>
            <sz val="9"/>
            <color indexed="81"/>
            <rFont val="Tahoma"/>
            <family val="2"/>
          </rPr>
          <t>Pete Kairis:</t>
        </r>
        <r>
          <rPr>
            <sz val="9"/>
            <color indexed="81"/>
            <rFont val="Tahoma"/>
            <family val="2"/>
          </rPr>
          <t xml:space="preserve">
USIT tanglenet "C&amp;S", all released.  Estimated mortality 18.5%.</t>
        </r>
      </text>
    </comment>
    <comment ref="CD188" authorId="2" shapeId="0" xr:uid="{00000000-0006-0000-0200-0000B9000000}">
      <text>
        <r>
          <rPr>
            <b/>
            <sz val="9"/>
            <color indexed="81"/>
            <rFont val="Tahoma"/>
            <family val="2"/>
          </rPr>
          <t>Pete Kairis:</t>
        </r>
        <r>
          <rPr>
            <sz val="9"/>
            <color indexed="81"/>
            <rFont val="Tahoma"/>
            <family val="2"/>
          </rPr>
          <t xml:space="preserve">
USIT tanglenet study.  All wilds released, all hatchery retained.  </t>
        </r>
      </text>
    </comment>
    <comment ref="J189" authorId="0" shapeId="0" xr:uid="{00000000-0006-0000-0200-0000BA000000}">
      <text>
        <r>
          <rPr>
            <b/>
            <sz val="8"/>
            <color indexed="81"/>
            <rFont val="Tahoma"/>
            <family val="2"/>
          </rPr>
          <t xml:space="preserve"> Rebecca Bernard:</t>
        </r>
        <r>
          <rPr>
            <sz val="8"/>
            <color indexed="81"/>
            <rFont val="Tahoma"/>
            <family val="2"/>
          </rPr>
          <t xml:space="preserve">
suspect that these were the Sauk River--78B and open specifically for Sauk-Suiattle Tribe</t>
        </r>
      </text>
    </comment>
    <comment ref="AD189" authorId="0" shapeId="0" xr:uid="{00000000-0006-0000-0200-0000BB000000}">
      <text>
        <r>
          <rPr>
            <b/>
            <sz val="8"/>
            <color indexed="81"/>
            <rFont val="Tahoma"/>
            <family val="2"/>
          </rPr>
          <t xml:space="preserve"> Rebecca Bernard:</t>
        </r>
        <r>
          <rPr>
            <sz val="8"/>
            <color indexed="81"/>
            <rFont val="Tahoma"/>
            <family val="2"/>
          </rPr>
          <t xml:space="preserve">
samples, but no catch on tickets.</t>
        </r>
      </text>
    </comment>
    <comment ref="BL189" authorId="2" shapeId="0" xr:uid="{00000000-0006-0000-0200-0000BC000000}">
      <text>
        <r>
          <rPr>
            <b/>
            <sz val="9"/>
            <color indexed="81"/>
            <rFont val="Tahoma"/>
            <family val="2"/>
          </rPr>
          <t>Pete Kairis:</t>
        </r>
        <r>
          <rPr>
            <sz val="9"/>
            <color indexed="81"/>
            <rFont val="Tahoma"/>
            <family val="2"/>
          </rPr>
          <t xml:space="preserve">
USIT tanglenet "C&amp;S", all released.  Estimated mortality 18.5%.</t>
        </r>
      </text>
    </comment>
    <comment ref="BR189" authorId="2" shapeId="0" xr:uid="{00000000-0006-0000-0200-0000BD000000}">
      <text>
        <r>
          <rPr>
            <b/>
            <sz val="9"/>
            <color indexed="81"/>
            <rFont val="Tahoma"/>
            <family val="2"/>
          </rPr>
          <t>Pete Kairis:</t>
        </r>
        <r>
          <rPr>
            <sz val="9"/>
            <color indexed="81"/>
            <rFont val="Tahoma"/>
            <family val="2"/>
          </rPr>
          <t xml:space="preserve">
USIT tanglenet "C&amp;S", all released.  Estimated mortality 18.5%.</t>
        </r>
      </text>
    </comment>
    <comment ref="BL190" authorId="2" shapeId="0" xr:uid="{00000000-0006-0000-0200-0000BE000000}">
      <text>
        <r>
          <rPr>
            <b/>
            <sz val="9"/>
            <color indexed="81"/>
            <rFont val="Tahoma"/>
            <family val="2"/>
          </rPr>
          <t>Pete Kairis:</t>
        </r>
        <r>
          <rPr>
            <sz val="9"/>
            <color indexed="81"/>
            <rFont val="Tahoma"/>
            <family val="2"/>
          </rPr>
          <t xml:space="preserve">
USIT tanglenet "C&amp;S", all released.  Estimated mortality 18.5%.</t>
        </r>
      </text>
    </comment>
    <comment ref="BR190" authorId="2" shapeId="0" xr:uid="{00000000-0006-0000-0200-0000BF000000}">
      <text>
        <r>
          <rPr>
            <b/>
            <sz val="9"/>
            <color indexed="81"/>
            <rFont val="Tahoma"/>
            <family val="2"/>
          </rPr>
          <t>Pete Kairis:</t>
        </r>
        <r>
          <rPr>
            <sz val="9"/>
            <color indexed="81"/>
            <rFont val="Tahoma"/>
            <family val="2"/>
          </rPr>
          <t xml:space="preserve">
USIT tanglenet "C&amp;S", all released.  Estimated mortality 18.5%.</t>
        </r>
      </text>
    </comment>
    <comment ref="BF191" authorId="1" shapeId="0" xr:uid="{00000000-0006-0000-0200-0000C0000000}">
      <text>
        <r>
          <rPr>
            <b/>
            <sz val="9"/>
            <color indexed="81"/>
            <rFont val="Tahoma"/>
            <family val="2"/>
          </rPr>
          <t>rbernard:</t>
        </r>
        <r>
          <rPr>
            <sz val="9"/>
            <color indexed="81"/>
            <rFont val="Tahoma"/>
            <family val="2"/>
          </rPr>
          <t xml:space="preserve">
wild--30 prespawn and 1 kelt</t>
        </r>
      </text>
    </comment>
    <comment ref="BL191" authorId="2" shapeId="0" xr:uid="{00000000-0006-0000-0200-0000C1000000}">
      <text>
        <r>
          <rPr>
            <b/>
            <sz val="9"/>
            <color indexed="81"/>
            <rFont val="Tahoma"/>
            <family val="2"/>
          </rPr>
          <t>Pete Kairis:</t>
        </r>
        <r>
          <rPr>
            <sz val="9"/>
            <color indexed="81"/>
            <rFont val="Tahoma"/>
            <family val="2"/>
          </rPr>
          <t xml:space="preserve">
USIT tanglenet "C&amp;S", all released.  Estimated mortality 18.5%.</t>
        </r>
      </text>
    </comment>
    <comment ref="BR191" authorId="2" shapeId="0" xr:uid="{00000000-0006-0000-0200-0000C2000000}">
      <text>
        <r>
          <rPr>
            <b/>
            <sz val="9"/>
            <color indexed="81"/>
            <rFont val="Tahoma"/>
            <family val="2"/>
          </rPr>
          <t>Pete Kairis:</t>
        </r>
        <r>
          <rPr>
            <sz val="9"/>
            <color indexed="81"/>
            <rFont val="Tahoma"/>
            <family val="2"/>
          </rPr>
          <t xml:space="preserve">
USIT tanglenet "C&amp;S", all released.  Estimated mortality 18.5%.</t>
        </r>
      </text>
    </comment>
    <comment ref="BF192" authorId="1" shapeId="0" xr:uid="{00000000-0006-0000-0200-0000C3000000}">
      <text>
        <r>
          <rPr>
            <b/>
            <sz val="9"/>
            <color indexed="81"/>
            <rFont val="Tahoma"/>
            <family val="2"/>
          </rPr>
          <t>rbernard:</t>
        </r>
        <r>
          <rPr>
            <sz val="9"/>
            <color indexed="81"/>
            <rFont val="Tahoma"/>
            <family val="2"/>
          </rPr>
          <t xml:space="preserve">
wild--41 prespawn and 2 kelt</t>
        </r>
      </text>
    </comment>
    <comment ref="BL192" authorId="2" shapeId="0" xr:uid="{00000000-0006-0000-0200-0000C4000000}">
      <text>
        <r>
          <rPr>
            <b/>
            <sz val="9"/>
            <color indexed="81"/>
            <rFont val="Tahoma"/>
            <family val="2"/>
          </rPr>
          <t>Pete Kairis:</t>
        </r>
        <r>
          <rPr>
            <sz val="9"/>
            <color indexed="81"/>
            <rFont val="Tahoma"/>
            <family val="2"/>
          </rPr>
          <t xml:space="preserve">
USIT tanglenet "C&amp;S", all released.  Estimated mortality 18.5%.</t>
        </r>
      </text>
    </comment>
    <comment ref="BR192" authorId="2" shapeId="0" xr:uid="{00000000-0006-0000-0200-0000C5000000}">
      <text>
        <r>
          <rPr>
            <b/>
            <sz val="9"/>
            <color indexed="81"/>
            <rFont val="Tahoma"/>
            <family val="2"/>
          </rPr>
          <t>Pete Kairis:</t>
        </r>
        <r>
          <rPr>
            <sz val="9"/>
            <color indexed="81"/>
            <rFont val="Tahoma"/>
            <family val="2"/>
          </rPr>
          <t xml:space="preserve">
USIT tanglenet "C&amp;S", all released.  Estimated mortality 18.5%.</t>
        </r>
      </text>
    </comment>
    <comment ref="BL193" authorId="2" shapeId="0" xr:uid="{00000000-0006-0000-0200-0000C6000000}">
      <text>
        <r>
          <rPr>
            <b/>
            <sz val="9"/>
            <color indexed="81"/>
            <rFont val="Tahoma"/>
            <family val="2"/>
          </rPr>
          <t>Pete Kairis:</t>
        </r>
        <r>
          <rPr>
            <sz val="9"/>
            <color indexed="81"/>
            <rFont val="Tahoma"/>
            <family val="2"/>
          </rPr>
          <t xml:space="preserve">
USIT tanglenet "C&amp;S", all released.  Estimated mortality 18.5%.</t>
        </r>
      </text>
    </comment>
    <comment ref="BR193" authorId="2" shapeId="0" xr:uid="{00000000-0006-0000-0200-0000C7000000}">
      <text>
        <r>
          <rPr>
            <b/>
            <sz val="9"/>
            <color indexed="81"/>
            <rFont val="Tahoma"/>
            <family val="2"/>
          </rPr>
          <t>Pete Kairis:</t>
        </r>
        <r>
          <rPr>
            <sz val="9"/>
            <color indexed="81"/>
            <rFont val="Tahoma"/>
            <family val="2"/>
          </rPr>
          <t xml:space="preserve">
USIT tanglenet "C&amp;S", all released.  Estimated mortality 18.5%.</t>
        </r>
      </text>
    </comment>
    <comment ref="BL194" authorId="2" shapeId="0" xr:uid="{00000000-0006-0000-0200-0000C8000000}">
      <text>
        <r>
          <rPr>
            <b/>
            <sz val="9"/>
            <color indexed="81"/>
            <rFont val="Tahoma"/>
            <family val="2"/>
          </rPr>
          <t>Pete Kairis:</t>
        </r>
        <r>
          <rPr>
            <sz val="9"/>
            <color indexed="81"/>
            <rFont val="Tahoma"/>
            <family val="2"/>
          </rPr>
          <t xml:space="preserve">
USIT tanglenet "C&amp;S", all released.  Estimated mortality 18.5%.</t>
        </r>
      </text>
    </comment>
    <comment ref="BR194" authorId="2" shapeId="0" xr:uid="{00000000-0006-0000-0200-0000C9000000}">
      <text>
        <r>
          <rPr>
            <b/>
            <sz val="9"/>
            <color indexed="81"/>
            <rFont val="Tahoma"/>
            <family val="2"/>
          </rPr>
          <t>Pete Kairis:</t>
        </r>
        <r>
          <rPr>
            <sz val="9"/>
            <color indexed="81"/>
            <rFont val="Tahoma"/>
            <family val="2"/>
          </rPr>
          <t xml:space="preserve">
USIT tanglenet "C&amp;S", all released.  Estimated mortality 18.5%.</t>
        </r>
      </text>
    </comment>
    <comment ref="T195" authorId="0" shapeId="0" xr:uid="{00000000-0006-0000-0200-0000CA000000}">
      <text>
        <r>
          <rPr>
            <b/>
            <sz val="8"/>
            <color indexed="81"/>
            <rFont val="Tahoma"/>
            <family val="2"/>
          </rPr>
          <t xml:space="preserve"> Rebecca Bernard:</t>
        </r>
        <r>
          <rPr>
            <sz val="8"/>
            <color indexed="81"/>
            <rFont val="Tahoma"/>
            <family val="2"/>
          </rPr>
          <t xml:space="preserve">
samples but no catch on ticket</t>
        </r>
      </text>
    </comment>
    <comment ref="AR195" authorId="0" shapeId="0" xr:uid="{00000000-0006-0000-0200-0000CB000000}">
      <text>
        <r>
          <rPr>
            <b/>
            <sz val="8"/>
            <color indexed="81"/>
            <rFont val="Tahoma"/>
            <family val="2"/>
          </rPr>
          <t xml:space="preserve"> Rebecca Bernard:</t>
        </r>
        <r>
          <rPr>
            <sz val="8"/>
            <color indexed="81"/>
            <rFont val="Tahoma"/>
            <family val="2"/>
          </rPr>
          <t xml:space="preserve">
not open--check regulations.  Tickets from Sun, Mon, Tues April 10, 11, 12.</t>
        </r>
      </text>
    </comment>
    <comment ref="BD195" authorId="1" shapeId="0" xr:uid="{00000000-0006-0000-0200-0000CC000000}">
      <text>
        <r>
          <rPr>
            <b/>
            <sz val="9"/>
            <color indexed="81"/>
            <rFont val="Tahoma"/>
            <family val="2"/>
          </rPr>
          <t>rbernard:</t>
        </r>
        <r>
          <rPr>
            <sz val="9"/>
            <color indexed="81"/>
            <rFont val="Tahoma"/>
            <family val="2"/>
          </rPr>
          <t xml:space="preserve">
C&amp;S 5 kelts and 56 prespawn--total 61</t>
        </r>
      </text>
    </comment>
    <comment ref="BL195" authorId="2" shapeId="0" xr:uid="{00000000-0006-0000-0200-0000CD000000}">
      <text>
        <r>
          <rPr>
            <b/>
            <sz val="9"/>
            <color indexed="81"/>
            <rFont val="Tahoma"/>
            <family val="2"/>
          </rPr>
          <t>Pete Kairis:</t>
        </r>
        <r>
          <rPr>
            <sz val="9"/>
            <color indexed="81"/>
            <rFont val="Tahoma"/>
            <family val="2"/>
          </rPr>
          <t xml:space="preserve">
USIT tanglenet "C&amp;S", all released.  Estimated mortality 18.5%.</t>
        </r>
      </text>
    </comment>
    <comment ref="BR195" authorId="2" shapeId="0" xr:uid="{00000000-0006-0000-0200-0000CE000000}">
      <text>
        <r>
          <rPr>
            <b/>
            <sz val="9"/>
            <color indexed="81"/>
            <rFont val="Tahoma"/>
            <family val="2"/>
          </rPr>
          <t>Pete Kairis:</t>
        </r>
        <r>
          <rPr>
            <sz val="9"/>
            <color indexed="81"/>
            <rFont val="Tahoma"/>
            <family val="2"/>
          </rPr>
          <t xml:space="preserve">
USIT tanglenet "C&amp;S", all released.  Estimated mortality 18.5%.</t>
        </r>
      </text>
    </comment>
    <comment ref="A196" authorId="0" shapeId="0" xr:uid="{00000000-0006-0000-0200-0000CF000000}">
      <text>
        <r>
          <rPr>
            <b/>
            <sz val="8"/>
            <color indexed="81"/>
            <rFont val="Tahoma"/>
            <family val="2"/>
          </rPr>
          <t xml:space="preserve"> Rebecca Bernard:</t>
        </r>
        <r>
          <rPr>
            <sz val="8"/>
            <color indexed="81"/>
            <rFont val="Tahoma"/>
            <family val="2"/>
          </rPr>
          <t xml:space="preserve">
end of winter run hatchery season</t>
        </r>
      </text>
    </comment>
    <comment ref="BL196" authorId="2" shapeId="0" xr:uid="{00000000-0006-0000-0200-0000D0000000}">
      <text>
        <r>
          <rPr>
            <b/>
            <sz val="9"/>
            <color indexed="81"/>
            <rFont val="Tahoma"/>
            <family val="2"/>
          </rPr>
          <t>Pete Kairis:</t>
        </r>
        <r>
          <rPr>
            <sz val="9"/>
            <color indexed="81"/>
            <rFont val="Tahoma"/>
            <family val="2"/>
          </rPr>
          <t xml:space="preserve">
USIT tanglenet "C&amp;S", all released.  Estimated mortality 18.5%.</t>
        </r>
      </text>
    </comment>
    <comment ref="BR196" authorId="2" shapeId="0" xr:uid="{00000000-0006-0000-0200-0000D1000000}">
      <text>
        <r>
          <rPr>
            <b/>
            <sz val="9"/>
            <color indexed="81"/>
            <rFont val="Tahoma"/>
            <family val="2"/>
          </rPr>
          <t>Pete Kairis:</t>
        </r>
        <r>
          <rPr>
            <sz val="9"/>
            <color indexed="81"/>
            <rFont val="Tahoma"/>
            <family val="2"/>
          </rPr>
          <t xml:space="preserve">
USIT tanglenet "C&amp;S", all released.  Estimated mortality 18.5%.</t>
        </r>
      </text>
    </comment>
    <comment ref="A197" authorId="0" shapeId="0" xr:uid="{00000000-0006-0000-0200-0000D2000000}">
      <text>
        <r>
          <rPr>
            <b/>
            <sz val="8"/>
            <color indexed="81"/>
            <rFont val="Tahoma"/>
            <family val="2"/>
          </rPr>
          <t xml:space="preserve"> Rebecca Bernard:</t>
        </r>
        <r>
          <rPr>
            <sz val="8"/>
            <color indexed="81"/>
            <rFont val="Tahoma"/>
            <family val="2"/>
          </rPr>
          <t xml:space="preserve">
test fishery week 18-45.
begining of summer run hatchery management season</t>
        </r>
      </text>
    </comment>
    <comment ref="L197" authorId="0" shapeId="0" xr:uid="{00000000-0006-0000-0200-0000D3000000}">
      <text>
        <r>
          <rPr>
            <b/>
            <sz val="8"/>
            <color indexed="81"/>
            <rFont val="Tahoma"/>
            <family val="2"/>
          </rPr>
          <t xml:space="preserve"> Rebecca Bernard:</t>
        </r>
        <r>
          <rPr>
            <sz val="8"/>
            <color indexed="81"/>
            <rFont val="Tahoma"/>
            <family val="2"/>
          </rPr>
          <t xml:space="preserve">
not on tickets but 2 wild kelts and 1 wild prespawn sampled.   </t>
        </r>
        <r>
          <rPr>
            <u/>
            <sz val="8"/>
            <color indexed="81"/>
            <rFont val="Tahoma"/>
            <family val="2"/>
          </rPr>
          <t>This is wild fish only</t>
        </r>
        <r>
          <rPr>
            <sz val="8"/>
            <color indexed="81"/>
            <rFont val="Tahoma"/>
            <family val="2"/>
          </rPr>
          <t xml:space="preserve"> with effective kelt adjustment for wild steelhead.   1 prespawned wild+ 2 kelt *6.61% BY 1989-2004 ave repeat spawner return rate=1.1 effective wild fish.  0 hatchery fish in catch.  Calculated outside of workbook--see "SteelheadAgeMaster".</t>
        </r>
      </text>
    </comment>
    <comment ref="BD197" authorId="1" shapeId="0" xr:uid="{00000000-0006-0000-0200-0000D4000000}">
      <text>
        <r>
          <rPr>
            <b/>
            <sz val="9"/>
            <color indexed="81"/>
            <rFont val="Tahoma"/>
            <family val="2"/>
          </rPr>
          <t>rbernard:</t>
        </r>
        <r>
          <rPr>
            <sz val="9"/>
            <color indexed="81"/>
            <rFont val="Tahoma"/>
            <family val="2"/>
          </rPr>
          <t xml:space="preserve">
USIT C&amp;S</t>
        </r>
      </text>
    </comment>
    <comment ref="BL197" authorId="2" shapeId="0" xr:uid="{00000000-0006-0000-0200-0000D5000000}">
      <text>
        <r>
          <rPr>
            <b/>
            <sz val="9"/>
            <color indexed="81"/>
            <rFont val="Tahoma"/>
            <family val="2"/>
          </rPr>
          <t>Pete Kairis:</t>
        </r>
        <r>
          <rPr>
            <sz val="9"/>
            <color indexed="81"/>
            <rFont val="Tahoma"/>
            <family val="2"/>
          </rPr>
          <t xml:space="preserve">
USIT tanglenet "C&amp;S", all released.  Estimated mortality 18.5%.</t>
        </r>
      </text>
    </comment>
    <comment ref="L198" authorId="0" shapeId="0" xr:uid="{00000000-0006-0000-0200-0000D6000000}">
      <text>
        <r>
          <rPr>
            <b/>
            <sz val="8"/>
            <color indexed="81"/>
            <rFont val="Tahoma"/>
            <family val="2"/>
          </rPr>
          <t xml:space="preserve"> Rebecca Bernard:</t>
        </r>
        <r>
          <rPr>
            <sz val="8"/>
            <color indexed="81"/>
            <rFont val="Tahoma"/>
            <family val="2"/>
          </rPr>
          <t xml:space="preserve">
not on tickets but 2 wild kelts, 5 wild prespawn and 2 hachery sampled.  </t>
        </r>
        <r>
          <rPr>
            <u/>
            <sz val="8"/>
            <color indexed="81"/>
            <rFont val="Tahoma"/>
            <family val="2"/>
          </rPr>
          <t>This is wild fish only</t>
        </r>
        <r>
          <rPr>
            <sz val="8"/>
            <color indexed="81"/>
            <rFont val="Tahoma"/>
            <family val="2"/>
          </rPr>
          <t xml:space="preserve"> with effective kelt adjustment for wild steelhead.   5 prespawned wild+ 2 kelt *6.61% BY 1989-2004 ave repeat spawner return rate=5.1 effective wild fish.  2 hatchery fish in catch carried through in cell L257.  Calculated outside of workbook--see "SteelheadAgeMaster".</t>
        </r>
      </text>
    </comment>
    <comment ref="AX198" authorId="0" shapeId="0" xr:uid="{00000000-0006-0000-0200-0000D7000000}">
      <text>
        <r>
          <rPr>
            <b/>
            <sz val="8"/>
            <color indexed="81"/>
            <rFont val="Tahoma"/>
            <family val="2"/>
          </rPr>
          <t xml:space="preserve"> Rebecca Bernard:</t>
        </r>
        <r>
          <rPr>
            <sz val="8"/>
            <color indexed="81"/>
            <rFont val="Tahoma"/>
            <family val="2"/>
          </rPr>
          <t xml:space="preserve">
</t>
        </r>
        <r>
          <rPr>
            <u/>
            <sz val="8"/>
            <color indexed="81"/>
            <rFont val="Tahoma"/>
            <family val="2"/>
          </rPr>
          <t>This is wild fish only</t>
        </r>
        <r>
          <rPr>
            <sz val="8"/>
            <color indexed="81"/>
            <rFont val="Tahoma"/>
            <family val="2"/>
          </rPr>
          <t xml:space="preserve"> with effective kelt adjustment for wild steelhead.   24 prespawned wild+ 17 kelt *6.61% BY 1989-2004 ave repeat spawner return rate=25.1 effective wild fish.  6 hatchery fish in catch carried through in cell AX257.</t>
        </r>
      </text>
    </comment>
    <comment ref="AZ198" authorId="0" shapeId="0" xr:uid="{00000000-0006-0000-0200-0000D8000000}">
      <text>
        <r>
          <rPr>
            <b/>
            <sz val="8"/>
            <color indexed="81"/>
            <rFont val="Tahoma"/>
            <family val="2"/>
          </rPr>
          <t xml:space="preserve"> Rebecca Bernard:</t>
        </r>
        <r>
          <rPr>
            <sz val="8"/>
            <color indexed="81"/>
            <rFont val="Tahoma"/>
            <family val="2"/>
          </rPr>
          <t xml:space="preserve">
</t>
        </r>
        <r>
          <rPr>
            <u/>
            <sz val="8"/>
            <color indexed="81"/>
            <rFont val="Tahoma"/>
            <family val="2"/>
          </rPr>
          <t>This is with wild fish only</t>
        </r>
        <r>
          <rPr>
            <sz val="8"/>
            <color indexed="81"/>
            <rFont val="Tahoma"/>
            <family val="2"/>
          </rPr>
          <t xml:space="preserve"> with effective kelt adjustment for wild steelhead.  20 prespawned wild+11 kelt *6.61% BY 1989-2004 ave repeat spawner return rate=20.7 effective wild fish.  2 hatchery fish in catch but carried through in cell AZ257.</t>
        </r>
      </text>
    </comment>
    <comment ref="BB198" authorId="0" shapeId="0" xr:uid="{00000000-0006-0000-0200-0000D9000000}">
      <text>
        <r>
          <rPr>
            <b/>
            <sz val="8"/>
            <color indexed="81"/>
            <rFont val="Tahoma"/>
            <family val="2"/>
          </rPr>
          <t xml:space="preserve"> Rebecca Bernard:</t>
        </r>
        <r>
          <rPr>
            <sz val="8"/>
            <color indexed="81"/>
            <rFont val="Tahoma"/>
            <family val="2"/>
          </rPr>
          <t xml:space="preserve">
</t>
        </r>
        <r>
          <rPr>
            <u/>
            <sz val="8"/>
            <color indexed="81"/>
            <rFont val="Tahoma"/>
            <family val="2"/>
          </rPr>
          <t>This is with wild fish only</t>
        </r>
        <r>
          <rPr>
            <sz val="8"/>
            <color indexed="81"/>
            <rFont val="Tahoma"/>
            <family val="2"/>
          </rPr>
          <t xml:space="preserve"> with effective kelt adjustment for wild steelhead.   21 prespawned wild+16 kelt *6.61% BY 1989-2004 ave repeat spawner return rate=22.1 effective wild fish.  No hatchery fish in catch.
This cell edited 6/8/2012--Harlan Sam submitted a fish ticket for 17 chinook (catch expansion is 15 hatchery and 2 wild)  and 2 steelhead from 2010 to NWIFC July 2011--over a year after the catch--added these 2 fish in the mix--assume wild and assume of those 1 prespawn and one kelt--the paragraph previous to this is adjusted for in the cell formula.</t>
        </r>
      </text>
    </comment>
    <comment ref="BD198" authorId="1" shapeId="0" xr:uid="{00000000-0006-0000-0200-0000DA000000}">
      <text>
        <r>
          <rPr>
            <b/>
            <sz val="9"/>
            <color indexed="81"/>
            <rFont val="Tahoma"/>
            <family val="2"/>
          </rPr>
          <t>rbernard:</t>
        </r>
        <r>
          <rPr>
            <sz val="9"/>
            <color indexed="81"/>
            <rFont val="Tahoma"/>
            <family val="2"/>
          </rPr>
          <t xml:space="preserve">
during swinomish spring chinook commercial catch--all prespawn wild</t>
        </r>
      </text>
    </comment>
    <comment ref="BF198" authorId="1" shapeId="0" xr:uid="{00000000-0006-0000-0200-0000DB000000}">
      <text>
        <r>
          <rPr>
            <b/>
            <sz val="9"/>
            <color indexed="81"/>
            <rFont val="Tahoma"/>
            <family val="2"/>
          </rPr>
          <t>rbernard:</t>
        </r>
        <r>
          <rPr>
            <sz val="9"/>
            <color indexed="81"/>
            <rFont val="Tahoma"/>
            <family val="2"/>
          </rPr>
          <t xml:space="preserve">
Swinomish 1 in Area 8 and 16 in 78C--11.7 Prespawn wild and 5.3 Kelt wild (adjusted 0.331)</t>
        </r>
      </text>
    </comment>
    <comment ref="BL198" authorId="2" shapeId="0" xr:uid="{00000000-0006-0000-0200-0000DC000000}">
      <text>
        <r>
          <rPr>
            <b/>
            <sz val="9"/>
            <color indexed="81"/>
            <rFont val="Tahoma"/>
            <family val="2"/>
          </rPr>
          <t>Pete Kairis:</t>
        </r>
        <r>
          <rPr>
            <sz val="9"/>
            <color indexed="81"/>
            <rFont val="Tahoma"/>
            <family val="2"/>
          </rPr>
          <t xml:space="preserve">
14 Swinomish +1 SSIT.  5 additional wild kelts (released) in USIT tanglenet study added in manually to table below.</t>
        </r>
      </text>
    </comment>
    <comment ref="CJ198" authorId="2" shapeId="0" xr:uid="{00000000-0006-0000-0200-0000DD000000}">
      <text>
        <r>
          <rPr>
            <b/>
            <sz val="9"/>
            <color indexed="81"/>
            <rFont val="Tahoma"/>
            <family val="2"/>
          </rPr>
          <t>Pete Kairis:</t>
        </r>
        <r>
          <rPr>
            <sz val="9"/>
            <color indexed="81"/>
            <rFont val="Tahoma"/>
            <family val="2"/>
          </rPr>
          <t xml:space="preserve">
Using annual treaty commercial catch spreadsheet for H/W and kelt/prespawn, so this table is not needed anymore</t>
        </r>
      </text>
    </comment>
    <comment ref="L199" authorId="0" shapeId="0" xr:uid="{00000000-0006-0000-0200-0000DE000000}">
      <text>
        <r>
          <rPr>
            <b/>
            <sz val="8"/>
            <color indexed="81"/>
            <rFont val="Tahoma"/>
            <family val="2"/>
          </rPr>
          <t xml:space="preserve"> Rebecca Bernard:</t>
        </r>
        <r>
          <rPr>
            <sz val="8"/>
            <color indexed="81"/>
            <rFont val="Tahoma"/>
            <family val="2"/>
          </rPr>
          <t xml:space="preserve">
not on tickets but 2 wild kelts and 2 wild prespawn sampled.  </t>
        </r>
        <r>
          <rPr>
            <u/>
            <sz val="8"/>
            <color indexed="81"/>
            <rFont val="Tahoma"/>
            <family val="2"/>
          </rPr>
          <t>This is wild fish only</t>
        </r>
        <r>
          <rPr>
            <sz val="8"/>
            <color indexed="81"/>
            <rFont val="Tahoma"/>
            <family val="2"/>
          </rPr>
          <t xml:space="preserve"> with effective kelt adjustment for wild steelhead.   2 prespawned wild+ 2 kelt *6.61% BY 1989-2004 ave repeat spawner return rate=2.1 effective wild fish.  0 hatchery fish in catch.  Calculated outside of workbook--see "SteelheadAgeMaster".</t>
        </r>
      </text>
    </comment>
    <comment ref="AX199" authorId="0" shapeId="0" xr:uid="{00000000-0006-0000-0200-0000DF000000}">
      <text>
        <r>
          <rPr>
            <b/>
            <sz val="8"/>
            <color indexed="81"/>
            <rFont val="Tahoma"/>
            <family val="2"/>
          </rPr>
          <t xml:space="preserve"> Rebecca Bernard:</t>
        </r>
        <r>
          <rPr>
            <sz val="8"/>
            <color indexed="81"/>
            <rFont val="Tahoma"/>
            <family val="2"/>
          </rPr>
          <t xml:space="preserve">
</t>
        </r>
        <r>
          <rPr>
            <u/>
            <sz val="8"/>
            <color indexed="81"/>
            <rFont val="Tahoma"/>
            <family val="2"/>
          </rPr>
          <t>This is wild fish only</t>
        </r>
        <r>
          <rPr>
            <sz val="8"/>
            <color indexed="81"/>
            <rFont val="Tahoma"/>
            <family val="2"/>
          </rPr>
          <t xml:space="preserve"> with effective kelt adjustment for wild steelhead.   10 prespawned wild+14 kelt *6.61% BY 1989-2004 ave repeat spawner return rate=10.9 effective wild fish.  No hatchery fish in catch.</t>
        </r>
      </text>
    </comment>
    <comment ref="AZ199" authorId="0" shapeId="0" xr:uid="{00000000-0006-0000-0200-0000E0000000}">
      <text>
        <r>
          <rPr>
            <b/>
            <sz val="8"/>
            <color indexed="81"/>
            <rFont val="Tahoma"/>
            <family val="2"/>
          </rPr>
          <t xml:space="preserve"> Rebecca Bernard:</t>
        </r>
        <r>
          <rPr>
            <sz val="8"/>
            <color indexed="81"/>
            <rFont val="Tahoma"/>
            <family val="2"/>
          </rPr>
          <t xml:space="preserve">
</t>
        </r>
        <r>
          <rPr>
            <u/>
            <sz val="8"/>
            <color indexed="81"/>
            <rFont val="Tahoma"/>
            <family val="2"/>
          </rPr>
          <t>This is with wild fish only</t>
        </r>
        <r>
          <rPr>
            <sz val="8"/>
            <color indexed="81"/>
            <rFont val="Tahoma"/>
            <family val="2"/>
          </rPr>
          <t xml:space="preserve"> with effective kelt adjustment for wild steelhead.   11 prespawned wild+ 13 kelt *6.61% BY 1989-2004 ave repeat spawner return rate=11.9 effectivewild fish.  1 hatchery fish in catch but carried through in cell AZ258.</t>
        </r>
      </text>
    </comment>
    <comment ref="BB199" authorId="0" shapeId="0" xr:uid="{00000000-0006-0000-0200-0000E1000000}">
      <text>
        <r>
          <rPr>
            <b/>
            <sz val="8"/>
            <color indexed="81"/>
            <rFont val="Tahoma"/>
            <family val="2"/>
          </rPr>
          <t xml:space="preserve"> Rebecca Bernard:</t>
        </r>
        <r>
          <rPr>
            <sz val="8"/>
            <color indexed="81"/>
            <rFont val="Tahoma"/>
            <family val="2"/>
          </rPr>
          <t xml:space="preserve">
</t>
        </r>
        <r>
          <rPr>
            <u/>
            <sz val="8"/>
            <color indexed="81"/>
            <rFont val="Tahoma"/>
            <family val="2"/>
          </rPr>
          <t>This is with wild fish only</t>
        </r>
        <r>
          <rPr>
            <sz val="8"/>
            <color indexed="81"/>
            <rFont val="Tahoma"/>
            <family val="2"/>
          </rPr>
          <t xml:space="preserve"> with effective kelt adjustment for wild steelhead.   6 prespawned wild+13 kelt *6.61% BY 1989-2004 ave repeat spawner return rate=6.9 effective wild fish.  No hatchery fish in catch.</t>
        </r>
      </text>
    </comment>
    <comment ref="BD199" authorId="1" shapeId="0" xr:uid="{00000000-0006-0000-0200-0000E2000000}">
      <text>
        <r>
          <rPr>
            <b/>
            <sz val="9"/>
            <color indexed="81"/>
            <rFont val="Tahoma"/>
            <family val="2"/>
          </rPr>
          <t>rbernard:</t>
        </r>
        <r>
          <rPr>
            <sz val="9"/>
            <color indexed="81"/>
            <rFont val="Tahoma"/>
            <family val="2"/>
          </rPr>
          <t xml:space="preserve">
10 from Swinomish: 6.7 prespawn and 3.3 kelts all wild; 22 from Upper Skagit 9 prespawn wild and 13 kelts (of which 2 were hatchery kelts).</t>
        </r>
      </text>
    </comment>
    <comment ref="BF199" authorId="1" shapeId="0" xr:uid="{00000000-0006-0000-0200-0000E3000000}">
      <text>
        <r>
          <rPr>
            <b/>
            <sz val="9"/>
            <color indexed="81"/>
            <rFont val="Tahoma"/>
            <family val="2"/>
          </rPr>
          <t>rbernard:</t>
        </r>
        <r>
          <rPr>
            <sz val="9"/>
            <color indexed="81"/>
            <rFont val="Tahoma"/>
            <family val="2"/>
          </rPr>
          <t xml:space="preserve">
Upper Skagit--Hatchery: 1 kelt and 1 prespawn
Wild: 36 kelt (adjusted 2.380 )and 17 prespawn</t>
        </r>
      </text>
    </comment>
    <comment ref="BL199" authorId="2" shapeId="0" xr:uid="{00000000-0006-0000-0200-0000E4000000}">
      <text>
        <r>
          <rPr>
            <b/>
            <sz val="9"/>
            <color indexed="81"/>
            <rFont val="Tahoma"/>
            <family val="2"/>
          </rPr>
          <t>Pete Kairis:</t>
        </r>
        <r>
          <rPr>
            <sz val="9"/>
            <color indexed="81"/>
            <rFont val="Tahoma"/>
            <family val="2"/>
          </rPr>
          <t xml:space="preserve">
Upper Skagit</t>
        </r>
      </text>
    </comment>
    <comment ref="L200" authorId="0" shapeId="0" xr:uid="{00000000-0006-0000-0200-0000E5000000}">
      <text>
        <r>
          <rPr>
            <b/>
            <sz val="8"/>
            <color indexed="81"/>
            <rFont val="Tahoma"/>
            <family val="2"/>
          </rPr>
          <t xml:space="preserve"> Rebecca Bernard:</t>
        </r>
        <r>
          <rPr>
            <sz val="8"/>
            <color indexed="81"/>
            <rFont val="Tahoma"/>
            <family val="2"/>
          </rPr>
          <t xml:space="preserve">
</t>
        </r>
        <r>
          <rPr>
            <u/>
            <sz val="8"/>
            <color indexed="81"/>
            <rFont val="Tahoma"/>
            <family val="2"/>
          </rPr>
          <t>This is wild fish only</t>
        </r>
        <r>
          <rPr>
            <sz val="8"/>
            <color indexed="81"/>
            <rFont val="Tahoma"/>
            <family val="2"/>
          </rPr>
          <t xml:space="preserve"> with effective kelt adjustment for wild steelhead.   26.6 prespawned wild+ 68.7  kelt *6.61% BY 1989-2004 ave repeat spawner return rate=72.0 effective wild fish.  6.7 hatchery fish in catch carried through in cell L259.  Calculated outside of workbook--see "SteelheadAgeMaster".</t>
        </r>
      </text>
    </comment>
    <comment ref="AZ200" authorId="0" shapeId="0" xr:uid="{00000000-0006-0000-0200-0000E6000000}">
      <text>
        <r>
          <rPr>
            <b/>
            <sz val="8"/>
            <color indexed="81"/>
            <rFont val="Tahoma"/>
            <family val="2"/>
          </rPr>
          <t xml:space="preserve"> Rebecca Bernard:</t>
        </r>
        <r>
          <rPr>
            <sz val="8"/>
            <color indexed="81"/>
            <rFont val="Tahoma"/>
            <family val="2"/>
          </rPr>
          <t xml:space="preserve">
</t>
        </r>
        <r>
          <rPr>
            <u/>
            <sz val="8"/>
            <color indexed="81"/>
            <rFont val="Tahoma"/>
            <family val="2"/>
          </rPr>
          <t>This is with wild fish only</t>
        </r>
        <r>
          <rPr>
            <sz val="8"/>
            <color indexed="81"/>
            <rFont val="Tahoma"/>
            <family val="2"/>
          </rPr>
          <t xml:space="preserve"> with effective kelt adjustment for wild steelhead.   3 prespawned wild+ 6 kelt *6.61% BY 1989-2004 ave repeat spawner return rate=3.4 effective wild fish.  1 hatchery fish in catch but carried through in cell AZ259. </t>
        </r>
      </text>
    </comment>
    <comment ref="BB200" authorId="0" shapeId="0" xr:uid="{00000000-0006-0000-0200-0000E7000000}">
      <text>
        <r>
          <rPr>
            <b/>
            <sz val="8"/>
            <color indexed="81"/>
            <rFont val="Tahoma"/>
            <family val="2"/>
          </rPr>
          <t xml:space="preserve"> Rebecca Bernard:</t>
        </r>
        <r>
          <rPr>
            <sz val="8"/>
            <color indexed="81"/>
            <rFont val="Tahoma"/>
            <family val="2"/>
          </rPr>
          <t xml:space="preserve">
</t>
        </r>
        <r>
          <rPr>
            <u/>
            <sz val="8"/>
            <color indexed="81"/>
            <rFont val="Tahoma"/>
            <family val="2"/>
          </rPr>
          <t>This is with wild fish only</t>
        </r>
        <r>
          <rPr>
            <sz val="8"/>
            <color indexed="81"/>
            <rFont val="Tahoma"/>
            <family val="2"/>
          </rPr>
          <t xml:space="preserve"> with effective kelt adjustment for wild steelhead.   6 prespawned wild+ 13 kelt *6.61% BY 1989-2004 ave repeat spawner return rate=3.7 effective wild fish.  No hatchery fish in catch.</t>
        </r>
      </text>
    </comment>
    <comment ref="BD200" authorId="1" shapeId="0" xr:uid="{00000000-0006-0000-0200-0000E8000000}">
      <text>
        <r>
          <rPr>
            <b/>
            <sz val="9"/>
            <color indexed="81"/>
            <rFont val="Tahoma"/>
            <family val="2"/>
          </rPr>
          <t>rbernard:</t>
        </r>
        <r>
          <rPr>
            <sz val="9"/>
            <color indexed="81"/>
            <rFont val="Tahoma"/>
            <family val="2"/>
          </rPr>
          <t xml:space="preserve">
6 from Swinomish sampled  0 prespawn and 6 kelts all wild; 24 from Upper Skagit  sampled 14 prespawn wild and 6  kelts (of which 1 was hatchery kelt).</t>
        </r>
      </text>
    </comment>
    <comment ref="BF200" authorId="1" shapeId="0" xr:uid="{00000000-0006-0000-0200-0000E9000000}">
      <text>
        <r>
          <rPr>
            <b/>
            <sz val="9"/>
            <color indexed="81"/>
            <rFont val="Tahoma"/>
            <family val="2"/>
          </rPr>
          <t>rbernard:</t>
        </r>
        <r>
          <rPr>
            <sz val="9"/>
            <color indexed="81"/>
            <rFont val="Tahoma"/>
            <family val="2"/>
          </rPr>
          <t xml:space="preserve">
Swinomish--all in 78C--2.6 prespawn wild and 18.4 kelt wild (adjusted (1.215)</t>
        </r>
      </text>
    </comment>
    <comment ref="BL200" authorId="2" shapeId="0" xr:uid="{00000000-0006-0000-0200-0000EA000000}">
      <text>
        <r>
          <rPr>
            <b/>
            <sz val="9"/>
            <color indexed="81"/>
            <rFont val="Tahoma"/>
            <family val="2"/>
          </rPr>
          <t>Pete Kairis:</t>
        </r>
        <r>
          <rPr>
            <sz val="9"/>
            <color indexed="81"/>
            <rFont val="Tahoma"/>
            <family val="2"/>
          </rPr>
          <t xml:space="preserve">
52 USIT, 3 SSIT, 11 Swin</t>
        </r>
      </text>
    </comment>
    <comment ref="L201" authorId="0" shapeId="0" xr:uid="{00000000-0006-0000-0200-0000EB000000}">
      <text>
        <r>
          <rPr>
            <b/>
            <sz val="8"/>
            <color indexed="81"/>
            <rFont val="Tahoma"/>
            <family val="2"/>
          </rPr>
          <t xml:space="preserve"> Rebecca Bernard:</t>
        </r>
        <r>
          <rPr>
            <sz val="8"/>
            <color indexed="81"/>
            <rFont val="Tahoma"/>
            <family val="2"/>
          </rPr>
          <t xml:space="preserve">
</t>
        </r>
        <r>
          <rPr>
            <u/>
            <sz val="8"/>
            <color indexed="81"/>
            <rFont val="Tahoma"/>
            <family val="2"/>
          </rPr>
          <t>This is wild fish only</t>
        </r>
        <r>
          <rPr>
            <sz val="8"/>
            <color indexed="81"/>
            <rFont val="Tahoma"/>
            <family val="2"/>
          </rPr>
          <t xml:space="preserve"> with effective kelt adjustment for wild steelhead.  8.3 prespawned wild+ 8.3 kelt *6.61% BY 1989-2004 ave repeat spawner return rate=25.1 effective wild fish.  1.4 hatchery fish in catch carried through in cell L260.  Calculated outside of workbook--see "SteelheadAgeMaster".</t>
        </r>
      </text>
    </comment>
    <comment ref="AX201" authorId="0" shapeId="0" xr:uid="{00000000-0006-0000-0200-0000EC000000}">
      <text>
        <r>
          <rPr>
            <b/>
            <sz val="8"/>
            <color indexed="81"/>
            <rFont val="Tahoma"/>
            <family val="2"/>
          </rPr>
          <t xml:space="preserve"> Rebecca Bernard:</t>
        </r>
        <r>
          <rPr>
            <sz val="8"/>
            <color indexed="81"/>
            <rFont val="Tahoma"/>
            <family val="2"/>
          </rPr>
          <t xml:space="preserve">
</t>
        </r>
        <r>
          <rPr>
            <u/>
            <sz val="8"/>
            <color indexed="81"/>
            <rFont val="Tahoma"/>
            <family val="2"/>
          </rPr>
          <t>This is with wild fish only</t>
        </r>
        <r>
          <rPr>
            <sz val="8"/>
            <color indexed="81"/>
            <rFont val="Tahoma"/>
            <family val="2"/>
          </rPr>
          <t xml:space="preserve"> with effective kelt adjustment for wild steelhead.  3 prespawned wild+ 6 kelt *6.61% BY 1989-2004 ave repeat spawner return rate=3.4 effective wild fish.  No hatchery fish in catch.</t>
        </r>
      </text>
    </comment>
    <comment ref="BF201" authorId="1" shapeId="0" xr:uid="{00000000-0006-0000-0200-0000ED000000}">
      <text>
        <r>
          <rPr>
            <b/>
            <sz val="9"/>
            <color indexed="81"/>
            <rFont val="Tahoma"/>
            <family val="2"/>
          </rPr>
          <t>rbernard:</t>
        </r>
        <r>
          <rPr>
            <sz val="9"/>
            <color indexed="81"/>
            <rFont val="Tahoma"/>
            <family val="2"/>
          </rPr>
          <t xml:space="preserve">
Upper Skagit--
Wild: 45 kelt (adjusted 2.975 ), 13 prespawn
Hatchery: 1 kelt</t>
        </r>
      </text>
    </comment>
    <comment ref="L202" authorId="0" shapeId="0" xr:uid="{00000000-0006-0000-0200-0000EE000000}">
      <text>
        <r>
          <rPr>
            <b/>
            <sz val="8"/>
            <color indexed="81"/>
            <rFont val="Tahoma"/>
            <family val="2"/>
          </rPr>
          <t xml:space="preserve"> Rebecca Bernard:</t>
        </r>
        <r>
          <rPr>
            <sz val="8"/>
            <color indexed="81"/>
            <rFont val="Tahoma"/>
            <family val="2"/>
          </rPr>
          <t xml:space="preserve">
</t>
        </r>
        <r>
          <rPr>
            <u/>
            <sz val="8"/>
            <color indexed="81"/>
            <rFont val="Tahoma"/>
            <family val="2"/>
          </rPr>
          <t>This is wild fish only</t>
        </r>
        <r>
          <rPr>
            <sz val="8"/>
            <color indexed="81"/>
            <rFont val="Tahoma"/>
            <family val="2"/>
          </rPr>
          <t xml:space="preserve"> with effective kelt adjustment for wild steelhead.   0 prespawned wild+ 5 kelt *6.61% BY 1989-2004 ave repeat spawner return rate=0.3 effective wild fish. 0 hatchery fish in catch.  Calculated outside of workbook--see "SteelheadAgeMaster".</t>
        </r>
      </text>
    </comment>
    <comment ref="L203" authorId="0" shapeId="0" xr:uid="{00000000-0006-0000-0200-0000EF000000}">
      <text>
        <r>
          <rPr>
            <b/>
            <sz val="8"/>
            <color indexed="81"/>
            <rFont val="Tahoma"/>
            <family val="2"/>
          </rPr>
          <t xml:space="preserve"> Rebecca Bernard:</t>
        </r>
        <r>
          <rPr>
            <sz val="8"/>
            <color indexed="81"/>
            <rFont val="Tahoma"/>
            <family val="2"/>
          </rPr>
          <t xml:space="preserve">
6 wild kelts and 1 wild prespawn--but only 6 on tickets.  </t>
        </r>
        <r>
          <rPr>
            <u/>
            <sz val="8"/>
            <color indexed="81"/>
            <rFont val="Tahoma"/>
            <family val="2"/>
          </rPr>
          <t>This is wild fish only</t>
        </r>
        <r>
          <rPr>
            <sz val="8"/>
            <color indexed="81"/>
            <rFont val="Tahoma"/>
            <family val="2"/>
          </rPr>
          <t xml:space="preserve"> with effective kelt adjustment for wild steelhead.   1 prespawned wild+ 6 kelt *6.61% BY 1989-2004 ave repeat spawner return rate=1.4 effective wild fish.  0 hatchery fish in catch.  Calculated outside of workbook--see "SteelheadAgeMaster".</t>
        </r>
      </text>
    </comment>
    <comment ref="BF204" authorId="2" shapeId="0" xr:uid="{00000000-0006-0000-0200-0000F0000000}">
      <text>
        <r>
          <rPr>
            <b/>
            <sz val="9"/>
            <color indexed="81"/>
            <rFont val="Tahoma"/>
            <family val="2"/>
          </rPr>
          <t>Pete Kairis:</t>
        </r>
        <r>
          <rPr>
            <sz val="9"/>
            <color indexed="81"/>
            <rFont val="Tahoma"/>
            <family val="2"/>
          </rPr>
          <t xml:space="preserve">
Swinomish: 7 in Area 8 and 13 in 78C.  16 wild kelt, 1.33 wild prespawn, 1.33 hatchery kelt, 1.33 hatchery prespawn.</t>
        </r>
      </text>
    </comment>
    <comment ref="BL204" authorId="2" shapeId="0" xr:uid="{00000000-0006-0000-0200-0000F1000000}">
      <text>
        <r>
          <rPr>
            <b/>
            <sz val="9"/>
            <color indexed="81"/>
            <rFont val="Tahoma"/>
            <family val="2"/>
          </rPr>
          <t>Pete Kairis:</t>
        </r>
        <r>
          <rPr>
            <sz val="9"/>
            <color indexed="81"/>
            <rFont val="Tahoma"/>
            <family val="2"/>
          </rPr>
          <t xml:space="preserve">
SSIT</t>
        </r>
      </text>
    </comment>
    <comment ref="A205" authorId="0" shapeId="0" xr:uid="{00000000-0006-0000-0200-0000F2000000}">
      <text>
        <r>
          <rPr>
            <b/>
            <sz val="8"/>
            <color indexed="81"/>
            <rFont val="Tahoma"/>
            <family val="2"/>
          </rPr>
          <t xml:space="preserve"> Rebecca Bernard:</t>
        </r>
        <r>
          <rPr>
            <sz val="8"/>
            <color indexed="81"/>
            <rFont val="Tahoma"/>
            <family val="2"/>
          </rPr>
          <t xml:space="preserve">
end of management season</t>
        </r>
      </text>
    </comment>
    <comment ref="BD205" authorId="1" shapeId="0" xr:uid="{00000000-0006-0000-0200-0000F3000000}">
      <text>
        <r>
          <rPr>
            <b/>
            <sz val="9"/>
            <color indexed="81"/>
            <rFont val="Tahoma"/>
            <family val="2"/>
          </rPr>
          <t>rbernard:</t>
        </r>
        <r>
          <rPr>
            <sz val="9"/>
            <color indexed="81"/>
            <rFont val="Tahoma"/>
            <family val="2"/>
          </rPr>
          <t xml:space="preserve">
Swinomish catch during the sockeye fishery--6 wild kelts and 2 prespawn hatchery fish</t>
        </r>
      </text>
    </comment>
    <comment ref="BF205" authorId="2" shapeId="0" xr:uid="{00000000-0006-0000-0200-0000F4000000}">
      <text>
        <r>
          <rPr>
            <b/>
            <sz val="9"/>
            <color indexed="81"/>
            <rFont val="Tahoma"/>
            <family val="2"/>
          </rPr>
          <t>Pete Kairis:</t>
        </r>
        <r>
          <rPr>
            <sz val="9"/>
            <color indexed="81"/>
            <rFont val="Tahoma"/>
            <family val="2"/>
          </rPr>
          <t xml:space="preserve">
Swinomish: 1 in Area 8 and 2 in 78C.  1.6 wild kelt, 0.13 wild prespawn, 0.13 hatchery kelt, 1.13 hatchery prespawn.</t>
        </r>
      </text>
    </comment>
    <comment ref="BL205" authorId="2" shapeId="0" xr:uid="{00000000-0006-0000-0200-0000F5000000}">
      <text>
        <r>
          <rPr>
            <b/>
            <sz val="9"/>
            <color indexed="81"/>
            <rFont val="Tahoma"/>
            <family val="2"/>
          </rPr>
          <t>Pete Kairis:</t>
        </r>
        <r>
          <rPr>
            <sz val="9"/>
            <color indexed="81"/>
            <rFont val="Tahoma"/>
            <family val="2"/>
          </rPr>
          <t xml:space="preserve">
Swin</t>
        </r>
      </text>
    </comment>
    <comment ref="A206" authorId="0" shapeId="0" xr:uid="{00000000-0006-0000-0200-0000F6000000}">
      <text>
        <r>
          <rPr>
            <b/>
            <sz val="8"/>
            <color indexed="81"/>
            <rFont val="Tahoma"/>
            <family val="2"/>
          </rPr>
          <t xml:space="preserve"> Rebecca Bernard:</t>
        </r>
        <r>
          <rPr>
            <sz val="8"/>
            <color indexed="81"/>
            <rFont val="Tahoma"/>
            <family val="2"/>
          </rPr>
          <t xml:space="preserve">
start of new management season</t>
        </r>
      </text>
    </comment>
    <comment ref="BD206" authorId="1" shapeId="0" xr:uid="{00000000-0006-0000-0200-0000F7000000}">
      <text>
        <r>
          <rPr>
            <b/>
            <sz val="9"/>
            <color indexed="81"/>
            <rFont val="Tahoma"/>
            <family val="2"/>
          </rPr>
          <t>rbernard:</t>
        </r>
        <r>
          <rPr>
            <sz val="9"/>
            <color indexed="81"/>
            <rFont val="Tahoma"/>
            <family val="2"/>
          </rPr>
          <t xml:space="preserve">
Swinomish catch during the sockeye fishery--4 wild kelts</t>
        </r>
      </text>
    </comment>
    <comment ref="BF206" authorId="2" shapeId="0" xr:uid="{00000000-0006-0000-0200-0000F8000000}">
      <text>
        <r>
          <rPr>
            <b/>
            <sz val="9"/>
            <color indexed="81"/>
            <rFont val="Tahoma"/>
            <family val="2"/>
          </rPr>
          <t>Pete Kairis:</t>
        </r>
        <r>
          <rPr>
            <sz val="9"/>
            <color indexed="81"/>
            <rFont val="Tahoma"/>
            <family val="2"/>
          </rPr>
          <t xml:space="preserve">
Swin: 14 from Area8 and 2 from 78C.  6.89 wild kelt, 2.29 wild prespawn, 0 hatchery kelt, 6.86 hatchery prespawn.</t>
        </r>
      </text>
    </comment>
    <comment ref="BL206" authorId="2" shapeId="0" xr:uid="{00000000-0006-0000-0200-0000F9000000}">
      <text>
        <r>
          <rPr>
            <b/>
            <sz val="9"/>
            <color indexed="81"/>
            <rFont val="Tahoma"/>
            <family val="2"/>
          </rPr>
          <t>Pete Kairis:</t>
        </r>
        <r>
          <rPr>
            <sz val="9"/>
            <color indexed="81"/>
            <rFont val="Tahoma"/>
            <family val="2"/>
          </rPr>
          <t xml:space="preserve">
Swin + 1 SSIT
</t>
        </r>
      </text>
    </comment>
    <comment ref="BX206" authorId="2" shapeId="0" xr:uid="{00000000-0006-0000-0200-0000FA000000}">
      <text>
        <r>
          <rPr>
            <b/>
            <sz val="9"/>
            <color indexed="81"/>
            <rFont val="Tahoma"/>
            <family val="2"/>
          </rPr>
          <t>Pete Kairis:</t>
        </r>
        <r>
          <rPr>
            <sz val="9"/>
            <color indexed="81"/>
            <rFont val="Tahoma"/>
            <family val="2"/>
          </rPr>
          <t xml:space="preserve">
Includes 1 released fish USIT @ 18.5% release mort</t>
        </r>
      </text>
    </comment>
    <comment ref="AX207" authorId="0" shapeId="0" xr:uid="{00000000-0006-0000-0200-0000FB000000}">
      <text>
        <r>
          <rPr>
            <b/>
            <sz val="8"/>
            <color indexed="81"/>
            <rFont val="Tahoma"/>
            <family val="2"/>
          </rPr>
          <t xml:space="preserve"> Rebecca Bernard:</t>
        </r>
        <r>
          <rPr>
            <sz val="8"/>
            <color indexed="81"/>
            <rFont val="Tahoma"/>
            <family val="2"/>
          </rPr>
          <t xml:space="preserve">
there were 12 scale samples even though 8 fish were on commercial catch tickets.</t>
        </r>
      </text>
    </comment>
    <comment ref="BF207" authorId="2" shapeId="0" xr:uid="{00000000-0006-0000-0200-0000FC000000}">
      <text>
        <r>
          <rPr>
            <b/>
            <sz val="9"/>
            <color indexed="81"/>
            <rFont val="Tahoma"/>
            <family val="2"/>
          </rPr>
          <t>Pete Kairis:</t>
        </r>
        <r>
          <rPr>
            <sz val="9"/>
            <color indexed="81"/>
            <rFont val="Tahoma"/>
            <family val="2"/>
          </rPr>
          <t xml:space="preserve">
Swin: 4 from Area 8.  1.29 wild kelt, 0.43 wild prespawn, 0 hatchery kelt, 2.29 hatchery prespawn.</t>
        </r>
      </text>
    </comment>
    <comment ref="BL207" authorId="2" shapeId="0" xr:uid="{00000000-0006-0000-0200-0000FD000000}">
      <text>
        <r>
          <rPr>
            <b/>
            <sz val="9"/>
            <color indexed="81"/>
            <rFont val="Tahoma"/>
            <family val="2"/>
          </rPr>
          <t>Pete Kairis:</t>
        </r>
        <r>
          <rPr>
            <sz val="9"/>
            <color indexed="81"/>
            <rFont val="Tahoma"/>
            <family val="2"/>
          </rPr>
          <t xml:space="preserve">
2 SSIT
</t>
        </r>
      </text>
    </comment>
    <comment ref="AD215" authorId="0" shapeId="0" xr:uid="{00000000-0006-0000-0200-0000FE000000}">
      <text>
        <r>
          <rPr>
            <b/>
            <sz val="8"/>
            <color indexed="81"/>
            <rFont val="Tahoma"/>
            <family val="2"/>
          </rPr>
          <t xml:space="preserve"> Rebecca Bernard:</t>
        </r>
        <r>
          <rPr>
            <sz val="8"/>
            <color indexed="81"/>
            <rFont val="Tahoma"/>
            <family val="2"/>
          </rPr>
          <t xml:space="preserve">
not open</t>
        </r>
      </text>
    </comment>
    <comment ref="BL215" authorId="2" shapeId="0" xr:uid="{00000000-0006-0000-0200-0000FF000000}">
      <text>
        <r>
          <rPr>
            <b/>
            <sz val="9"/>
            <color indexed="81"/>
            <rFont val="Tahoma"/>
            <family val="2"/>
          </rPr>
          <t>Pete Kairis:</t>
        </r>
        <r>
          <rPr>
            <sz val="9"/>
            <color indexed="81"/>
            <rFont val="Tahoma"/>
            <family val="2"/>
          </rPr>
          <t xml:space="preserve">
SSIT</t>
        </r>
      </text>
    </comment>
    <comment ref="F217" authorId="0" shapeId="0" xr:uid="{00000000-0006-0000-0200-000000010000}">
      <text>
        <r>
          <rPr>
            <b/>
            <sz val="8"/>
            <color indexed="81"/>
            <rFont val="Tahoma"/>
            <family val="2"/>
          </rPr>
          <t xml:space="preserve"> Rebecca Bernard:</t>
        </r>
        <r>
          <rPr>
            <sz val="8"/>
            <color indexed="81"/>
            <rFont val="Tahoma"/>
            <family val="2"/>
          </rPr>
          <t xml:space="preserve">
not open</t>
        </r>
      </text>
    </comment>
    <comment ref="J217" authorId="0" shapeId="0" xr:uid="{00000000-0006-0000-0200-000001010000}">
      <text>
        <r>
          <rPr>
            <b/>
            <sz val="8"/>
            <color indexed="81"/>
            <rFont val="Tahoma"/>
            <family val="2"/>
          </rPr>
          <t xml:space="preserve"> Rebecca Bernard:</t>
        </r>
        <r>
          <rPr>
            <sz val="8"/>
            <color indexed="81"/>
            <rFont val="Tahoma"/>
            <family val="2"/>
          </rPr>
          <t xml:space="preserve">
not open</t>
        </r>
      </text>
    </comment>
    <comment ref="L217" authorId="0" shapeId="0" xr:uid="{00000000-0006-0000-0200-000002010000}">
      <text>
        <r>
          <rPr>
            <b/>
            <sz val="8"/>
            <color indexed="81"/>
            <rFont val="Tahoma"/>
            <family val="2"/>
          </rPr>
          <t xml:space="preserve"> Rebecca Bernard:</t>
        </r>
        <r>
          <rPr>
            <sz val="8"/>
            <color indexed="81"/>
            <rFont val="Tahoma"/>
            <family val="2"/>
          </rPr>
          <t xml:space="preserve">
not open</t>
        </r>
      </text>
    </comment>
    <comment ref="BF218" authorId="2" shapeId="0" xr:uid="{00000000-0006-0000-0200-000003010000}">
      <text>
        <r>
          <rPr>
            <b/>
            <sz val="9"/>
            <color indexed="81"/>
            <rFont val="Tahoma"/>
            <family val="2"/>
          </rPr>
          <t>Pete Kairis:</t>
        </r>
        <r>
          <rPr>
            <sz val="9"/>
            <color indexed="81"/>
            <rFont val="Tahoma"/>
            <family val="2"/>
          </rPr>
          <t xml:space="preserve">
Swin
</t>
        </r>
      </text>
    </comment>
    <comment ref="BF219" authorId="2" shapeId="0" xr:uid="{00000000-0006-0000-0200-000004010000}">
      <text>
        <r>
          <rPr>
            <b/>
            <sz val="9"/>
            <color indexed="81"/>
            <rFont val="Tahoma"/>
            <family val="2"/>
          </rPr>
          <t>Pete Kairis:</t>
        </r>
        <r>
          <rPr>
            <sz val="9"/>
            <color indexed="81"/>
            <rFont val="Tahoma"/>
            <family val="2"/>
          </rPr>
          <t xml:space="preserve">
Swin</t>
        </r>
      </text>
    </comment>
    <comment ref="N220" authorId="0" shapeId="0" xr:uid="{00000000-0006-0000-0200-000005010000}">
      <text>
        <r>
          <rPr>
            <b/>
            <sz val="8"/>
            <color indexed="81"/>
            <rFont val="Tahoma"/>
            <family val="2"/>
          </rPr>
          <t xml:space="preserve"> Rebecca Bernard:</t>
        </r>
        <r>
          <rPr>
            <sz val="8"/>
            <color indexed="81"/>
            <rFont val="Tahoma"/>
            <family val="2"/>
          </rPr>
          <t xml:space="preserve">
not open</t>
        </r>
      </text>
    </comment>
    <comment ref="BF220" authorId="2" shapeId="0" xr:uid="{00000000-0006-0000-0200-000006010000}">
      <text>
        <r>
          <rPr>
            <b/>
            <sz val="9"/>
            <color indexed="81"/>
            <rFont val="Tahoma"/>
            <family val="2"/>
          </rPr>
          <t>Pete Kairis:</t>
        </r>
        <r>
          <rPr>
            <sz val="9"/>
            <color indexed="81"/>
            <rFont val="Tahoma"/>
            <family val="2"/>
          </rPr>
          <t xml:space="preserve">
Swin</t>
        </r>
      </text>
    </comment>
    <comment ref="N221" authorId="0" shapeId="0" xr:uid="{00000000-0006-0000-0200-000007010000}">
      <text>
        <r>
          <rPr>
            <b/>
            <sz val="8"/>
            <color indexed="81"/>
            <rFont val="Tahoma"/>
            <family val="2"/>
          </rPr>
          <t xml:space="preserve"> Rebecca Bernard:</t>
        </r>
        <r>
          <rPr>
            <sz val="8"/>
            <color indexed="81"/>
            <rFont val="Tahoma"/>
            <family val="2"/>
          </rPr>
          <t xml:space="preserve">
not open</t>
        </r>
      </text>
    </comment>
    <comment ref="BF221" authorId="2" shapeId="0" xr:uid="{00000000-0006-0000-0200-000008010000}">
      <text>
        <r>
          <rPr>
            <b/>
            <sz val="9"/>
            <color indexed="81"/>
            <rFont val="Tahoma"/>
            <family val="2"/>
          </rPr>
          <t>Pete Kairis:</t>
        </r>
        <r>
          <rPr>
            <sz val="9"/>
            <color indexed="81"/>
            <rFont val="Tahoma"/>
            <family val="2"/>
          </rPr>
          <t xml:space="preserve">
1 Swin, 3 USIT</t>
        </r>
      </text>
    </comment>
    <comment ref="BX221" authorId="2" shapeId="0" xr:uid="{00000000-0006-0000-0200-000009010000}">
      <text>
        <r>
          <rPr>
            <b/>
            <sz val="9"/>
            <color indexed="81"/>
            <rFont val="Tahoma"/>
            <family val="2"/>
          </rPr>
          <t>Pete Kairis:</t>
        </r>
        <r>
          <rPr>
            <sz val="9"/>
            <color indexed="81"/>
            <rFont val="Tahoma"/>
            <family val="2"/>
          </rPr>
          <t xml:space="preserve">
USIT C&amp;S</t>
        </r>
      </text>
    </comment>
    <comment ref="J222" authorId="0" shapeId="0" xr:uid="{00000000-0006-0000-0200-00000A010000}">
      <text>
        <r>
          <rPr>
            <b/>
            <sz val="8"/>
            <color indexed="81"/>
            <rFont val="Tahoma"/>
            <family val="2"/>
          </rPr>
          <t xml:space="preserve"> Rebecca Bernard:</t>
        </r>
        <r>
          <rPr>
            <sz val="8"/>
            <color indexed="81"/>
            <rFont val="Tahoma"/>
            <family val="2"/>
          </rPr>
          <t xml:space="preserve">
not open</t>
        </r>
      </text>
    </comment>
    <comment ref="N222" authorId="0" shapeId="0" xr:uid="{00000000-0006-0000-0200-00000B010000}">
      <text>
        <r>
          <rPr>
            <b/>
            <sz val="8"/>
            <color indexed="81"/>
            <rFont val="Tahoma"/>
            <family val="2"/>
          </rPr>
          <t xml:space="preserve"> Rebecca Bernard:</t>
        </r>
        <r>
          <rPr>
            <sz val="8"/>
            <color indexed="81"/>
            <rFont val="Tahoma"/>
            <family val="2"/>
          </rPr>
          <t xml:space="preserve">
not open</t>
        </r>
      </text>
    </comment>
    <comment ref="A223" authorId="0" shapeId="0" xr:uid="{00000000-0006-0000-0200-00000C010000}">
      <text>
        <r>
          <rPr>
            <b/>
            <sz val="8"/>
            <color indexed="81"/>
            <rFont val="Tahoma"/>
            <family val="2"/>
          </rPr>
          <t xml:space="preserve"> Rebecca Bernard:</t>
        </r>
        <r>
          <rPr>
            <sz val="8"/>
            <color indexed="81"/>
            <rFont val="Tahoma"/>
            <family val="2"/>
          </rPr>
          <t xml:space="preserve">
end of summer run hatchery fish management season</t>
        </r>
      </text>
    </comment>
    <comment ref="V223" authorId="0" shapeId="0" xr:uid="{00000000-0006-0000-0200-00000D010000}">
      <text>
        <r>
          <rPr>
            <b/>
            <sz val="8"/>
            <color indexed="81"/>
            <rFont val="Tahoma"/>
            <family val="2"/>
          </rPr>
          <t xml:space="preserve"> Rebecca Bernard:</t>
        </r>
        <r>
          <rPr>
            <sz val="8"/>
            <color indexed="81"/>
            <rFont val="Tahoma"/>
            <family val="2"/>
          </rPr>
          <t xml:space="preserve">
C&amp;S</t>
        </r>
      </text>
    </comment>
    <comment ref="A224" authorId="0" shapeId="0" xr:uid="{00000000-0006-0000-0200-00000E010000}">
      <text>
        <r>
          <rPr>
            <b/>
            <sz val="8"/>
            <color indexed="81"/>
            <rFont val="Tahoma"/>
            <family val="2"/>
          </rPr>
          <t xml:space="preserve"> Rebecca Bernard:</t>
        </r>
        <r>
          <rPr>
            <sz val="8"/>
            <color indexed="81"/>
            <rFont val="Tahoma"/>
            <family val="2"/>
          </rPr>
          <t xml:space="preserve">
beginning of winter run hatchery fish season</t>
        </r>
      </text>
    </comment>
    <comment ref="AV225" authorId="0" shapeId="0" xr:uid="{00000000-0006-0000-0200-00000F010000}">
      <text>
        <r>
          <rPr>
            <b/>
            <sz val="8"/>
            <color indexed="81"/>
            <rFont val="Tahoma"/>
            <family val="2"/>
          </rPr>
          <t xml:space="preserve"> Rebecca Bernard:</t>
        </r>
        <r>
          <rPr>
            <sz val="8"/>
            <color indexed="81"/>
            <rFont val="Tahoma"/>
            <family val="2"/>
          </rPr>
          <t xml:space="preserve">
sample but no catch on ticket</t>
        </r>
      </text>
    </comment>
    <comment ref="H226" authorId="0" shapeId="0" xr:uid="{00000000-0006-0000-0200-000010010000}">
      <text>
        <r>
          <rPr>
            <b/>
            <sz val="8"/>
            <color indexed="81"/>
            <rFont val="Tahoma"/>
            <family val="2"/>
          </rPr>
          <t xml:space="preserve"> Rebecca Bernard:</t>
        </r>
        <r>
          <rPr>
            <sz val="8"/>
            <color indexed="81"/>
            <rFont val="Tahoma"/>
            <family val="2"/>
          </rPr>
          <t xml:space="preserve">
not open</t>
        </r>
      </text>
    </comment>
    <comment ref="AL226" authorId="0" shapeId="0" xr:uid="{00000000-0006-0000-0200-000011010000}">
      <text>
        <r>
          <rPr>
            <b/>
            <sz val="8"/>
            <color indexed="81"/>
            <rFont val="Tahoma"/>
            <family val="2"/>
          </rPr>
          <t xml:space="preserve"> Rebecca Bernard:</t>
        </r>
        <r>
          <rPr>
            <sz val="8"/>
            <color indexed="81"/>
            <rFont val="Tahoma"/>
            <family val="2"/>
          </rPr>
          <t xml:space="preserve">
sample, but no catch on ticket</t>
        </r>
      </text>
    </comment>
    <comment ref="AX227" authorId="0" shapeId="0" xr:uid="{00000000-0006-0000-0200-000012010000}">
      <text>
        <r>
          <rPr>
            <b/>
            <sz val="8"/>
            <color indexed="81"/>
            <rFont val="Tahoma"/>
            <family val="2"/>
          </rPr>
          <t xml:space="preserve"> Rebecca Bernard:</t>
        </r>
        <r>
          <rPr>
            <sz val="8"/>
            <color indexed="81"/>
            <rFont val="Tahoma"/>
            <family val="2"/>
          </rPr>
          <t xml:space="preserve">
not open</t>
        </r>
      </text>
    </comment>
    <comment ref="B228" authorId="0" shapeId="0" xr:uid="{00000000-0006-0000-0200-000013010000}">
      <text>
        <r>
          <rPr>
            <b/>
            <sz val="8"/>
            <color indexed="81"/>
            <rFont val="Tahoma"/>
            <family val="2"/>
          </rPr>
          <t xml:space="preserve"> Rebecca Bernard:</t>
        </r>
        <r>
          <rPr>
            <sz val="8"/>
            <color indexed="81"/>
            <rFont val="Tahoma"/>
            <family val="2"/>
          </rPr>
          <t xml:space="preserve">
can't use because most of catch was "U" because hatchery fish not mass marked and very few ages available.</t>
        </r>
      </text>
    </comment>
    <comment ref="BX228" authorId="2" shapeId="0" xr:uid="{00000000-0006-0000-0200-000014010000}">
      <text>
        <r>
          <rPr>
            <b/>
            <sz val="9"/>
            <color indexed="81"/>
            <rFont val="Tahoma"/>
            <family val="2"/>
          </rPr>
          <t>Pete Kairis:</t>
        </r>
        <r>
          <rPr>
            <sz val="9"/>
            <color indexed="81"/>
            <rFont val="Tahoma"/>
            <family val="2"/>
          </rPr>
          <t xml:space="preserve">
USIT C&amp;S
</t>
        </r>
      </text>
    </comment>
    <comment ref="F229" authorId="0" shapeId="0" xr:uid="{00000000-0006-0000-0200-000015010000}">
      <text>
        <r>
          <rPr>
            <b/>
            <sz val="8"/>
            <color indexed="81"/>
            <rFont val="Tahoma"/>
            <family val="2"/>
          </rPr>
          <t xml:space="preserve"> Rebecca Bernard:</t>
        </r>
        <r>
          <rPr>
            <sz val="8"/>
            <color indexed="81"/>
            <rFont val="Tahoma"/>
            <family val="2"/>
          </rPr>
          <t xml:space="preserve">
not open</t>
        </r>
      </text>
    </comment>
    <comment ref="H229" authorId="0" shapeId="0" xr:uid="{00000000-0006-0000-0200-000016010000}">
      <text>
        <r>
          <rPr>
            <b/>
            <sz val="8"/>
            <color indexed="81"/>
            <rFont val="Tahoma"/>
            <family val="2"/>
          </rPr>
          <t xml:space="preserve"> Rebecca Bernard:</t>
        </r>
        <r>
          <rPr>
            <sz val="8"/>
            <color indexed="81"/>
            <rFont val="Tahoma"/>
            <family val="2"/>
          </rPr>
          <t xml:space="preserve">
not open</t>
        </r>
      </text>
    </comment>
    <comment ref="Z229" authorId="0" shapeId="0" xr:uid="{00000000-0006-0000-0200-000017010000}">
      <text>
        <r>
          <rPr>
            <b/>
            <sz val="8"/>
            <color indexed="81"/>
            <rFont val="Tahoma"/>
            <family val="2"/>
          </rPr>
          <t xml:space="preserve"> Rebecca Bernard:</t>
        </r>
        <r>
          <rPr>
            <sz val="8"/>
            <color indexed="81"/>
            <rFont val="Tahoma"/>
            <family val="2"/>
          </rPr>
          <t xml:space="preserve">
samples, but no catch on ticket</t>
        </r>
      </text>
    </comment>
    <comment ref="BF229" authorId="2" shapeId="0" xr:uid="{00000000-0006-0000-0200-000018010000}">
      <text>
        <r>
          <rPr>
            <b/>
            <sz val="9"/>
            <color indexed="81"/>
            <rFont val="Tahoma"/>
            <family val="2"/>
          </rPr>
          <t>Pete Kairis:</t>
        </r>
        <r>
          <rPr>
            <sz val="9"/>
            <color indexed="81"/>
            <rFont val="Tahoma"/>
            <family val="2"/>
          </rPr>
          <t xml:space="preserve">
Upper Skagit</t>
        </r>
      </text>
    </comment>
    <comment ref="BX229" authorId="2" shapeId="0" xr:uid="{00000000-0006-0000-0200-000019010000}">
      <text>
        <r>
          <rPr>
            <b/>
            <sz val="9"/>
            <color indexed="81"/>
            <rFont val="Tahoma"/>
            <family val="2"/>
          </rPr>
          <t>Pete Kairis:</t>
        </r>
        <r>
          <rPr>
            <sz val="9"/>
            <color indexed="81"/>
            <rFont val="Tahoma"/>
            <family val="2"/>
          </rPr>
          <t xml:space="preserve">
USIT C&amp;S
</t>
        </r>
      </text>
    </comment>
    <comment ref="B230" authorId="0" shapeId="0" xr:uid="{00000000-0006-0000-0200-00001A010000}">
      <text>
        <r>
          <rPr>
            <b/>
            <sz val="8"/>
            <color indexed="81"/>
            <rFont val="Tahoma"/>
            <family val="2"/>
          </rPr>
          <t xml:space="preserve"> Rebecca Bernard:</t>
        </r>
        <r>
          <rPr>
            <sz val="8"/>
            <color indexed="81"/>
            <rFont val="Tahoma"/>
            <family val="2"/>
          </rPr>
          <t xml:space="preserve">
can't use because most of catch was "U" because hatchery fish not mass marked and very few ages available.</t>
        </r>
      </text>
    </comment>
    <comment ref="H230" authorId="0" shapeId="0" xr:uid="{00000000-0006-0000-0200-00001B010000}">
      <text>
        <r>
          <rPr>
            <b/>
            <sz val="8"/>
            <color indexed="81"/>
            <rFont val="Tahoma"/>
            <family val="2"/>
          </rPr>
          <t xml:space="preserve"> Rebecca Bernard:</t>
        </r>
        <r>
          <rPr>
            <sz val="8"/>
            <color indexed="81"/>
            <rFont val="Tahoma"/>
            <family val="2"/>
          </rPr>
          <t xml:space="preserve">
not open</t>
        </r>
      </text>
    </comment>
    <comment ref="L230" authorId="0" shapeId="0" xr:uid="{00000000-0006-0000-0200-00001C010000}">
      <text>
        <r>
          <rPr>
            <b/>
            <sz val="8"/>
            <color indexed="81"/>
            <rFont val="Tahoma"/>
            <family val="2"/>
          </rPr>
          <t xml:space="preserve"> Rebecca Bernard:</t>
        </r>
        <r>
          <rPr>
            <sz val="8"/>
            <color indexed="81"/>
            <rFont val="Tahoma"/>
            <family val="2"/>
          </rPr>
          <t xml:space="preserve">
42 seized</t>
        </r>
      </text>
    </comment>
    <comment ref="BF230" authorId="2" shapeId="0" xr:uid="{00000000-0006-0000-0200-00001D010000}">
      <text>
        <r>
          <rPr>
            <b/>
            <sz val="9"/>
            <color indexed="81"/>
            <rFont val="Tahoma"/>
            <family val="2"/>
          </rPr>
          <t>Pete Kairis:</t>
        </r>
        <r>
          <rPr>
            <sz val="9"/>
            <color indexed="81"/>
            <rFont val="Tahoma"/>
            <family val="2"/>
          </rPr>
          <t xml:space="preserve">
Upper Skagit</t>
        </r>
      </text>
    </comment>
    <comment ref="B231" authorId="0" shapeId="0" xr:uid="{00000000-0006-0000-0200-00001E010000}">
      <text>
        <r>
          <rPr>
            <b/>
            <sz val="8"/>
            <color indexed="81"/>
            <rFont val="Tahoma"/>
            <family val="2"/>
          </rPr>
          <t xml:space="preserve"> Rebecca Bernard:</t>
        </r>
        <r>
          <rPr>
            <sz val="8"/>
            <color indexed="81"/>
            <rFont val="Tahoma"/>
            <family val="2"/>
          </rPr>
          <t xml:space="preserve">
can't use because most of catch was "U" because hatchery fish not mass marked and very few ages available.</t>
        </r>
      </text>
    </comment>
    <comment ref="BF231" authorId="2" shapeId="0" xr:uid="{00000000-0006-0000-0200-00001F010000}">
      <text>
        <r>
          <rPr>
            <b/>
            <sz val="9"/>
            <color indexed="81"/>
            <rFont val="Tahoma"/>
            <family val="2"/>
          </rPr>
          <t>Pete Kairis:</t>
        </r>
        <r>
          <rPr>
            <sz val="9"/>
            <color indexed="81"/>
            <rFont val="Tahoma"/>
            <family val="2"/>
          </rPr>
          <t xml:space="preserve">
Upper Skagit</t>
        </r>
      </text>
    </comment>
    <comment ref="B238" authorId="0" shapeId="0" xr:uid="{00000000-0006-0000-0200-000020010000}">
      <text>
        <r>
          <rPr>
            <b/>
            <sz val="8"/>
            <color indexed="81"/>
            <rFont val="Tahoma"/>
            <family val="2"/>
          </rPr>
          <t xml:space="preserve"> Rebecca Bernard:</t>
        </r>
        <r>
          <rPr>
            <sz val="8"/>
            <color indexed="81"/>
            <rFont val="Tahoma"/>
            <family val="2"/>
          </rPr>
          <t xml:space="preserve">
lots of scale samples from test week 39 to 52, but only a handfull of ages, and since the hatchery fish weren't massmarked, other then scales, no way to know if H or W--"stubbed dorsal", or not is not listed--so cannot use these test catches for h/w composition.</t>
        </r>
      </text>
    </comment>
    <comment ref="C238" authorId="0" shapeId="0" xr:uid="{00000000-0006-0000-0200-000021010000}">
      <text>
        <r>
          <rPr>
            <b/>
            <sz val="8"/>
            <color indexed="81"/>
            <rFont val="Tahoma"/>
            <family val="2"/>
          </rPr>
          <t xml:space="preserve"> Rebecca Bernard:</t>
        </r>
        <r>
          <rPr>
            <sz val="8"/>
            <color indexed="81"/>
            <rFont val="Tahoma"/>
            <family val="2"/>
          </rPr>
          <t xml:space="preserve">
lots of scale samples from test week 39 to 52, but only a handfull of ages, and since the hatchery fish weren't massmarked, other then scales, no way to know if H or W--"stubbed dorsal", or not is not listed--so cannot use these test catches for h/w composition.</t>
        </r>
      </text>
    </comment>
    <comment ref="AJ239" authorId="0" shapeId="0" xr:uid="{00000000-0006-0000-0200-000022010000}">
      <text>
        <r>
          <rPr>
            <b/>
            <sz val="8"/>
            <color indexed="81"/>
            <rFont val="Tahoma"/>
            <family val="2"/>
          </rPr>
          <t xml:space="preserve"> Rebecca Bernard:</t>
        </r>
        <r>
          <rPr>
            <sz val="8"/>
            <color indexed="81"/>
            <rFont val="Tahoma"/>
            <family val="2"/>
          </rPr>
          <t xml:space="preserve">
used following week's proportions</t>
        </r>
      </text>
    </comment>
    <comment ref="AK239" authorId="0" shapeId="0" xr:uid="{00000000-0006-0000-0200-000023010000}">
      <text>
        <r>
          <rPr>
            <b/>
            <sz val="8"/>
            <color indexed="81"/>
            <rFont val="Tahoma"/>
            <family val="2"/>
          </rPr>
          <t xml:space="preserve"> Rebecca Bernard:</t>
        </r>
        <r>
          <rPr>
            <sz val="8"/>
            <color indexed="81"/>
            <rFont val="Tahoma"/>
            <family val="2"/>
          </rPr>
          <t xml:space="preserve">
used following week's proportions</t>
        </r>
      </text>
    </comment>
    <comment ref="AX239" authorId="0" shapeId="0" xr:uid="{00000000-0006-0000-0200-000024010000}">
      <text>
        <r>
          <rPr>
            <b/>
            <sz val="8"/>
            <color indexed="81"/>
            <rFont val="Tahoma"/>
            <family val="2"/>
          </rPr>
          <t xml:space="preserve"> Rebecca Bernard:</t>
        </r>
        <r>
          <rPr>
            <sz val="8"/>
            <color indexed="81"/>
            <rFont val="Tahoma"/>
            <family val="2"/>
          </rPr>
          <t xml:space="preserve">
used week 4 proportions</t>
        </r>
      </text>
    </comment>
    <comment ref="AY239" authorId="0" shapeId="0" xr:uid="{00000000-0006-0000-0200-000025010000}">
      <text>
        <r>
          <rPr>
            <b/>
            <sz val="8"/>
            <color indexed="81"/>
            <rFont val="Tahoma"/>
            <family val="2"/>
          </rPr>
          <t xml:space="preserve"> Rebecca Bernard:</t>
        </r>
        <r>
          <rPr>
            <sz val="8"/>
            <color indexed="81"/>
            <rFont val="Tahoma"/>
            <family val="2"/>
          </rPr>
          <t xml:space="preserve">
used week 4 proportions</t>
        </r>
      </text>
    </comment>
    <comment ref="R240" authorId="0" shapeId="0" xr:uid="{00000000-0006-0000-0200-000026010000}">
      <text>
        <r>
          <rPr>
            <b/>
            <sz val="8"/>
            <color indexed="81"/>
            <rFont val="Tahoma"/>
            <family val="2"/>
          </rPr>
          <t xml:space="preserve"> Rebecca Bernard:</t>
        </r>
        <r>
          <rPr>
            <sz val="8"/>
            <color indexed="81"/>
            <rFont val="Tahoma"/>
            <family val="2"/>
          </rPr>
          <t xml:space="preserve">
used week before's proportions</t>
        </r>
      </text>
    </comment>
    <comment ref="S240" authorId="0" shapeId="0" xr:uid="{00000000-0006-0000-0200-000027010000}">
      <text>
        <r>
          <rPr>
            <b/>
            <sz val="8"/>
            <color indexed="81"/>
            <rFont val="Tahoma"/>
            <family val="2"/>
          </rPr>
          <t xml:space="preserve"> Rebecca Bernard:</t>
        </r>
        <r>
          <rPr>
            <sz val="8"/>
            <color indexed="81"/>
            <rFont val="Tahoma"/>
            <family val="2"/>
          </rPr>
          <t xml:space="preserve">
used week before's proportions</t>
        </r>
      </text>
    </comment>
    <comment ref="AF240" authorId="0" shapeId="0" xr:uid="{00000000-0006-0000-0200-000028010000}">
      <text>
        <r>
          <rPr>
            <b/>
            <sz val="8"/>
            <color indexed="81"/>
            <rFont val="Tahoma"/>
            <family val="2"/>
          </rPr>
          <t xml:space="preserve"> Rebecca Bernard:</t>
        </r>
        <r>
          <rPr>
            <sz val="8"/>
            <color indexed="81"/>
            <rFont val="Tahoma"/>
            <family val="2"/>
          </rPr>
          <t xml:space="preserve">
used 1996 same weeks--good sample size in 1996 for proportions</t>
        </r>
      </text>
    </comment>
    <comment ref="AG240" authorId="0" shapeId="0" xr:uid="{00000000-0006-0000-0200-000029010000}">
      <text>
        <r>
          <rPr>
            <b/>
            <sz val="8"/>
            <color indexed="81"/>
            <rFont val="Tahoma"/>
            <family val="2"/>
          </rPr>
          <t xml:space="preserve"> Rebecca Bernard:</t>
        </r>
        <r>
          <rPr>
            <sz val="8"/>
            <color indexed="81"/>
            <rFont val="Tahoma"/>
            <family val="2"/>
          </rPr>
          <t xml:space="preserve">
used 1996 same weeks--good sample size in 1996 for proportions</t>
        </r>
      </text>
    </comment>
    <comment ref="AH240" authorId="0" shapeId="0" xr:uid="{00000000-0006-0000-0200-00002A010000}">
      <text>
        <r>
          <rPr>
            <b/>
            <sz val="8"/>
            <color indexed="81"/>
            <rFont val="Tahoma"/>
            <family val="2"/>
          </rPr>
          <t xml:space="preserve"> Rebecca Bernard:</t>
        </r>
        <r>
          <rPr>
            <sz val="8"/>
            <color indexed="81"/>
            <rFont val="Tahoma"/>
            <family val="2"/>
          </rPr>
          <t xml:space="preserve">
used 1996 same weeks--good sample size in 1996 for proportions</t>
        </r>
      </text>
    </comment>
    <comment ref="AI240" authorId="0" shapeId="0" xr:uid="{00000000-0006-0000-0200-00002B010000}">
      <text>
        <r>
          <rPr>
            <b/>
            <sz val="8"/>
            <color indexed="81"/>
            <rFont val="Tahoma"/>
            <family val="2"/>
          </rPr>
          <t xml:space="preserve"> Rebecca Bernard:</t>
        </r>
        <r>
          <rPr>
            <sz val="8"/>
            <color indexed="81"/>
            <rFont val="Tahoma"/>
            <family val="2"/>
          </rPr>
          <t xml:space="preserve">
used 1996 same weeks--good sample size in 1996 for proportions</t>
        </r>
      </text>
    </comment>
    <comment ref="AN240" authorId="0" shapeId="0" xr:uid="{00000000-0006-0000-0200-00002C010000}">
      <text>
        <r>
          <rPr>
            <b/>
            <sz val="8"/>
            <color indexed="81"/>
            <rFont val="Tahoma"/>
            <family val="2"/>
          </rPr>
          <t xml:space="preserve"> Rebecca Bernard:</t>
        </r>
        <r>
          <rPr>
            <sz val="8"/>
            <color indexed="81"/>
            <rFont val="Tahoma"/>
            <family val="2"/>
          </rPr>
          <t xml:space="preserve">
used well sampled year 2005 same week for proportions </t>
        </r>
      </text>
    </comment>
    <comment ref="AO240" authorId="0" shapeId="0" xr:uid="{00000000-0006-0000-0200-00002D010000}">
      <text>
        <r>
          <rPr>
            <b/>
            <sz val="8"/>
            <color indexed="81"/>
            <rFont val="Tahoma"/>
            <family val="2"/>
          </rPr>
          <t xml:space="preserve"> Rebecca Bernard:</t>
        </r>
        <r>
          <rPr>
            <sz val="8"/>
            <color indexed="81"/>
            <rFont val="Tahoma"/>
            <family val="2"/>
          </rPr>
          <t xml:space="preserve">
used well sampled year 2005 same week for proportions </t>
        </r>
      </text>
    </comment>
    <comment ref="AP240" authorId="0" shapeId="0" xr:uid="{00000000-0006-0000-0200-00002E010000}">
      <text>
        <r>
          <rPr>
            <b/>
            <sz val="8"/>
            <color indexed="81"/>
            <rFont val="Tahoma"/>
            <family val="2"/>
          </rPr>
          <t xml:space="preserve"> Rebecca Bernard:</t>
        </r>
        <r>
          <rPr>
            <sz val="8"/>
            <color indexed="81"/>
            <rFont val="Tahoma"/>
            <family val="2"/>
          </rPr>
          <t xml:space="preserve">
used proportions from following week's samples</t>
        </r>
      </text>
    </comment>
    <comment ref="AQ240" authorId="0" shapeId="0" xr:uid="{00000000-0006-0000-0200-00002F010000}">
      <text>
        <r>
          <rPr>
            <b/>
            <sz val="8"/>
            <color indexed="81"/>
            <rFont val="Tahoma"/>
            <family val="2"/>
          </rPr>
          <t xml:space="preserve"> Rebecca Bernard:</t>
        </r>
        <r>
          <rPr>
            <sz val="8"/>
            <color indexed="81"/>
            <rFont val="Tahoma"/>
            <family val="2"/>
          </rPr>
          <t xml:space="preserve">
used proportions from following week's samples</t>
        </r>
      </text>
    </comment>
    <comment ref="AX240" authorId="0" shapeId="0" xr:uid="{00000000-0006-0000-0200-000030010000}">
      <text>
        <r>
          <rPr>
            <b/>
            <sz val="8"/>
            <color indexed="81"/>
            <rFont val="Tahoma"/>
            <family val="2"/>
          </rPr>
          <t xml:space="preserve"> Rebecca Bernard:</t>
        </r>
        <r>
          <rPr>
            <sz val="8"/>
            <color indexed="81"/>
            <rFont val="Tahoma"/>
            <family val="2"/>
          </rPr>
          <t xml:space="preserve">
used week 4 proportions</t>
        </r>
      </text>
    </comment>
    <comment ref="AY240" authorId="0" shapeId="0" xr:uid="{00000000-0006-0000-0200-000031010000}">
      <text>
        <r>
          <rPr>
            <b/>
            <sz val="8"/>
            <color indexed="81"/>
            <rFont val="Tahoma"/>
            <family val="2"/>
          </rPr>
          <t xml:space="preserve"> Rebecca Bernard:</t>
        </r>
        <r>
          <rPr>
            <sz val="8"/>
            <color indexed="81"/>
            <rFont val="Tahoma"/>
            <family val="2"/>
          </rPr>
          <t xml:space="preserve">
used week 4 proportions</t>
        </r>
      </text>
    </comment>
    <comment ref="BD240" authorId="1" shapeId="0" xr:uid="{00000000-0006-0000-0200-000032010000}">
      <text>
        <r>
          <rPr>
            <b/>
            <sz val="9"/>
            <color indexed="81"/>
            <rFont val="Tahoma"/>
            <family val="2"/>
          </rPr>
          <t>rbernard:</t>
        </r>
        <r>
          <rPr>
            <sz val="9"/>
            <color indexed="81"/>
            <rFont val="Tahoma"/>
            <family val="2"/>
          </rPr>
          <t xml:space="preserve">
used 2010 composition for this week</t>
        </r>
      </text>
    </comment>
    <comment ref="BE240" authorId="1" shapeId="0" xr:uid="{00000000-0006-0000-0200-000033010000}">
      <text>
        <r>
          <rPr>
            <b/>
            <sz val="9"/>
            <color indexed="81"/>
            <rFont val="Tahoma"/>
            <family val="2"/>
          </rPr>
          <t>rbernard:</t>
        </r>
        <r>
          <rPr>
            <sz val="9"/>
            <color indexed="81"/>
            <rFont val="Tahoma"/>
            <family val="2"/>
          </rPr>
          <t xml:space="preserve">
used 2010 composition for this week</t>
        </r>
      </text>
    </comment>
    <comment ref="BF240" authorId="2" shapeId="0" xr:uid="{00000000-0006-0000-0200-000034010000}">
      <text>
        <r>
          <rPr>
            <b/>
            <sz val="9"/>
            <color indexed="81"/>
            <rFont val="Tahoma"/>
            <family val="2"/>
          </rPr>
          <t>Pete Kairis:</t>
        </r>
        <r>
          <rPr>
            <sz val="9"/>
            <color indexed="81"/>
            <rFont val="Tahoma"/>
            <family val="2"/>
          </rPr>
          <t xml:space="preserve">
Using Week 1 expansion factors, since no samples for Week 2.</t>
        </r>
      </text>
    </comment>
    <comment ref="BG240" authorId="2" shapeId="0" xr:uid="{00000000-0006-0000-0200-000035010000}">
      <text>
        <r>
          <rPr>
            <b/>
            <sz val="9"/>
            <color indexed="81"/>
            <rFont val="Tahoma"/>
            <family val="2"/>
          </rPr>
          <t>Pete Kairis:</t>
        </r>
        <r>
          <rPr>
            <sz val="9"/>
            <color indexed="81"/>
            <rFont val="Tahoma"/>
            <family val="2"/>
          </rPr>
          <t xml:space="preserve">
Using Week 1 expansion factors, since no samples for Week 2.</t>
        </r>
      </text>
    </comment>
    <comment ref="BI240" authorId="2" shapeId="0" xr:uid="{00000000-0006-0000-0200-000036010000}">
      <text>
        <r>
          <rPr>
            <b/>
            <sz val="9"/>
            <color indexed="81"/>
            <rFont val="Tahoma"/>
            <family val="2"/>
          </rPr>
          <t>Pete Kairis:</t>
        </r>
        <r>
          <rPr>
            <sz val="9"/>
            <color indexed="81"/>
            <rFont val="Tahoma"/>
            <family val="2"/>
          </rPr>
          <t xml:space="preserve">
Using Week 1 expansion factors, since no samples for Week 2.</t>
        </r>
      </text>
    </comment>
    <comment ref="BJ240" authorId="2" shapeId="0" xr:uid="{00000000-0006-0000-0200-000037010000}">
      <text>
        <r>
          <rPr>
            <b/>
            <sz val="9"/>
            <color indexed="81"/>
            <rFont val="Tahoma"/>
            <family val="2"/>
          </rPr>
          <t>Pete Kairis:</t>
        </r>
        <r>
          <rPr>
            <sz val="9"/>
            <color indexed="81"/>
            <rFont val="Tahoma"/>
            <family val="2"/>
          </rPr>
          <t xml:space="preserve">
Using Week 1 expansion factors, since no samples for Week 2.</t>
        </r>
      </text>
    </comment>
    <comment ref="BR240" authorId="2" shapeId="0" xr:uid="{00000000-0006-0000-0200-000038010000}">
      <text>
        <r>
          <rPr>
            <b/>
            <sz val="9"/>
            <color indexed="81"/>
            <rFont val="Tahoma"/>
            <family val="2"/>
          </rPr>
          <t>Pete Kairis:</t>
        </r>
        <r>
          <rPr>
            <sz val="9"/>
            <color indexed="81"/>
            <rFont val="Tahoma"/>
            <family val="2"/>
          </rPr>
          <t xml:space="preserve">
No samples from week 2, so using previous week.</t>
        </r>
      </text>
    </comment>
    <comment ref="BS240" authorId="2" shapeId="0" xr:uid="{00000000-0006-0000-0200-000039010000}">
      <text>
        <r>
          <rPr>
            <b/>
            <sz val="9"/>
            <color indexed="81"/>
            <rFont val="Tahoma"/>
            <family val="2"/>
          </rPr>
          <t>Pete Kairis:</t>
        </r>
        <r>
          <rPr>
            <sz val="9"/>
            <color indexed="81"/>
            <rFont val="Tahoma"/>
            <family val="2"/>
          </rPr>
          <t xml:space="preserve">
No samples from week 2, so using previous week.</t>
        </r>
      </text>
    </comment>
    <comment ref="BT240" authorId="2" shapeId="0" xr:uid="{00000000-0006-0000-0200-00003A010000}">
      <text>
        <r>
          <rPr>
            <b/>
            <sz val="9"/>
            <color indexed="81"/>
            <rFont val="Tahoma"/>
            <family val="2"/>
          </rPr>
          <t>Pete Kairis:</t>
        </r>
        <r>
          <rPr>
            <sz val="9"/>
            <color indexed="81"/>
            <rFont val="Tahoma"/>
            <family val="2"/>
          </rPr>
          <t xml:space="preserve">
No samples from week 2, so using previous week.</t>
        </r>
      </text>
    </comment>
    <comment ref="BU240" authorId="2" shapeId="0" xr:uid="{00000000-0006-0000-0200-00003B010000}">
      <text>
        <r>
          <rPr>
            <b/>
            <sz val="9"/>
            <color indexed="81"/>
            <rFont val="Tahoma"/>
            <family val="2"/>
          </rPr>
          <t>Pete Kairis:</t>
        </r>
        <r>
          <rPr>
            <sz val="9"/>
            <color indexed="81"/>
            <rFont val="Tahoma"/>
            <family val="2"/>
          </rPr>
          <t xml:space="preserve">
No samples from week 2, so using previous week.</t>
        </r>
      </text>
    </comment>
    <comment ref="BV240" authorId="2" shapeId="0" xr:uid="{00000000-0006-0000-0200-00003C010000}">
      <text>
        <r>
          <rPr>
            <b/>
            <sz val="9"/>
            <color indexed="81"/>
            <rFont val="Tahoma"/>
            <family val="2"/>
          </rPr>
          <t>Pete Kairis:</t>
        </r>
        <r>
          <rPr>
            <sz val="9"/>
            <color indexed="81"/>
            <rFont val="Tahoma"/>
            <family val="2"/>
          </rPr>
          <t xml:space="preserve">
No samples from week 2, so using previous week.</t>
        </r>
      </text>
    </comment>
    <comment ref="BW240" authorId="2" shapeId="0" xr:uid="{00000000-0006-0000-0200-00003D010000}">
      <text>
        <r>
          <rPr>
            <b/>
            <sz val="9"/>
            <color indexed="81"/>
            <rFont val="Tahoma"/>
            <family val="2"/>
          </rPr>
          <t>Pete Kairis:</t>
        </r>
        <r>
          <rPr>
            <sz val="9"/>
            <color indexed="81"/>
            <rFont val="Tahoma"/>
            <family val="2"/>
          </rPr>
          <t xml:space="preserve">
No samples from week 2, so using previous week.</t>
        </r>
      </text>
    </comment>
    <comment ref="V241" authorId="0" shapeId="0" xr:uid="{00000000-0006-0000-0200-00003E010000}">
      <text>
        <r>
          <rPr>
            <b/>
            <sz val="8"/>
            <color indexed="81"/>
            <rFont val="Tahoma"/>
            <family val="2"/>
          </rPr>
          <t xml:space="preserve"> Rebecca Bernard:</t>
        </r>
        <r>
          <rPr>
            <sz val="8"/>
            <color indexed="81"/>
            <rFont val="Tahoma"/>
            <family val="2"/>
          </rPr>
          <t xml:space="preserve">
used week 5's proportions</t>
        </r>
      </text>
    </comment>
    <comment ref="W241" authorId="0" shapeId="0" xr:uid="{00000000-0006-0000-0200-00003F010000}">
      <text>
        <r>
          <rPr>
            <b/>
            <sz val="8"/>
            <color indexed="81"/>
            <rFont val="Tahoma"/>
            <family val="2"/>
          </rPr>
          <t xml:space="preserve"> Rebecca Bernard:</t>
        </r>
        <r>
          <rPr>
            <sz val="8"/>
            <color indexed="81"/>
            <rFont val="Tahoma"/>
            <family val="2"/>
          </rPr>
          <t xml:space="preserve">
used week 5's proportions</t>
        </r>
      </text>
    </comment>
    <comment ref="AB241" authorId="0" shapeId="0" xr:uid="{00000000-0006-0000-0200-000040010000}">
      <text>
        <r>
          <rPr>
            <b/>
            <sz val="8"/>
            <color indexed="81"/>
            <rFont val="Tahoma"/>
            <family val="2"/>
          </rPr>
          <t xml:space="preserve"> Rebecca Bernard:</t>
        </r>
        <r>
          <rPr>
            <sz val="8"/>
            <color indexed="81"/>
            <rFont val="Tahoma"/>
            <family val="2"/>
          </rPr>
          <t xml:space="preserve">
used week before's proportions</t>
        </r>
      </text>
    </comment>
    <comment ref="AC241" authorId="0" shapeId="0" xr:uid="{00000000-0006-0000-0200-000041010000}">
      <text>
        <r>
          <rPr>
            <b/>
            <sz val="8"/>
            <color indexed="81"/>
            <rFont val="Tahoma"/>
            <family val="2"/>
          </rPr>
          <t xml:space="preserve"> Rebecca Bernard:</t>
        </r>
        <r>
          <rPr>
            <sz val="8"/>
            <color indexed="81"/>
            <rFont val="Tahoma"/>
            <family val="2"/>
          </rPr>
          <t xml:space="preserve">
used week before's proportions</t>
        </r>
      </text>
    </comment>
    <comment ref="AH241" authorId="0" shapeId="0" xr:uid="{00000000-0006-0000-0200-000042010000}">
      <text>
        <r>
          <rPr>
            <b/>
            <sz val="8"/>
            <color indexed="81"/>
            <rFont val="Tahoma"/>
            <family val="2"/>
          </rPr>
          <t xml:space="preserve"> Rebecca Bernard:</t>
        </r>
        <r>
          <rPr>
            <sz val="8"/>
            <color indexed="81"/>
            <rFont val="Tahoma"/>
            <family val="2"/>
          </rPr>
          <t xml:space="preserve">
used 1996 same weeks--good sample size in 1996 for proportions</t>
        </r>
      </text>
    </comment>
    <comment ref="AI241" authorId="0" shapeId="0" xr:uid="{00000000-0006-0000-0200-000043010000}">
      <text>
        <r>
          <rPr>
            <b/>
            <sz val="8"/>
            <color indexed="81"/>
            <rFont val="Tahoma"/>
            <family val="2"/>
          </rPr>
          <t xml:space="preserve"> Rebecca Bernard:</t>
        </r>
        <r>
          <rPr>
            <sz val="8"/>
            <color indexed="81"/>
            <rFont val="Tahoma"/>
            <family val="2"/>
          </rPr>
          <t xml:space="preserve">
used 1996 same weeks--good sample size in 1996 for proportions</t>
        </r>
      </text>
    </comment>
    <comment ref="AL241" authorId="0" shapeId="0" xr:uid="{00000000-0006-0000-0200-000044010000}">
      <text>
        <r>
          <rPr>
            <b/>
            <sz val="8"/>
            <color indexed="81"/>
            <rFont val="Tahoma"/>
            <family val="2"/>
          </rPr>
          <t xml:space="preserve"> Rebecca Bernard:</t>
        </r>
        <r>
          <rPr>
            <sz val="8"/>
            <color indexed="81"/>
            <rFont val="Tahoma"/>
            <family val="2"/>
          </rPr>
          <t xml:space="preserve">
used week before's proportions</t>
        </r>
      </text>
    </comment>
    <comment ref="AM241" authorId="0" shapeId="0" xr:uid="{00000000-0006-0000-0200-000045010000}">
      <text>
        <r>
          <rPr>
            <b/>
            <sz val="8"/>
            <color indexed="81"/>
            <rFont val="Tahoma"/>
            <family val="2"/>
          </rPr>
          <t xml:space="preserve"> Rebecca Bernard:</t>
        </r>
        <r>
          <rPr>
            <sz val="8"/>
            <color indexed="81"/>
            <rFont val="Tahoma"/>
            <family val="2"/>
          </rPr>
          <t xml:space="preserve">
used week before's proportions</t>
        </r>
      </text>
    </comment>
    <comment ref="AN241" authorId="0" shapeId="0" xr:uid="{00000000-0006-0000-0200-000046010000}">
      <text>
        <r>
          <rPr>
            <b/>
            <sz val="8"/>
            <color indexed="81"/>
            <rFont val="Tahoma"/>
            <family val="2"/>
          </rPr>
          <t xml:space="preserve"> Rebecca Bernard:</t>
        </r>
        <r>
          <rPr>
            <sz val="8"/>
            <color indexed="81"/>
            <rFont val="Tahoma"/>
            <family val="2"/>
          </rPr>
          <t xml:space="preserve">
used well sampled year 2005 same week for proportions </t>
        </r>
      </text>
    </comment>
    <comment ref="AO241" authorId="0" shapeId="0" xr:uid="{00000000-0006-0000-0200-000047010000}">
      <text>
        <r>
          <rPr>
            <b/>
            <sz val="8"/>
            <color indexed="81"/>
            <rFont val="Tahoma"/>
            <family val="2"/>
          </rPr>
          <t xml:space="preserve"> Rebecca Bernard:</t>
        </r>
        <r>
          <rPr>
            <sz val="8"/>
            <color indexed="81"/>
            <rFont val="Tahoma"/>
            <family val="2"/>
          </rPr>
          <t xml:space="preserve">
used well sampled year 2005 same week for proportions </t>
        </r>
      </text>
    </comment>
    <comment ref="AX241" authorId="0" shapeId="0" xr:uid="{00000000-0006-0000-0200-000048010000}">
      <text>
        <r>
          <rPr>
            <b/>
            <sz val="8"/>
            <color indexed="81"/>
            <rFont val="Tahoma"/>
            <family val="2"/>
          </rPr>
          <t xml:space="preserve"> Rebecca Bernard:</t>
        </r>
        <r>
          <rPr>
            <sz val="8"/>
            <color indexed="81"/>
            <rFont val="Tahoma"/>
            <family val="2"/>
          </rPr>
          <t xml:space="preserve">
used week before's proportions</t>
        </r>
      </text>
    </comment>
    <comment ref="AY241" authorId="0" shapeId="0" xr:uid="{00000000-0006-0000-0200-000049010000}">
      <text>
        <r>
          <rPr>
            <b/>
            <sz val="8"/>
            <color indexed="81"/>
            <rFont val="Tahoma"/>
            <family val="2"/>
          </rPr>
          <t xml:space="preserve"> Rebecca Bernard:</t>
        </r>
        <r>
          <rPr>
            <sz val="8"/>
            <color indexed="81"/>
            <rFont val="Tahoma"/>
            <family val="2"/>
          </rPr>
          <t xml:space="preserve">
used week before's proportions</t>
        </r>
      </text>
    </comment>
    <comment ref="R242" authorId="0" shapeId="0" xr:uid="{00000000-0006-0000-0200-00004A010000}">
      <text>
        <r>
          <rPr>
            <b/>
            <sz val="8"/>
            <color indexed="81"/>
            <rFont val="Tahoma"/>
            <family val="2"/>
          </rPr>
          <t xml:space="preserve"> Rebecca Bernard:</t>
        </r>
        <r>
          <rPr>
            <sz val="8"/>
            <color indexed="81"/>
            <rFont val="Tahoma"/>
            <family val="2"/>
          </rPr>
          <t xml:space="preserve">
used week before's proportions</t>
        </r>
      </text>
    </comment>
    <comment ref="S242" authorId="0" shapeId="0" xr:uid="{00000000-0006-0000-0200-00004B010000}">
      <text>
        <r>
          <rPr>
            <b/>
            <sz val="8"/>
            <color indexed="81"/>
            <rFont val="Tahoma"/>
            <family val="2"/>
          </rPr>
          <t xml:space="preserve"> Rebecca Bernard:</t>
        </r>
        <r>
          <rPr>
            <sz val="8"/>
            <color indexed="81"/>
            <rFont val="Tahoma"/>
            <family val="2"/>
          </rPr>
          <t xml:space="preserve">
used week before's proportions</t>
        </r>
      </text>
    </comment>
    <comment ref="T242" authorId="0" shapeId="0" xr:uid="{00000000-0006-0000-0200-00004C010000}">
      <text>
        <r>
          <rPr>
            <b/>
            <sz val="8"/>
            <color indexed="81"/>
            <rFont val="Tahoma"/>
            <family val="2"/>
          </rPr>
          <t xml:space="preserve"> Rebecca Bernard:</t>
        </r>
        <r>
          <rPr>
            <sz val="8"/>
            <color indexed="81"/>
            <rFont val="Tahoma"/>
            <family val="2"/>
          </rPr>
          <t xml:space="preserve">
used week before's proportions</t>
        </r>
      </text>
    </comment>
    <comment ref="U242" authorId="0" shapeId="0" xr:uid="{00000000-0006-0000-0200-00004D010000}">
      <text>
        <r>
          <rPr>
            <b/>
            <sz val="8"/>
            <color indexed="81"/>
            <rFont val="Tahoma"/>
            <family val="2"/>
          </rPr>
          <t xml:space="preserve"> Rebecca Bernard:</t>
        </r>
        <r>
          <rPr>
            <sz val="8"/>
            <color indexed="81"/>
            <rFont val="Tahoma"/>
            <family val="2"/>
          </rPr>
          <t xml:space="preserve">
used week before's proportions</t>
        </r>
      </text>
    </comment>
    <comment ref="AD242" authorId="0" shapeId="0" xr:uid="{00000000-0006-0000-0200-00004E010000}">
      <text>
        <r>
          <rPr>
            <b/>
            <sz val="8"/>
            <color indexed="81"/>
            <rFont val="Tahoma"/>
            <family val="2"/>
          </rPr>
          <t xml:space="preserve"> Rebecca Bernard:</t>
        </r>
        <r>
          <rPr>
            <sz val="8"/>
            <color indexed="81"/>
            <rFont val="Tahoma"/>
            <family val="2"/>
          </rPr>
          <t xml:space="preserve">
used proportions from following week's samples</t>
        </r>
      </text>
    </comment>
    <comment ref="AE242" authorId="0" shapeId="0" xr:uid="{00000000-0006-0000-0200-00004F010000}">
      <text>
        <r>
          <rPr>
            <b/>
            <sz val="8"/>
            <color indexed="81"/>
            <rFont val="Tahoma"/>
            <family val="2"/>
          </rPr>
          <t xml:space="preserve"> Rebecca Bernard:</t>
        </r>
        <r>
          <rPr>
            <sz val="8"/>
            <color indexed="81"/>
            <rFont val="Tahoma"/>
            <family val="2"/>
          </rPr>
          <t xml:space="preserve">
used proportions from following week's samples</t>
        </r>
      </text>
    </comment>
    <comment ref="AF242" authorId="0" shapeId="0" xr:uid="{00000000-0006-0000-0200-000050010000}">
      <text>
        <r>
          <rPr>
            <b/>
            <sz val="8"/>
            <color indexed="81"/>
            <rFont val="Tahoma"/>
            <family val="2"/>
          </rPr>
          <t xml:space="preserve"> Rebecca Bernard:</t>
        </r>
        <r>
          <rPr>
            <sz val="8"/>
            <color indexed="81"/>
            <rFont val="Tahoma"/>
            <family val="2"/>
          </rPr>
          <t xml:space="preserve">
used 1996 same weeks--good sample size in 1996 for proportions</t>
        </r>
      </text>
    </comment>
    <comment ref="AG242" authorId="0" shapeId="0" xr:uid="{00000000-0006-0000-0200-000051010000}">
      <text>
        <r>
          <rPr>
            <b/>
            <sz val="8"/>
            <color indexed="81"/>
            <rFont val="Tahoma"/>
            <family val="2"/>
          </rPr>
          <t xml:space="preserve"> Rebecca Bernard:</t>
        </r>
        <r>
          <rPr>
            <sz val="8"/>
            <color indexed="81"/>
            <rFont val="Tahoma"/>
            <family val="2"/>
          </rPr>
          <t xml:space="preserve">
used 1996 same weeks--good sample size in 1996 for proportions</t>
        </r>
      </text>
    </comment>
    <comment ref="AL242" authorId="0" shapeId="0" xr:uid="{00000000-0006-0000-0200-000052010000}">
      <text>
        <r>
          <rPr>
            <b/>
            <sz val="8"/>
            <color indexed="81"/>
            <rFont val="Tahoma"/>
            <family val="2"/>
          </rPr>
          <t xml:space="preserve"> Rebecca Bernard:</t>
        </r>
        <r>
          <rPr>
            <sz val="8"/>
            <color indexed="81"/>
            <rFont val="Tahoma"/>
            <family val="2"/>
          </rPr>
          <t xml:space="preserve">
used week 2 for proportions</t>
        </r>
      </text>
    </comment>
    <comment ref="AM242" authorId="0" shapeId="0" xr:uid="{00000000-0006-0000-0200-000053010000}">
      <text>
        <r>
          <rPr>
            <b/>
            <sz val="8"/>
            <color indexed="81"/>
            <rFont val="Tahoma"/>
            <family val="2"/>
          </rPr>
          <t xml:space="preserve"> Rebecca Bernard:</t>
        </r>
        <r>
          <rPr>
            <sz val="8"/>
            <color indexed="81"/>
            <rFont val="Tahoma"/>
            <family val="2"/>
          </rPr>
          <t xml:space="preserve">
used week 2 for proportions</t>
        </r>
      </text>
    </comment>
    <comment ref="AR242" authorId="0" shapeId="0" xr:uid="{00000000-0006-0000-0200-000054010000}">
      <text>
        <r>
          <rPr>
            <b/>
            <sz val="8"/>
            <color indexed="81"/>
            <rFont val="Tahoma"/>
            <family val="2"/>
          </rPr>
          <t xml:space="preserve"> Rebecca Bernard:</t>
        </r>
        <r>
          <rPr>
            <sz val="8"/>
            <color indexed="81"/>
            <rFont val="Tahoma"/>
            <family val="2"/>
          </rPr>
          <t xml:space="preserve">
used week before's proportions</t>
        </r>
      </text>
    </comment>
    <comment ref="AS242" authorId="0" shapeId="0" xr:uid="{00000000-0006-0000-0200-000055010000}">
      <text>
        <r>
          <rPr>
            <b/>
            <sz val="8"/>
            <color indexed="81"/>
            <rFont val="Tahoma"/>
            <family val="2"/>
          </rPr>
          <t xml:space="preserve"> Rebecca Bernard:</t>
        </r>
        <r>
          <rPr>
            <sz val="8"/>
            <color indexed="81"/>
            <rFont val="Tahoma"/>
            <family val="2"/>
          </rPr>
          <t xml:space="preserve">
used week before's proportions</t>
        </r>
      </text>
    </comment>
    <comment ref="BF242" authorId="2" shapeId="0" xr:uid="{00000000-0006-0000-0200-00005601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G242" authorId="2" shapeId="0" xr:uid="{00000000-0006-0000-0200-00005701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H242" authorId="1" shapeId="0" xr:uid="{00000000-0006-0000-0200-000058010000}">
      <text>
        <r>
          <rPr>
            <b/>
            <sz val="9"/>
            <color indexed="81"/>
            <rFont val="Tahoma"/>
            <family val="2"/>
          </rPr>
          <t>pkairis:</t>
        </r>
        <r>
          <rPr>
            <sz val="9"/>
            <color indexed="81"/>
            <rFont val="Tahoma"/>
            <family val="2"/>
          </rPr>
          <t xml:space="preserve">
For 2012-13 forecast, used 2006-2011 average H/W percentages for this week.
</t>
        </r>
      </text>
    </comment>
    <comment ref="BI242" authorId="2" shapeId="0" xr:uid="{00000000-0006-0000-0200-00005901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J242" authorId="2" shapeId="0" xr:uid="{00000000-0006-0000-0200-00005A01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K242" authorId="1" shapeId="0" xr:uid="{00000000-0006-0000-0200-00005B010000}">
      <text>
        <r>
          <rPr>
            <b/>
            <sz val="9"/>
            <color indexed="81"/>
            <rFont val="Tahoma"/>
            <family val="2"/>
          </rPr>
          <t>pkairis:</t>
        </r>
        <r>
          <rPr>
            <sz val="9"/>
            <color indexed="81"/>
            <rFont val="Tahoma"/>
            <family val="2"/>
          </rPr>
          <t xml:space="preserve">
For 2012-13 forecast, used 2006-2011 average H/W percentages for this week.
</t>
        </r>
      </text>
    </comment>
    <comment ref="P243" authorId="0" shapeId="0" xr:uid="{00000000-0006-0000-0200-00005C010000}">
      <text>
        <r>
          <rPr>
            <b/>
            <sz val="8"/>
            <color indexed="81"/>
            <rFont val="Tahoma"/>
            <family val="2"/>
          </rPr>
          <t xml:space="preserve"> Rebecca Bernard:</t>
        </r>
        <r>
          <rPr>
            <sz val="8"/>
            <color indexed="81"/>
            <rFont val="Tahoma"/>
            <family val="2"/>
          </rPr>
          <t xml:space="preserve">
used week before's proportions</t>
        </r>
      </text>
    </comment>
    <comment ref="Q243" authorId="0" shapeId="0" xr:uid="{00000000-0006-0000-0200-00005D010000}">
      <text>
        <r>
          <rPr>
            <b/>
            <sz val="8"/>
            <color indexed="81"/>
            <rFont val="Tahoma"/>
            <family val="2"/>
          </rPr>
          <t xml:space="preserve"> Rebecca Bernard:</t>
        </r>
        <r>
          <rPr>
            <sz val="8"/>
            <color indexed="81"/>
            <rFont val="Tahoma"/>
            <family val="2"/>
          </rPr>
          <t xml:space="preserve">
used week before's proportions</t>
        </r>
      </text>
    </comment>
    <comment ref="T243" authorId="0" shapeId="0" xr:uid="{00000000-0006-0000-0200-00005E010000}">
      <text>
        <r>
          <rPr>
            <b/>
            <sz val="8"/>
            <color indexed="81"/>
            <rFont val="Tahoma"/>
            <family val="2"/>
          </rPr>
          <t xml:space="preserve"> Rebecca Bernard:</t>
        </r>
        <r>
          <rPr>
            <sz val="8"/>
            <color indexed="81"/>
            <rFont val="Tahoma"/>
            <family val="2"/>
          </rPr>
          <t xml:space="preserve">
used proportions from following week's samples</t>
        </r>
      </text>
    </comment>
    <comment ref="U243" authorId="0" shapeId="0" xr:uid="{00000000-0006-0000-0200-00005F010000}">
      <text>
        <r>
          <rPr>
            <b/>
            <sz val="8"/>
            <color indexed="81"/>
            <rFont val="Tahoma"/>
            <family val="2"/>
          </rPr>
          <t xml:space="preserve"> Rebecca Bernard:</t>
        </r>
        <r>
          <rPr>
            <sz val="8"/>
            <color indexed="81"/>
            <rFont val="Tahoma"/>
            <family val="2"/>
          </rPr>
          <t xml:space="preserve">
used proportions from following week's samples</t>
        </r>
      </text>
    </comment>
    <comment ref="AF243" authorId="0" shapeId="0" xr:uid="{00000000-0006-0000-0200-000060010000}">
      <text>
        <r>
          <rPr>
            <b/>
            <sz val="8"/>
            <color indexed="81"/>
            <rFont val="Tahoma"/>
            <family val="2"/>
          </rPr>
          <t xml:space="preserve"> Rebecca Bernard:</t>
        </r>
        <r>
          <rPr>
            <sz val="8"/>
            <color indexed="81"/>
            <rFont val="Tahoma"/>
            <family val="2"/>
          </rPr>
          <t xml:space="preserve">
used 1996 same weeks--good sample size in 1996 for proportions</t>
        </r>
      </text>
    </comment>
    <comment ref="AG243" authorId="0" shapeId="0" xr:uid="{00000000-0006-0000-0200-000061010000}">
      <text>
        <r>
          <rPr>
            <b/>
            <sz val="8"/>
            <color indexed="81"/>
            <rFont val="Tahoma"/>
            <family val="2"/>
          </rPr>
          <t xml:space="preserve"> Rebecca Bernard:</t>
        </r>
        <r>
          <rPr>
            <sz val="8"/>
            <color indexed="81"/>
            <rFont val="Tahoma"/>
            <family val="2"/>
          </rPr>
          <t xml:space="preserve">
used 1996 same weeks--good sample size in 1996 for proportions</t>
        </r>
      </text>
    </comment>
    <comment ref="AH243" authorId="0" shapeId="0" xr:uid="{00000000-0006-0000-0200-000062010000}">
      <text>
        <r>
          <rPr>
            <b/>
            <sz val="8"/>
            <color indexed="81"/>
            <rFont val="Tahoma"/>
            <family val="2"/>
          </rPr>
          <t xml:space="preserve"> Rebecca Bernard:</t>
        </r>
        <r>
          <rPr>
            <sz val="8"/>
            <color indexed="81"/>
            <rFont val="Tahoma"/>
            <family val="2"/>
          </rPr>
          <t xml:space="preserve">
used 1996 same weeks--good sample size in 1996 for proportions</t>
        </r>
      </text>
    </comment>
    <comment ref="AI243" authorId="0" shapeId="0" xr:uid="{00000000-0006-0000-0200-000063010000}">
      <text>
        <r>
          <rPr>
            <b/>
            <sz val="8"/>
            <color indexed="81"/>
            <rFont val="Tahoma"/>
            <family val="2"/>
          </rPr>
          <t xml:space="preserve"> Rebecca Bernard:</t>
        </r>
        <r>
          <rPr>
            <sz val="8"/>
            <color indexed="81"/>
            <rFont val="Tahoma"/>
            <family val="2"/>
          </rPr>
          <t xml:space="preserve">
used 1996 same weeks--good sample size in 1996 for proportions</t>
        </r>
      </text>
    </comment>
    <comment ref="AL243" authorId="0" shapeId="0" xr:uid="{00000000-0006-0000-0200-000064010000}">
      <text>
        <r>
          <rPr>
            <b/>
            <sz val="8"/>
            <color indexed="81"/>
            <rFont val="Tahoma"/>
            <family val="2"/>
          </rPr>
          <t xml:space="preserve"> Rebecca Bernard:</t>
        </r>
        <r>
          <rPr>
            <sz val="8"/>
            <color indexed="81"/>
            <rFont val="Tahoma"/>
            <family val="2"/>
          </rPr>
          <t xml:space="preserve">
used week 2 for proportions</t>
        </r>
      </text>
    </comment>
    <comment ref="AM243" authorId="0" shapeId="0" xr:uid="{00000000-0006-0000-0200-000065010000}">
      <text>
        <r>
          <rPr>
            <b/>
            <sz val="8"/>
            <color indexed="81"/>
            <rFont val="Tahoma"/>
            <family val="2"/>
          </rPr>
          <t xml:space="preserve"> Rebecca Bernard:</t>
        </r>
        <r>
          <rPr>
            <sz val="8"/>
            <color indexed="81"/>
            <rFont val="Tahoma"/>
            <family val="2"/>
          </rPr>
          <t xml:space="preserve">
used week 2 for proportions</t>
        </r>
      </text>
    </comment>
    <comment ref="BF243" authorId="2" shapeId="0" xr:uid="{00000000-0006-0000-0200-00006601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G243" authorId="2" shapeId="0" xr:uid="{00000000-0006-0000-0200-00006701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H243" authorId="1" shapeId="0" xr:uid="{00000000-0006-0000-0200-000068010000}">
      <text>
        <r>
          <rPr>
            <b/>
            <sz val="9"/>
            <color indexed="81"/>
            <rFont val="Tahoma"/>
            <family val="2"/>
          </rPr>
          <t>pkairis:</t>
        </r>
        <r>
          <rPr>
            <sz val="9"/>
            <color indexed="81"/>
            <rFont val="Tahoma"/>
            <family val="2"/>
          </rPr>
          <t xml:space="preserve">
For 2012-13 forecast, used 2006-2011 average H/W percentages for this week.
</t>
        </r>
      </text>
    </comment>
    <comment ref="BI243" authorId="2" shapeId="0" xr:uid="{00000000-0006-0000-0200-00006901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J243" authorId="2" shapeId="0" xr:uid="{00000000-0006-0000-0200-00006A01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K243" authorId="1" shapeId="0" xr:uid="{00000000-0006-0000-0200-00006B010000}">
      <text>
        <r>
          <rPr>
            <b/>
            <sz val="9"/>
            <color indexed="81"/>
            <rFont val="Tahoma"/>
            <family val="2"/>
          </rPr>
          <t>pkairis:</t>
        </r>
        <r>
          <rPr>
            <sz val="9"/>
            <color indexed="81"/>
            <rFont val="Tahoma"/>
            <family val="2"/>
          </rPr>
          <t xml:space="preserve">
For 2012-13 forecast, used 2006-2011 average H/W percentages for this week.
</t>
        </r>
      </text>
    </comment>
    <comment ref="CJ243" authorId="2" shapeId="0" xr:uid="{00000000-0006-0000-0200-00006C010000}">
      <text>
        <r>
          <rPr>
            <b/>
            <sz val="9"/>
            <color indexed="81"/>
            <rFont val="Tahoma"/>
            <family val="2"/>
          </rPr>
          <t>Pete Kairis:</t>
        </r>
        <r>
          <rPr>
            <sz val="9"/>
            <color indexed="81"/>
            <rFont val="Tahoma"/>
            <family val="2"/>
          </rPr>
          <t xml:space="preserve">
Placing the 2017 USIT tanglenet catch in the test fish tab instead of here.</t>
        </r>
      </text>
    </comment>
    <comment ref="AF244" authorId="0" shapeId="0" xr:uid="{00000000-0006-0000-0200-00006D010000}">
      <text>
        <r>
          <rPr>
            <b/>
            <sz val="8"/>
            <color indexed="81"/>
            <rFont val="Tahoma"/>
            <family val="2"/>
          </rPr>
          <t xml:space="preserve"> Rebecca Bernard:</t>
        </r>
        <r>
          <rPr>
            <sz val="8"/>
            <color indexed="81"/>
            <rFont val="Tahoma"/>
            <family val="2"/>
          </rPr>
          <t xml:space="preserve">
used 1996 same weeks--good sample size in 1996 for proportions</t>
        </r>
      </text>
    </comment>
    <comment ref="AG244" authorId="0" shapeId="0" xr:uid="{00000000-0006-0000-0200-00006E010000}">
      <text>
        <r>
          <rPr>
            <b/>
            <sz val="8"/>
            <color indexed="81"/>
            <rFont val="Tahoma"/>
            <family val="2"/>
          </rPr>
          <t xml:space="preserve"> Rebecca Bernard:</t>
        </r>
        <r>
          <rPr>
            <sz val="8"/>
            <color indexed="81"/>
            <rFont val="Tahoma"/>
            <family val="2"/>
          </rPr>
          <t xml:space="preserve">
used 1996 same weeks--good sample size in 1996 for proportions</t>
        </r>
      </text>
    </comment>
    <comment ref="AH244" authorId="0" shapeId="0" xr:uid="{00000000-0006-0000-0200-00006F010000}">
      <text>
        <r>
          <rPr>
            <b/>
            <sz val="8"/>
            <color indexed="81"/>
            <rFont val="Tahoma"/>
            <family val="2"/>
          </rPr>
          <t xml:space="preserve"> Rebecca Bernard:</t>
        </r>
        <r>
          <rPr>
            <sz val="8"/>
            <color indexed="81"/>
            <rFont val="Tahoma"/>
            <family val="2"/>
          </rPr>
          <t xml:space="preserve">
used 1996 same weeks--good sample size in 1996 for proportions</t>
        </r>
      </text>
    </comment>
    <comment ref="AI244" authorId="0" shapeId="0" xr:uid="{00000000-0006-0000-0200-000070010000}">
      <text>
        <r>
          <rPr>
            <b/>
            <sz val="8"/>
            <color indexed="81"/>
            <rFont val="Tahoma"/>
            <family val="2"/>
          </rPr>
          <t xml:space="preserve"> Rebecca Bernard:</t>
        </r>
        <r>
          <rPr>
            <sz val="8"/>
            <color indexed="81"/>
            <rFont val="Tahoma"/>
            <family val="2"/>
          </rPr>
          <t xml:space="preserve">
used 1996 same weeks--good sample size in 1996 for proportions</t>
        </r>
      </text>
    </comment>
    <comment ref="AL244" authorId="0" shapeId="0" xr:uid="{00000000-0006-0000-0200-000071010000}">
      <text>
        <r>
          <rPr>
            <b/>
            <sz val="8"/>
            <color indexed="81"/>
            <rFont val="Tahoma"/>
            <family val="2"/>
          </rPr>
          <t xml:space="preserve"> Rebecca Bernard:</t>
        </r>
        <r>
          <rPr>
            <sz val="8"/>
            <color indexed="81"/>
            <rFont val="Tahoma"/>
            <family val="2"/>
          </rPr>
          <t xml:space="preserve">
used well sampled year 2005 same week for proportions </t>
        </r>
      </text>
    </comment>
    <comment ref="AM244" authorId="0" shapeId="0" xr:uid="{00000000-0006-0000-0200-000072010000}">
      <text>
        <r>
          <rPr>
            <b/>
            <sz val="8"/>
            <color indexed="81"/>
            <rFont val="Tahoma"/>
            <family val="2"/>
          </rPr>
          <t xml:space="preserve"> Rebecca Bernard:</t>
        </r>
        <r>
          <rPr>
            <sz val="8"/>
            <color indexed="81"/>
            <rFont val="Tahoma"/>
            <family val="2"/>
          </rPr>
          <t xml:space="preserve">
used well sampled year 2005 same week for proportions </t>
        </r>
      </text>
    </comment>
    <comment ref="AN244" authorId="0" shapeId="0" xr:uid="{00000000-0006-0000-0200-000073010000}">
      <text>
        <r>
          <rPr>
            <b/>
            <sz val="8"/>
            <color indexed="81"/>
            <rFont val="Tahoma"/>
            <family val="2"/>
          </rPr>
          <t xml:space="preserve"> Rebecca Bernard:</t>
        </r>
        <r>
          <rPr>
            <sz val="8"/>
            <color indexed="81"/>
            <rFont val="Tahoma"/>
            <family val="2"/>
          </rPr>
          <t xml:space="preserve">
used week 9 for proportions</t>
        </r>
      </text>
    </comment>
    <comment ref="AO244" authorId="0" shapeId="0" xr:uid="{00000000-0006-0000-0200-000074010000}">
      <text>
        <r>
          <rPr>
            <b/>
            <sz val="8"/>
            <color indexed="81"/>
            <rFont val="Tahoma"/>
            <family val="2"/>
          </rPr>
          <t xml:space="preserve"> Rebecca Bernard:</t>
        </r>
        <r>
          <rPr>
            <sz val="8"/>
            <color indexed="81"/>
            <rFont val="Tahoma"/>
            <family val="2"/>
          </rPr>
          <t xml:space="preserve">
used week 9 for proportions</t>
        </r>
      </text>
    </comment>
    <comment ref="BF244" authorId="2" shapeId="0" xr:uid="{00000000-0006-0000-0200-00007501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G244" authorId="2" shapeId="0" xr:uid="{00000000-0006-0000-0200-00007601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H244" authorId="1" shapeId="0" xr:uid="{00000000-0006-0000-0200-000077010000}">
      <text>
        <r>
          <rPr>
            <b/>
            <sz val="9"/>
            <color indexed="81"/>
            <rFont val="Tahoma"/>
            <family val="2"/>
          </rPr>
          <t>pkairis:</t>
        </r>
        <r>
          <rPr>
            <sz val="9"/>
            <color indexed="81"/>
            <rFont val="Tahoma"/>
            <family val="2"/>
          </rPr>
          <t xml:space="preserve">
For 2012-13 forecast, used 2006-2011 average H/W percentages for this week.
</t>
        </r>
      </text>
    </comment>
    <comment ref="BI244" authorId="2" shapeId="0" xr:uid="{00000000-0006-0000-0200-00007801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J244" authorId="2" shapeId="0" xr:uid="{00000000-0006-0000-0200-00007901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K244" authorId="1" shapeId="0" xr:uid="{00000000-0006-0000-0200-00007A010000}">
      <text>
        <r>
          <rPr>
            <b/>
            <sz val="9"/>
            <color indexed="81"/>
            <rFont val="Tahoma"/>
            <family val="2"/>
          </rPr>
          <t>pkairis:</t>
        </r>
        <r>
          <rPr>
            <sz val="9"/>
            <color indexed="81"/>
            <rFont val="Tahoma"/>
            <family val="2"/>
          </rPr>
          <t xml:space="preserve">
For 2012-13 forecast, used 2006-2011 average H/W percentages for this week.
</t>
        </r>
      </text>
    </comment>
    <comment ref="BX244" authorId="2" shapeId="0" xr:uid="{00000000-0006-0000-0200-00007B010000}">
      <text>
        <r>
          <rPr>
            <b/>
            <sz val="9"/>
            <color indexed="81"/>
            <rFont val="Tahoma"/>
            <family val="2"/>
          </rPr>
          <t>Pete Kairis:</t>
        </r>
        <r>
          <rPr>
            <sz val="9"/>
            <color indexed="81"/>
            <rFont val="Tahoma"/>
            <family val="2"/>
          </rPr>
          <t xml:space="preserve">
No samples this week, so using previous week's samples for splitting.</t>
        </r>
      </text>
    </comment>
    <comment ref="BY244" authorId="2" shapeId="0" xr:uid="{00000000-0006-0000-0200-00007C010000}">
      <text>
        <r>
          <rPr>
            <b/>
            <sz val="9"/>
            <color indexed="81"/>
            <rFont val="Tahoma"/>
            <family val="2"/>
          </rPr>
          <t>Pete Kairis:</t>
        </r>
        <r>
          <rPr>
            <sz val="9"/>
            <color indexed="81"/>
            <rFont val="Tahoma"/>
            <family val="2"/>
          </rPr>
          <t xml:space="preserve">
No samples this week, so using previous week's samples for splitting.</t>
        </r>
      </text>
    </comment>
    <comment ref="BZ244" authorId="2" shapeId="0" xr:uid="{00000000-0006-0000-0200-00007D010000}">
      <text>
        <r>
          <rPr>
            <b/>
            <sz val="9"/>
            <color indexed="81"/>
            <rFont val="Tahoma"/>
            <family val="2"/>
          </rPr>
          <t>Pete Kairis:</t>
        </r>
        <r>
          <rPr>
            <sz val="9"/>
            <color indexed="81"/>
            <rFont val="Tahoma"/>
            <family val="2"/>
          </rPr>
          <t xml:space="preserve">
No samples this week, so using previous week's samples for splitting.</t>
        </r>
      </text>
    </comment>
    <comment ref="CA244" authorId="2" shapeId="0" xr:uid="{00000000-0006-0000-0200-00007E010000}">
      <text>
        <r>
          <rPr>
            <b/>
            <sz val="9"/>
            <color indexed="81"/>
            <rFont val="Tahoma"/>
            <family val="2"/>
          </rPr>
          <t>Pete Kairis:</t>
        </r>
        <r>
          <rPr>
            <sz val="9"/>
            <color indexed="81"/>
            <rFont val="Tahoma"/>
            <family val="2"/>
          </rPr>
          <t xml:space="preserve">
No samples this week, so using previous week's samples for splitting.</t>
        </r>
      </text>
    </comment>
    <comment ref="CB244" authorId="2" shapeId="0" xr:uid="{00000000-0006-0000-0200-00007F010000}">
      <text>
        <r>
          <rPr>
            <b/>
            <sz val="9"/>
            <color indexed="81"/>
            <rFont val="Tahoma"/>
            <family val="2"/>
          </rPr>
          <t>Pete Kairis:</t>
        </r>
        <r>
          <rPr>
            <sz val="9"/>
            <color indexed="81"/>
            <rFont val="Tahoma"/>
            <family val="2"/>
          </rPr>
          <t xml:space="preserve">
No samples this week, so using previous week's samples for splitting.</t>
        </r>
      </text>
    </comment>
    <comment ref="CC244" authorId="2" shapeId="0" xr:uid="{00000000-0006-0000-0200-000080010000}">
      <text>
        <r>
          <rPr>
            <b/>
            <sz val="9"/>
            <color indexed="81"/>
            <rFont val="Tahoma"/>
            <family val="2"/>
          </rPr>
          <t>Pete Kairis:</t>
        </r>
        <r>
          <rPr>
            <sz val="9"/>
            <color indexed="81"/>
            <rFont val="Tahoma"/>
            <family val="2"/>
          </rPr>
          <t xml:space="preserve">
No samples this week, so using previous week's samples for splitting.</t>
        </r>
      </text>
    </comment>
    <comment ref="T245" authorId="0" shapeId="0" xr:uid="{00000000-0006-0000-0200-000081010000}">
      <text>
        <r>
          <rPr>
            <b/>
            <sz val="8"/>
            <color indexed="81"/>
            <rFont val="Tahoma"/>
            <family val="2"/>
          </rPr>
          <t xml:space="preserve"> Rebecca Bernard:</t>
        </r>
        <r>
          <rPr>
            <sz val="8"/>
            <color indexed="81"/>
            <rFont val="Tahoma"/>
            <family val="2"/>
          </rPr>
          <t xml:space="preserve">
used week before's proportions</t>
        </r>
      </text>
    </comment>
    <comment ref="U245" authorId="0" shapeId="0" xr:uid="{00000000-0006-0000-0200-000082010000}">
      <text>
        <r>
          <rPr>
            <b/>
            <sz val="8"/>
            <color indexed="81"/>
            <rFont val="Tahoma"/>
            <family val="2"/>
          </rPr>
          <t xml:space="preserve"> Rebecca Bernard:</t>
        </r>
        <r>
          <rPr>
            <sz val="8"/>
            <color indexed="81"/>
            <rFont val="Tahoma"/>
            <family val="2"/>
          </rPr>
          <t xml:space="preserve">
used week before's proportions</t>
        </r>
      </text>
    </comment>
    <comment ref="AB245" authorId="0" shapeId="0" xr:uid="{00000000-0006-0000-0200-000083010000}">
      <text>
        <r>
          <rPr>
            <b/>
            <sz val="8"/>
            <color indexed="81"/>
            <rFont val="Tahoma"/>
            <family val="2"/>
          </rPr>
          <t xml:space="preserve"> Rebecca Bernard:</t>
        </r>
        <r>
          <rPr>
            <sz val="8"/>
            <color indexed="81"/>
            <rFont val="Tahoma"/>
            <family val="2"/>
          </rPr>
          <t xml:space="preserve">
used following week proportions</t>
        </r>
      </text>
    </comment>
    <comment ref="AC245" authorId="0" shapeId="0" xr:uid="{00000000-0006-0000-0200-000084010000}">
      <text>
        <r>
          <rPr>
            <b/>
            <sz val="8"/>
            <color indexed="81"/>
            <rFont val="Tahoma"/>
            <family val="2"/>
          </rPr>
          <t xml:space="preserve"> Rebecca Bernard:</t>
        </r>
        <r>
          <rPr>
            <sz val="8"/>
            <color indexed="81"/>
            <rFont val="Tahoma"/>
            <family val="2"/>
          </rPr>
          <t xml:space="preserve">
used following week proportions</t>
        </r>
      </text>
    </comment>
    <comment ref="AF245" authorId="0" shapeId="0" xr:uid="{00000000-0006-0000-0200-000085010000}">
      <text>
        <r>
          <rPr>
            <b/>
            <sz val="8"/>
            <color indexed="81"/>
            <rFont val="Tahoma"/>
            <family val="2"/>
          </rPr>
          <t xml:space="preserve"> Rebecca Bernard:</t>
        </r>
        <r>
          <rPr>
            <sz val="8"/>
            <color indexed="81"/>
            <rFont val="Tahoma"/>
            <family val="2"/>
          </rPr>
          <t xml:space="preserve">
used 1996 same weeks--good sample size in 1996 for proportions</t>
        </r>
      </text>
    </comment>
    <comment ref="AG245" authorId="0" shapeId="0" xr:uid="{00000000-0006-0000-0200-000086010000}">
      <text>
        <r>
          <rPr>
            <b/>
            <sz val="8"/>
            <color indexed="81"/>
            <rFont val="Tahoma"/>
            <family val="2"/>
          </rPr>
          <t xml:space="preserve"> Rebecca Bernard:</t>
        </r>
        <r>
          <rPr>
            <sz val="8"/>
            <color indexed="81"/>
            <rFont val="Tahoma"/>
            <family val="2"/>
          </rPr>
          <t xml:space="preserve">
used 1996 same weeks--good sample size in 1996 for proportions</t>
        </r>
      </text>
    </comment>
    <comment ref="AH245" authorId="0" shapeId="0" xr:uid="{00000000-0006-0000-0200-000087010000}">
      <text>
        <r>
          <rPr>
            <b/>
            <sz val="8"/>
            <color indexed="81"/>
            <rFont val="Tahoma"/>
            <family val="2"/>
          </rPr>
          <t xml:space="preserve"> Rebecca Bernard:</t>
        </r>
        <r>
          <rPr>
            <sz val="8"/>
            <color indexed="81"/>
            <rFont val="Tahoma"/>
            <family val="2"/>
          </rPr>
          <t xml:space="preserve">
used 1996 same weeks--good sample size in 1996 for proportions</t>
        </r>
      </text>
    </comment>
    <comment ref="AI245" authorId="0" shapeId="0" xr:uid="{00000000-0006-0000-0200-000088010000}">
      <text>
        <r>
          <rPr>
            <b/>
            <sz val="8"/>
            <color indexed="81"/>
            <rFont val="Tahoma"/>
            <family val="2"/>
          </rPr>
          <t xml:space="preserve"> Rebecca Bernard:</t>
        </r>
        <r>
          <rPr>
            <sz val="8"/>
            <color indexed="81"/>
            <rFont val="Tahoma"/>
            <family val="2"/>
          </rPr>
          <t xml:space="preserve">
used 1996 same weeks--good sample size in 1996 for proportions</t>
        </r>
      </text>
    </comment>
    <comment ref="AL245" authorId="0" shapeId="0" xr:uid="{00000000-0006-0000-0200-000089010000}">
      <text>
        <r>
          <rPr>
            <b/>
            <sz val="8"/>
            <color indexed="81"/>
            <rFont val="Tahoma"/>
            <family val="2"/>
          </rPr>
          <t xml:space="preserve"> Rebecca Bernard:</t>
        </r>
        <r>
          <rPr>
            <sz val="8"/>
            <color indexed="81"/>
            <rFont val="Tahoma"/>
            <family val="2"/>
          </rPr>
          <t xml:space="preserve">
used well sampled year 2005 same week for proportions </t>
        </r>
      </text>
    </comment>
    <comment ref="AM245" authorId="0" shapeId="0" xr:uid="{00000000-0006-0000-0200-00008A010000}">
      <text>
        <r>
          <rPr>
            <b/>
            <sz val="8"/>
            <color indexed="81"/>
            <rFont val="Tahoma"/>
            <family val="2"/>
          </rPr>
          <t xml:space="preserve"> Rebecca Bernard:</t>
        </r>
        <r>
          <rPr>
            <sz val="8"/>
            <color indexed="81"/>
            <rFont val="Tahoma"/>
            <family val="2"/>
          </rPr>
          <t xml:space="preserve">
used well sampled year 2005 same week for proportions </t>
        </r>
      </text>
    </comment>
    <comment ref="BD245" authorId="1" shapeId="0" xr:uid="{00000000-0006-0000-0200-00008B010000}">
      <text>
        <r>
          <rPr>
            <b/>
            <sz val="9"/>
            <color indexed="81"/>
            <rFont val="Tahoma"/>
            <family val="2"/>
          </rPr>
          <t>rbernard:</t>
        </r>
        <r>
          <rPr>
            <sz val="9"/>
            <color indexed="81"/>
            <rFont val="Tahoma"/>
            <family val="2"/>
          </rPr>
          <t xml:space="preserve">
used 2010 composition for this week</t>
        </r>
      </text>
    </comment>
    <comment ref="BE245" authorId="1" shapeId="0" xr:uid="{00000000-0006-0000-0200-00008C010000}">
      <text>
        <r>
          <rPr>
            <b/>
            <sz val="9"/>
            <color indexed="81"/>
            <rFont val="Tahoma"/>
            <family val="2"/>
          </rPr>
          <t>rbernard:</t>
        </r>
        <r>
          <rPr>
            <sz val="9"/>
            <color indexed="81"/>
            <rFont val="Tahoma"/>
            <family val="2"/>
          </rPr>
          <t xml:space="preserve">
used 2010 composition for this week</t>
        </r>
      </text>
    </comment>
    <comment ref="BF245" authorId="2" shapeId="0" xr:uid="{00000000-0006-0000-0200-00008D01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G245" authorId="2" shapeId="0" xr:uid="{00000000-0006-0000-0200-00008E01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H245" authorId="1" shapeId="0" xr:uid="{00000000-0006-0000-0200-00008F010000}">
      <text>
        <r>
          <rPr>
            <b/>
            <sz val="9"/>
            <color indexed="81"/>
            <rFont val="Tahoma"/>
            <family val="2"/>
          </rPr>
          <t>pkairis:</t>
        </r>
        <r>
          <rPr>
            <sz val="9"/>
            <color indexed="81"/>
            <rFont val="Tahoma"/>
            <family val="2"/>
          </rPr>
          <t xml:space="preserve">
For 2012-13 forecast, used 2006-2011 average H/W percentages for this week.
</t>
        </r>
      </text>
    </comment>
    <comment ref="BI245" authorId="2" shapeId="0" xr:uid="{00000000-0006-0000-0200-00009001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J245" authorId="2" shapeId="0" xr:uid="{00000000-0006-0000-0200-00009101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K245" authorId="1" shapeId="0" xr:uid="{00000000-0006-0000-0200-000092010000}">
      <text>
        <r>
          <rPr>
            <b/>
            <sz val="9"/>
            <color indexed="81"/>
            <rFont val="Tahoma"/>
            <family val="2"/>
          </rPr>
          <t>pkairis:</t>
        </r>
        <r>
          <rPr>
            <sz val="9"/>
            <color indexed="81"/>
            <rFont val="Tahoma"/>
            <family val="2"/>
          </rPr>
          <t xml:space="preserve">
For 2012-13 forecast, used 2006-2011 average H/W percentages for this week.
</t>
        </r>
      </text>
    </comment>
    <comment ref="T246" authorId="0" shapeId="0" xr:uid="{00000000-0006-0000-0200-000093010000}">
      <text>
        <r>
          <rPr>
            <b/>
            <sz val="8"/>
            <color indexed="81"/>
            <rFont val="Tahoma"/>
            <family val="2"/>
          </rPr>
          <t xml:space="preserve"> Rebecca Bernard:</t>
        </r>
        <r>
          <rPr>
            <sz val="8"/>
            <color indexed="81"/>
            <rFont val="Tahoma"/>
            <family val="2"/>
          </rPr>
          <t xml:space="preserve">
used week 6's proportions</t>
        </r>
      </text>
    </comment>
    <comment ref="U246" authorId="0" shapeId="0" xr:uid="{00000000-0006-0000-0200-000094010000}">
      <text>
        <r>
          <rPr>
            <b/>
            <sz val="8"/>
            <color indexed="81"/>
            <rFont val="Tahoma"/>
            <family val="2"/>
          </rPr>
          <t xml:space="preserve"> Rebecca Bernard:</t>
        </r>
        <r>
          <rPr>
            <sz val="8"/>
            <color indexed="81"/>
            <rFont val="Tahoma"/>
            <family val="2"/>
          </rPr>
          <t xml:space="preserve">
used week 6's proportions</t>
        </r>
      </text>
    </comment>
    <comment ref="AF246" authorId="0" shapeId="0" xr:uid="{00000000-0006-0000-0200-000095010000}">
      <text>
        <r>
          <rPr>
            <b/>
            <sz val="8"/>
            <color indexed="81"/>
            <rFont val="Tahoma"/>
            <family val="2"/>
          </rPr>
          <t xml:space="preserve"> Rebecca Bernard:</t>
        </r>
        <r>
          <rPr>
            <sz val="8"/>
            <color indexed="81"/>
            <rFont val="Tahoma"/>
            <family val="2"/>
          </rPr>
          <t xml:space="preserve">
used 1996 same weeks--good sample size in 1996 for proportions</t>
        </r>
      </text>
    </comment>
    <comment ref="AG246" authorId="0" shapeId="0" xr:uid="{00000000-0006-0000-0200-000096010000}">
      <text>
        <r>
          <rPr>
            <b/>
            <sz val="8"/>
            <color indexed="81"/>
            <rFont val="Tahoma"/>
            <family val="2"/>
          </rPr>
          <t xml:space="preserve"> Rebecca Bernard:</t>
        </r>
        <r>
          <rPr>
            <sz val="8"/>
            <color indexed="81"/>
            <rFont val="Tahoma"/>
            <family val="2"/>
          </rPr>
          <t xml:space="preserve">
used 1996 same weeks--good sample size in 1996 for proportions</t>
        </r>
      </text>
    </comment>
    <comment ref="AH246" authorId="0" shapeId="0" xr:uid="{00000000-0006-0000-0200-000097010000}">
      <text>
        <r>
          <rPr>
            <b/>
            <sz val="8"/>
            <color indexed="81"/>
            <rFont val="Tahoma"/>
            <family val="2"/>
          </rPr>
          <t xml:space="preserve"> Rebecca Bernard:</t>
        </r>
        <r>
          <rPr>
            <sz val="8"/>
            <color indexed="81"/>
            <rFont val="Tahoma"/>
            <family val="2"/>
          </rPr>
          <t xml:space="preserve">
used 1996 same weeks--good sample size in 1996 for proportions</t>
        </r>
      </text>
    </comment>
    <comment ref="AI246" authorId="0" shapeId="0" xr:uid="{00000000-0006-0000-0200-000098010000}">
      <text>
        <r>
          <rPr>
            <b/>
            <sz val="8"/>
            <color indexed="81"/>
            <rFont val="Tahoma"/>
            <family val="2"/>
          </rPr>
          <t xml:space="preserve"> Rebecca Bernard:</t>
        </r>
        <r>
          <rPr>
            <sz val="8"/>
            <color indexed="81"/>
            <rFont val="Tahoma"/>
            <family val="2"/>
          </rPr>
          <t xml:space="preserve">
used 1996 same weeks--good sample size in 1996 for proportions</t>
        </r>
      </text>
    </comment>
    <comment ref="AL246" authorId="0" shapeId="0" xr:uid="{00000000-0006-0000-0200-000099010000}">
      <text>
        <r>
          <rPr>
            <b/>
            <sz val="8"/>
            <color indexed="81"/>
            <rFont val="Tahoma"/>
            <family val="2"/>
          </rPr>
          <t xml:space="preserve"> Rebecca Bernard:</t>
        </r>
        <r>
          <rPr>
            <sz val="8"/>
            <color indexed="81"/>
            <rFont val="Tahoma"/>
            <family val="2"/>
          </rPr>
          <t xml:space="preserve">
used well sampled year 2005 same week for proportions </t>
        </r>
      </text>
    </comment>
    <comment ref="AM246" authorId="0" shapeId="0" xr:uid="{00000000-0006-0000-0200-00009A010000}">
      <text>
        <r>
          <rPr>
            <b/>
            <sz val="8"/>
            <color indexed="81"/>
            <rFont val="Tahoma"/>
            <family val="2"/>
          </rPr>
          <t xml:space="preserve"> Rebecca Bernard:</t>
        </r>
        <r>
          <rPr>
            <sz val="8"/>
            <color indexed="81"/>
            <rFont val="Tahoma"/>
            <family val="2"/>
          </rPr>
          <t xml:space="preserve">
used well sampled year 2005 same week for proportions </t>
        </r>
      </text>
    </comment>
    <comment ref="CA246" authorId="2" shapeId="0" xr:uid="{00000000-0006-0000-0200-00009B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B246" authorId="2" shapeId="0" xr:uid="{00000000-0006-0000-0200-00009C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C246" authorId="2" shapeId="0" xr:uid="{00000000-0006-0000-0200-00009D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AF247" authorId="0" shapeId="0" xr:uid="{00000000-0006-0000-0200-00009E010000}">
      <text>
        <r>
          <rPr>
            <b/>
            <sz val="8"/>
            <color indexed="81"/>
            <rFont val="Tahoma"/>
            <family val="2"/>
          </rPr>
          <t xml:space="preserve"> Rebecca Bernard:</t>
        </r>
        <r>
          <rPr>
            <sz val="8"/>
            <color indexed="81"/>
            <rFont val="Tahoma"/>
            <family val="2"/>
          </rPr>
          <t xml:space="preserve">
used 1994 same weeks--good sample size for 1994 proportions</t>
        </r>
      </text>
    </comment>
    <comment ref="AG247" authorId="0" shapeId="0" xr:uid="{00000000-0006-0000-0200-00009F010000}">
      <text>
        <r>
          <rPr>
            <b/>
            <sz val="8"/>
            <color indexed="81"/>
            <rFont val="Tahoma"/>
            <family val="2"/>
          </rPr>
          <t xml:space="preserve"> Rebecca Bernard:</t>
        </r>
        <r>
          <rPr>
            <sz val="8"/>
            <color indexed="81"/>
            <rFont val="Tahoma"/>
            <family val="2"/>
          </rPr>
          <t xml:space="preserve">
used 1994 same weeks--good sample size for 1994 proportions</t>
        </r>
      </text>
    </comment>
    <comment ref="AH247" authorId="0" shapeId="0" xr:uid="{00000000-0006-0000-0200-0000A0010000}">
      <text>
        <r>
          <rPr>
            <b/>
            <sz val="8"/>
            <color indexed="81"/>
            <rFont val="Tahoma"/>
            <family val="2"/>
          </rPr>
          <t xml:space="preserve"> Rebecca Bernard:</t>
        </r>
        <r>
          <rPr>
            <sz val="8"/>
            <color indexed="81"/>
            <rFont val="Tahoma"/>
            <family val="2"/>
          </rPr>
          <t xml:space="preserve">
used 1994 same weeks--good sample size for 1994 proportions</t>
        </r>
      </text>
    </comment>
    <comment ref="AI247" authorId="0" shapeId="0" xr:uid="{00000000-0006-0000-0200-0000A1010000}">
      <text>
        <r>
          <rPr>
            <b/>
            <sz val="8"/>
            <color indexed="81"/>
            <rFont val="Tahoma"/>
            <family val="2"/>
          </rPr>
          <t xml:space="preserve"> Rebecca Bernard:</t>
        </r>
        <r>
          <rPr>
            <sz val="8"/>
            <color indexed="81"/>
            <rFont val="Tahoma"/>
            <family val="2"/>
          </rPr>
          <t xml:space="preserve">
used 1994 same weeks--good sample size for 1994 proportions</t>
        </r>
      </text>
    </comment>
    <comment ref="AL247" authorId="0" shapeId="0" xr:uid="{00000000-0006-0000-0200-0000A2010000}">
      <text>
        <r>
          <rPr>
            <b/>
            <sz val="8"/>
            <color indexed="81"/>
            <rFont val="Tahoma"/>
            <family val="2"/>
          </rPr>
          <t xml:space="preserve"> Rebecca Bernard:</t>
        </r>
        <r>
          <rPr>
            <sz val="8"/>
            <color indexed="81"/>
            <rFont val="Tahoma"/>
            <family val="2"/>
          </rPr>
          <t xml:space="preserve">
used well sampled year 2005 same week for proportions </t>
        </r>
      </text>
    </comment>
    <comment ref="AM247" authorId="0" shapeId="0" xr:uid="{00000000-0006-0000-0200-0000A3010000}">
      <text>
        <r>
          <rPr>
            <b/>
            <sz val="8"/>
            <color indexed="81"/>
            <rFont val="Tahoma"/>
            <family val="2"/>
          </rPr>
          <t xml:space="preserve"> Rebecca Bernard:</t>
        </r>
        <r>
          <rPr>
            <sz val="8"/>
            <color indexed="81"/>
            <rFont val="Tahoma"/>
            <family val="2"/>
          </rPr>
          <t xml:space="preserve">
used well sampled year 2005 same week for proportions </t>
        </r>
      </text>
    </comment>
    <comment ref="AP247" authorId="0" shapeId="0" xr:uid="{00000000-0006-0000-0200-0000A4010000}">
      <text>
        <r>
          <rPr>
            <b/>
            <sz val="8"/>
            <color indexed="81"/>
            <rFont val="Tahoma"/>
            <family val="2"/>
          </rPr>
          <t xml:space="preserve"> Rebecca Bernard:</t>
        </r>
        <r>
          <rPr>
            <sz val="8"/>
            <color indexed="81"/>
            <rFont val="Tahoma"/>
            <family val="2"/>
          </rPr>
          <t xml:space="preserve">
used week 7 for proportions</t>
        </r>
      </text>
    </comment>
    <comment ref="AQ247" authorId="0" shapeId="0" xr:uid="{00000000-0006-0000-0200-0000A5010000}">
      <text>
        <r>
          <rPr>
            <b/>
            <sz val="8"/>
            <color indexed="81"/>
            <rFont val="Tahoma"/>
            <family val="2"/>
          </rPr>
          <t xml:space="preserve"> Rebecca Bernard:</t>
        </r>
        <r>
          <rPr>
            <sz val="8"/>
            <color indexed="81"/>
            <rFont val="Tahoma"/>
            <family val="2"/>
          </rPr>
          <t xml:space="preserve">
used week 7 for proportions</t>
        </r>
      </text>
    </comment>
    <comment ref="CA247" authorId="2" shapeId="0" xr:uid="{00000000-0006-0000-0200-0000A6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B247" authorId="2" shapeId="0" xr:uid="{00000000-0006-0000-0200-0000A7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C247" authorId="2" shapeId="0" xr:uid="{00000000-0006-0000-0200-0000A8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G247" authorId="2" shapeId="0" xr:uid="{00000000-0006-0000-0200-0000A9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H247" authorId="2" shapeId="0" xr:uid="{00000000-0006-0000-0200-0000AA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I247" authorId="2" shapeId="0" xr:uid="{00000000-0006-0000-0200-0000AB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J248" authorId="0" shapeId="0" xr:uid="{00000000-0006-0000-0200-0000AC010000}">
      <text>
        <r>
          <rPr>
            <b/>
            <sz val="8"/>
            <color indexed="81"/>
            <rFont val="Tahoma"/>
            <family val="2"/>
          </rPr>
          <t xml:space="preserve"> Rebecca Bernard:</t>
        </r>
        <r>
          <rPr>
            <sz val="8"/>
            <color indexed="81"/>
            <rFont val="Tahoma"/>
            <family val="2"/>
          </rPr>
          <t xml:space="preserve">
used week 8 proportions</t>
        </r>
      </text>
    </comment>
    <comment ref="K248" authorId="0" shapeId="0" xr:uid="{00000000-0006-0000-0200-0000AD010000}">
      <text>
        <r>
          <rPr>
            <b/>
            <sz val="8"/>
            <color indexed="81"/>
            <rFont val="Tahoma"/>
            <family val="2"/>
          </rPr>
          <t xml:space="preserve"> Rebecca Bernard:</t>
        </r>
        <r>
          <rPr>
            <sz val="8"/>
            <color indexed="81"/>
            <rFont val="Tahoma"/>
            <family val="2"/>
          </rPr>
          <t xml:space="preserve">
used week 8 proportions</t>
        </r>
      </text>
    </comment>
    <comment ref="AF248" authorId="0" shapeId="0" xr:uid="{00000000-0006-0000-0200-0000AE010000}">
      <text>
        <r>
          <rPr>
            <b/>
            <sz val="8"/>
            <color indexed="81"/>
            <rFont val="Tahoma"/>
            <family val="2"/>
          </rPr>
          <t xml:space="preserve"> Rebecca Bernard:</t>
        </r>
        <r>
          <rPr>
            <sz val="8"/>
            <color indexed="81"/>
            <rFont val="Tahoma"/>
            <family val="2"/>
          </rPr>
          <t xml:space="preserve">
used 1998 same week for proportions</t>
        </r>
      </text>
    </comment>
    <comment ref="AG248" authorId="0" shapeId="0" xr:uid="{00000000-0006-0000-0200-0000AF010000}">
      <text>
        <r>
          <rPr>
            <b/>
            <sz val="8"/>
            <color indexed="81"/>
            <rFont val="Tahoma"/>
            <family val="2"/>
          </rPr>
          <t xml:space="preserve"> Rebecca Bernard:</t>
        </r>
        <r>
          <rPr>
            <sz val="8"/>
            <color indexed="81"/>
            <rFont val="Tahoma"/>
            <family val="2"/>
          </rPr>
          <t xml:space="preserve">
used 1998 same week for proportions</t>
        </r>
      </text>
    </comment>
    <comment ref="AR248" authorId="0" shapeId="0" xr:uid="{00000000-0006-0000-0200-0000B0010000}">
      <text>
        <r>
          <rPr>
            <b/>
            <sz val="8"/>
            <color indexed="81"/>
            <rFont val="Tahoma"/>
            <family val="2"/>
          </rPr>
          <t xml:space="preserve"> Rebecca Bernard:</t>
        </r>
        <r>
          <rPr>
            <sz val="8"/>
            <color indexed="81"/>
            <rFont val="Tahoma"/>
            <family val="2"/>
          </rPr>
          <t xml:space="preserve">
used week before's proportions</t>
        </r>
      </text>
    </comment>
    <comment ref="AS248" authorId="0" shapeId="0" xr:uid="{00000000-0006-0000-0200-0000B1010000}">
      <text>
        <r>
          <rPr>
            <b/>
            <sz val="8"/>
            <color indexed="81"/>
            <rFont val="Tahoma"/>
            <family val="2"/>
          </rPr>
          <t xml:space="preserve"> Rebecca Bernard:</t>
        </r>
        <r>
          <rPr>
            <sz val="8"/>
            <color indexed="81"/>
            <rFont val="Tahoma"/>
            <family val="2"/>
          </rPr>
          <t xml:space="preserve">
used week before's proportions</t>
        </r>
      </text>
    </comment>
    <comment ref="CA248" authorId="2" shapeId="0" xr:uid="{00000000-0006-0000-0200-0000B2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B248" authorId="2" shapeId="0" xr:uid="{00000000-0006-0000-0200-0000B3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C248" authorId="2" shapeId="0" xr:uid="{00000000-0006-0000-0200-0000B4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AF249" authorId="0" shapeId="0" xr:uid="{00000000-0006-0000-0200-0000B5010000}">
      <text>
        <r>
          <rPr>
            <b/>
            <sz val="8"/>
            <color indexed="81"/>
            <rFont val="Tahoma"/>
            <family val="2"/>
          </rPr>
          <t xml:space="preserve"> Rebecca Bernard:</t>
        </r>
        <r>
          <rPr>
            <sz val="8"/>
            <color indexed="81"/>
            <rFont val="Tahoma"/>
            <family val="2"/>
          </rPr>
          <t xml:space="preserve">
used 1994 same weeks--good sample size for 1994 proportions</t>
        </r>
      </text>
    </comment>
    <comment ref="AG249" authorId="0" shapeId="0" xr:uid="{00000000-0006-0000-0200-0000B6010000}">
      <text>
        <r>
          <rPr>
            <b/>
            <sz val="8"/>
            <color indexed="81"/>
            <rFont val="Tahoma"/>
            <family val="2"/>
          </rPr>
          <t xml:space="preserve"> Rebecca Bernard:</t>
        </r>
        <r>
          <rPr>
            <sz val="8"/>
            <color indexed="81"/>
            <rFont val="Tahoma"/>
            <family val="2"/>
          </rPr>
          <t xml:space="preserve">
used 1994 same weeks--good sample size for 1994 proportions</t>
        </r>
      </text>
    </comment>
    <comment ref="AH249" authorId="0" shapeId="0" xr:uid="{00000000-0006-0000-0200-0000B7010000}">
      <text>
        <r>
          <rPr>
            <b/>
            <sz val="8"/>
            <color indexed="81"/>
            <rFont val="Tahoma"/>
            <family val="2"/>
          </rPr>
          <t xml:space="preserve"> Rebecca Bernard:</t>
        </r>
        <r>
          <rPr>
            <sz val="8"/>
            <color indexed="81"/>
            <rFont val="Tahoma"/>
            <family val="2"/>
          </rPr>
          <t xml:space="preserve">
used 1994 same weeks--good sample size for 1994 proportions</t>
        </r>
      </text>
    </comment>
    <comment ref="AI249" authorId="0" shapeId="0" xr:uid="{00000000-0006-0000-0200-0000B8010000}">
      <text>
        <r>
          <rPr>
            <b/>
            <sz val="8"/>
            <color indexed="81"/>
            <rFont val="Tahoma"/>
            <family val="2"/>
          </rPr>
          <t xml:space="preserve"> Rebecca Bernard:</t>
        </r>
        <r>
          <rPr>
            <sz val="8"/>
            <color indexed="81"/>
            <rFont val="Tahoma"/>
            <family val="2"/>
          </rPr>
          <t xml:space="preserve">
used 1994 same weeks--good sample size for 1994 proportions</t>
        </r>
      </text>
    </comment>
    <comment ref="CA249" authorId="2" shapeId="0" xr:uid="{00000000-0006-0000-0200-0000B9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B249" authorId="2" shapeId="0" xr:uid="{00000000-0006-0000-0200-0000BA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C249" authorId="2" shapeId="0" xr:uid="{00000000-0006-0000-0200-0000BB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DK249" authorId="2" shapeId="0" xr:uid="{6DD5825E-67AB-4083-811F-83A076B53645}">
      <text>
        <r>
          <rPr>
            <b/>
            <sz val="9"/>
            <color indexed="81"/>
            <rFont val="Tahoma"/>
            <family val="2"/>
          </rPr>
          <t>Pete Kairis:</t>
        </r>
        <r>
          <rPr>
            <sz val="9"/>
            <color indexed="81"/>
            <rFont val="Tahoma"/>
            <family val="2"/>
          </rPr>
          <t xml:space="preserve">
No sampling data, so assuming wild prespawn</t>
        </r>
      </text>
    </comment>
    <comment ref="AH250" authorId="0" shapeId="0" xr:uid="{00000000-0006-0000-0200-0000BC010000}">
      <text>
        <r>
          <rPr>
            <b/>
            <sz val="8"/>
            <color indexed="81"/>
            <rFont val="Tahoma"/>
            <family val="2"/>
          </rPr>
          <t xml:space="preserve"> Rebecca Bernard:</t>
        </r>
        <r>
          <rPr>
            <sz val="8"/>
            <color indexed="81"/>
            <rFont val="Tahoma"/>
            <family val="2"/>
          </rPr>
          <t xml:space="preserve">
used 1994 same weeks--good sample size for 1994 proportions</t>
        </r>
      </text>
    </comment>
    <comment ref="AI250" authorId="0" shapeId="0" xr:uid="{00000000-0006-0000-0200-0000BD010000}">
      <text>
        <r>
          <rPr>
            <b/>
            <sz val="8"/>
            <color indexed="81"/>
            <rFont val="Tahoma"/>
            <family val="2"/>
          </rPr>
          <t xml:space="preserve"> Rebecca Bernard:</t>
        </r>
        <r>
          <rPr>
            <sz val="8"/>
            <color indexed="81"/>
            <rFont val="Tahoma"/>
            <family val="2"/>
          </rPr>
          <t xml:space="preserve">
used 1994 same weeks--good sample size for 1994 proportions</t>
        </r>
      </text>
    </comment>
    <comment ref="AR250" authorId="0" shapeId="0" xr:uid="{00000000-0006-0000-0200-0000BE010000}">
      <text>
        <r>
          <rPr>
            <b/>
            <sz val="8"/>
            <color indexed="81"/>
            <rFont val="Tahoma"/>
            <family val="2"/>
          </rPr>
          <t xml:space="preserve"> Rebecca Bernard:</t>
        </r>
        <r>
          <rPr>
            <sz val="8"/>
            <color indexed="81"/>
            <rFont val="Tahoma"/>
            <family val="2"/>
          </rPr>
          <t xml:space="preserve">
used week 9 for proportions</t>
        </r>
      </text>
    </comment>
    <comment ref="AS250" authorId="0" shapeId="0" xr:uid="{00000000-0006-0000-0200-0000BF010000}">
      <text>
        <r>
          <rPr>
            <b/>
            <sz val="8"/>
            <color indexed="81"/>
            <rFont val="Tahoma"/>
            <family val="2"/>
          </rPr>
          <t xml:space="preserve"> Rebecca Bernard:</t>
        </r>
        <r>
          <rPr>
            <sz val="8"/>
            <color indexed="81"/>
            <rFont val="Tahoma"/>
            <family val="2"/>
          </rPr>
          <t xml:space="preserve">
used week 9 for proportions</t>
        </r>
      </text>
    </comment>
    <comment ref="CA250" authorId="2" shapeId="0" xr:uid="{00000000-0006-0000-0200-0000C0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B250" authorId="2" shapeId="0" xr:uid="{00000000-0006-0000-0200-0000C1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C250" authorId="2" shapeId="0" xr:uid="{00000000-0006-0000-0200-0000C2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AH251" authorId="0" shapeId="0" xr:uid="{00000000-0006-0000-0200-0000C3010000}">
      <text>
        <r>
          <rPr>
            <b/>
            <sz val="8"/>
            <color indexed="81"/>
            <rFont val="Tahoma"/>
            <family val="2"/>
          </rPr>
          <t xml:space="preserve"> Rebecca Bernard:</t>
        </r>
        <r>
          <rPr>
            <sz val="8"/>
            <color indexed="81"/>
            <rFont val="Tahoma"/>
            <family val="2"/>
          </rPr>
          <t xml:space="preserve">
used week 12 in 1994 proportions</t>
        </r>
      </text>
    </comment>
    <comment ref="AI251" authorId="0" shapeId="0" xr:uid="{00000000-0006-0000-0200-0000C4010000}">
      <text>
        <r>
          <rPr>
            <b/>
            <sz val="8"/>
            <color indexed="81"/>
            <rFont val="Tahoma"/>
            <family val="2"/>
          </rPr>
          <t xml:space="preserve"> Rebecca Bernard:</t>
        </r>
        <r>
          <rPr>
            <sz val="8"/>
            <color indexed="81"/>
            <rFont val="Tahoma"/>
            <family val="2"/>
          </rPr>
          <t xml:space="preserve">
used week 12 in 1994 proportions</t>
        </r>
      </text>
    </comment>
    <comment ref="AV251" authorId="0" shapeId="0" xr:uid="{00000000-0006-0000-0200-0000C5010000}">
      <text>
        <r>
          <rPr>
            <b/>
            <sz val="8"/>
            <color indexed="81"/>
            <rFont val="Tahoma"/>
            <family val="2"/>
          </rPr>
          <t xml:space="preserve"> Rebecca Bernard:</t>
        </r>
        <r>
          <rPr>
            <sz val="8"/>
            <color indexed="81"/>
            <rFont val="Tahoma"/>
            <family val="2"/>
          </rPr>
          <t xml:space="preserve">
used week before's proportions</t>
        </r>
      </text>
    </comment>
    <comment ref="AW251" authorId="0" shapeId="0" xr:uid="{00000000-0006-0000-0200-0000C6010000}">
      <text>
        <r>
          <rPr>
            <b/>
            <sz val="8"/>
            <color indexed="81"/>
            <rFont val="Tahoma"/>
            <family val="2"/>
          </rPr>
          <t xml:space="preserve"> Rebecca Bernard:</t>
        </r>
        <r>
          <rPr>
            <sz val="8"/>
            <color indexed="81"/>
            <rFont val="Tahoma"/>
            <family val="2"/>
          </rPr>
          <t xml:space="preserve">
used week before's proportions</t>
        </r>
      </text>
    </comment>
    <comment ref="AX251" authorId="0" shapeId="0" xr:uid="{00000000-0006-0000-0200-0000C7010000}">
      <text>
        <r>
          <rPr>
            <b/>
            <sz val="8"/>
            <color indexed="81"/>
            <rFont val="Tahoma"/>
            <family val="2"/>
          </rPr>
          <t xml:space="preserve"> Rebecca Bernard:</t>
        </r>
        <r>
          <rPr>
            <sz val="8"/>
            <color indexed="81"/>
            <rFont val="Tahoma"/>
            <family val="2"/>
          </rPr>
          <t xml:space="preserve">
used week before's proportions</t>
        </r>
      </text>
    </comment>
    <comment ref="AY251" authorId="0" shapeId="0" xr:uid="{00000000-0006-0000-0200-0000C8010000}">
      <text>
        <r>
          <rPr>
            <b/>
            <sz val="8"/>
            <color indexed="81"/>
            <rFont val="Tahoma"/>
            <family val="2"/>
          </rPr>
          <t xml:space="preserve"> Rebecca Bernard:</t>
        </r>
        <r>
          <rPr>
            <sz val="8"/>
            <color indexed="81"/>
            <rFont val="Tahoma"/>
            <family val="2"/>
          </rPr>
          <t xml:space="preserve">
used week before's proportions</t>
        </r>
      </text>
    </comment>
    <comment ref="CA251" authorId="2" shapeId="0" xr:uid="{00000000-0006-0000-0200-0000C9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B251" authorId="2" shapeId="0" xr:uid="{00000000-0006-0000-0200-0000CA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C251" authorId="2" shapeId="0" xr:uid="{00000000-0006-0000-0200-0000CB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AH252" authorId="0" shapeId="0" xr:uid="{00000000-0006-0000-0200-0000CC010000}">
      <text>
        <r>
          <rPr>
            <b/>
            <sz val="8"/>
            <color indexed="81"/>
            <rFont val="Tahoma"/>
            <family val="2"/>
          </rPr>
          <t xml:space="preserve"> Rebecca Bernard:</t>
        </r>
        <r>
          <rPr>
            <sz val="8"/>
            <color indexed="81"/>
            <rFont val="Tahoma"/>
            <family val="2"/>
          </rPr>
          <t xml:space="preserve">
used week 12 in 1994 proportions</t>
        </r>
      </text>
    </comment>
    <comment ref="AI252" authorId="0" shapeId="0" xr:uid="{00000000-0006-0000-0200-0000CD010000}">
      <text>
        <r>
          <rPr>
            <b/>
            <sz val="8"/>
            <color indexed="81"/>
            <rFont val="Tahoma"/>
            <family val="2"/>
          </rPr>
          <t xml:space="preserve"> Rebecca Bernard:</t>
        </r>
        <r>
          <rPr>
            <sz val="8"/>
            <color indexed="81"/>
            <rFont val="Tahoma"/>
            <family val="2"/>
          </rPr>
          <t xml:space="preserve">
used week 12 in 1994 proportions</t>
        </r>
      </text>
    </comment>
    <comment ref="AP252" authorId="0" shapeId="0" xr:uid="{00000000-0006-0000-0200-0000CE010000}">
      <text>
        <r>
          <rPr>
            <b/>
            <sz val="8"/>
            <color indexed="81"/>
            <rFont val="Tahoma"/>
            <family val="2"/>
          </rPr>
          <t xml:space="preserve"> Rebecca Bernard:</t>
        </r>
        <r>
          <rPr>
            <sz val="8"/>
            <color indexed="81"/>
            <rFont val="Tahoma"/>
            <family val="2"/>
          </rPr>
          <t xml:space="preserve">
ticket needs to be edited to 3/29/2004 rather than 3/27/2004 which was MW 13, but samples were MW 14</t>
        </r>
      </text>
    </comment>
    <comment ref="CA252" authorId="2" shapeId="0" xr:uid="{00000000-0006-0000-0200-0000CF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B252" authorId="2" shapeId="0" xr:uid="{00000000-0006-0000-0200-0000D0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C252" authorId="2" shapeId="0" xr:uid="{00000000-0006-0000-0200-0000D1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A253" authorId="2" shapeId="0" xr:uid="{00000000-0006-0000-0200-0000D2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B253" authorId="2" shapeId="0" xr:uid="{00000000-0006-0000-0200-0000D3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C253" authorId="2" shapeId="0" xr:uid="{00000000-0006-0000-0200-0000D4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A254" authorId="2" shapeId="0" xr:uid="{00000000-0006-0000-0200-0000D5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B254" authorId="2" shapeId="0" xr:uid="{00000000-0006-0000-0200-0000D6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C254" authorId="2" shapeId="0" xr:uid="{00000000-0006-0000-0200-0000D7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A255" authorId="0" shapeId="0" xr:uid="{00000000-0006-0000-0200-0000D8010000}">
      <text>
        <r>
          <rPr>
            <b/>
            <sz val="8"/>
            <color indexed="81"/>
            <rFont val="Tahoma"/>
            <family val="2"/>
          </rPr>
          <t xml:space="preserve"> Rebecca Bernard:</t>
        </r>
        <r>
          <rPr>
            <sz val="8"/>
            <color indexed="81"/>
            <rFont val="Tahoma"/>
            <family val="2"/>
          </rPr>
          <t xml:space="preserve">
end of winter run hatchery season</t>
        </r>
      </text>
    </comment>
    <comment ref="CA255" authorId="2" shapeId="0" xr:uid="{00000000-0006-0000-0200-0000D9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B255" authorId="2" shapeId="0" xr:uid="{00000000-0006-0000-0200-0000DA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C255" authorId="2" shapeId="0" xr:uid="{00000000-0006-0000-0200-0000DB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A256" authorId="0" shapeId="0" xr:uid="{00000000-0006-0000-0200-0000DC010000}">
      <text>
        <r>
          <rPr>
            <b/>
            <sz val="8"/>
            <color indexed="81"/>
            <rFont val="Tahoma"/>
            <family val="2"/>
          </rPr>
          <t xml:space="preserve"> Rebecca Bernard:</t>
        </r>
        <r>
          <rPr>
            <sz val="8"/>
            <color indexed="81"/>
            <rFont val="Tahoma"/>
            <family val="2"/>
          </rPr>
          <t xml:space="preserve">
test fishery week 18-45.
begining of summer run hatchery management season</t>
        </r>
      </text>
    </comment>
    <comment ref="M256" authorId="0" shapeId="0" xr:uid="{00000000-0006-0000-0200-0000DD010000}">
      <text>
        <r>
          <rPr>
            <b/>
            <sz val="8"/>
            <color indexed="81"/>
            <rFont val="Tahoma"/>
            <family val="2"/>
          </rPr>
          <t xml:space="preserve"> Rebecca Bernard:</t>
        </r>
        <r>
          <rPr>
            <sz val="8"/>
            <color indexed="81"/>
            <rFont val="Tahoma"/>
            <family val="2"/>
          </rPr>
          <t xml:space="preserve">
not on tickets but 2 wild kelts and 1 wild prespawn sampled.   </t>
        </r>
        <r>
          <rPr>
            <u/>
            <sz val="8"/>
            <color indexed="81"/>
            <rFont val="Tahoma"/>
            <family val="2"/>
          </rPr>
          <t>This is wild fish only</t>
        </r>
        <r>
          <rPr>
            <sz val="8"/>
            <color indexed="81"/>
            <rFont val="Tahoma"/>
            <family val="2"/>
          </rPr>
          <t xml:space="preserve"> with effective kelt adjustment for wild steelhead.   1 prespawned wild+ 2 kelt *6.61% BY 1989-2004 ave repeat spawner return rate=1.1 effective wild fish.  0 hatchery fish in catch.</t>
        </r>
      </text>
    </comment>
    <comment ref="BD256" authorId="1" shapeId="0" xr:uid="{00000000-0006-0000-0200-0000DE010000}">
      <text>
        <r>
          <rPr>
            <b/>
            <sz val="9"/>
            <color indexed="81"/>
            <rFont val="Tahoma"/>
            <family val="2"/>
          </rPr>
          <t>rbernard:</t>
        </r>
        <r>
          <rPr>
            <sz val="9"/>
            <color indexed="81"/>
            <rFont val="Tahoma"/>
            <family val="2"/>
          </rPr>
          <t xml:space="preserve">
used week 19</t>
        </r>
      </text>
    </comment>
    <comment ref="BE256" authorId="1" shapeId="0" xr:uid="{00000000-0006-0000-0200-0000DF010000}">
      <text>
        <r>
          <rPr>
            <b/>
            <sz val="9"/>
            <color indexed="81"/>
            <rFont val="Tahoma"/>
            <family val="2"/>
          </rPr>
          <t>rbernard:</t>
        </r>
        <r>
          <rPr>
            <sz val="9"/>
            <color indexed="81"/>
            <rFont val="Tahoma"/>
            <family val="2"/>
          </rPr>
          <t xml:space="preserve">
used week 19</t>
        </r>
      </text>
    </comment>
    <comment ref="CA256" authorId="2" shapeId="0" xr:uid="{00000000-0006-0000-0200-0000E0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B256" authorId="2" shapeId="0" xr:uid="{00000000-0006-0000-0200-0000E1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C256" authorId="2" shapeId="0" xr:uid="{00000000-0006-0000-0200-0000E2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M257" authorId="0" shapeId="0" xr:uid="{00000000-0006-0000-0200-0000E3010000}">
      <text>
        <r>
          <rPr>
            <b/>
            <sz val="8"/>
            <color indexed="81"/>
            <rFont val="Tahoma"/>
            <family val="2"/>
          </rPr>
          <t xml:space="preserve"> Rebecca Bernard:</t>
        </r>
        <r>
          <rPr>
            <sz val="8"/>
            <color indexed="81"/>
            <rFont val="Tahoma"/>
            <family val="2"/>
          </rPr>
          <t xml:space="preserve">
not on tickets but 2 wild kelts, 5 wild prespawn and 2 hachery sampled.  </t>
        </r>
        <r>
          <rPr>
            <u/>
            <sz val="8"/>
            <color indexed="81"/>
            <rFont val="Tahoma"/>
            <family val="2"/>
          </rPr>
          <t>This is wild fish only</t>
        </r>
        <r>
          <rPr>
            <sz val="8"/>
            <color indexed="81"/>
            <rFont val="Tahoma"/>
            <family val="2"/>
          </rPr>
          <t xml:space="preserve"> with effective kelt adjustment for wild steelhead.   5 prespawned wild+ 2 kelt *6.61% BY 1989-2004 ave repeat spawner return rate=5.1 effective wild fish.  2 hatchery fish in catch carried through in cell L257. </t>
        </r>
      </text>
    </comment>
    <comment ref="AX257" authorId="0" shapeId="0" xr:uid="{00000000-0006-0000-0200-0000E4010000}">
      <text>
        <r>
          <rPr>
            <b/>
            <sz val="8"/>
            <color indexed="81"/>
            <rFont val="Tahoma"/>
            <family val="2"/>
          </rPr>
          <t xml:space="preserve"> Rebecca Bernard:</t>
        </r>
        <r>
          <rPr>
            <sz val="8"/>
            <color indexed="81"/>
            <rFont val="Tahoma"/>
            <family val="2"/>
          </rPr>
          <t xml:space="preserve">
Expansions from outside of workbook--see "steelhead age master".</t>
        </r>
      </text>
    </comment>
    <comment ref="AY257" authorId="0" shapeId="0" xr:uid="{00000000-0006-0000-0200-0000E5010000}">
      <text>
        <r>
          <rPr>
            <b/>
            <sz val="8"/>
            <color indexed="81"/>
            <rFont val="Tahoma"/>
            <family val="2"/>
          </rPr>
          <t xml:space="preserve"> Rebecca Bernard:</t>
        </r>
        <r>
          <rPr>
            <sz val="8"/>
            <color indexed="81"/>
            <rFont val="Tahoma"/>
            <family val="2"/>
          </rPr>
          <t xml:space="preserve">
not sampled for kelts--only 4 noted.  Expansions from outside of workbook--see "steelhead age master". 24.3 (24) prespawn and 16.9 (17) kelts calculated.  With effective kelt adjustment: 24 prespawned wild+17 kelt *6.61% BY 1989-2004 ave repeat spawner return rate=25.1 effective wild fish.  6 hatchery fish in catch.</t>
        </r>
      </text>
    </comment>
    <comment ref="AZ257" authorId="0" shapeId="0" xr:uid="{00000000-0006-0000-0200-0000E6010000}">
      <text>
        <r>
          <rPr>
            <b/>
            <sz val="8"/>
            <color indexed="81"/>
            <rFont val="Tahoma"/>
            <family val="2"/>
          </rPr>
          <t xml:space="preserve"> Rebecca Bernard:</t>
        </r>
        <r>
          <rPr>
            <sz val="8"/>
            <color indexed="81"/>
            <rFont val="Tahoma"/>
            <family val="2"/>
          </rPr>
          <t xml:space="preserve">
Expansions from outside of workbook--see "steelhead age master".</t>
        </r>
      </text>
    </comment>
    <comment ref="BA257" authorId="0" shapeId="0" xr:uid="{00000000-0006-0000-0200-0000E7010000}">
      <text>
        <r>
          <rPr>
            <b/>
            <sz val="8"/>
            <color indexed="81"/>
            <rFont val="Tahoma"/>
            <family val="2"/>
          </rPr>
          <t xml:space="preserve"> Rebecca Bernard:</t>
        </r>
        <r>
          <rPr>
            <sz val="8"/>
            <color indexed="81"/>
            <rFont val="Tahoma"/>
            <family val="2"/>
          </rPr>
          <t xml:space="preserve">
11.0 kelts and 20.0 prespawned (but not thoroughly sampled for kelts, and 2.1 hatchery. Expansions from outside of workbook--see "steelhead age master".  With effective kelt adjustment: 20 prespawned wild+11 kelt *6.61% BY 1989-2004 ave repeat spawner return rate=20.7 effective wild fish.  2 hatchery fish in catch.</t>
        </r>
      </text>
    </comment>
    <comment ref="BC257" authorId="0" shapeId="0" xr:uid="{00000000-0006-0000-0200-0000E8010000}">
      <text>
        <r>
          <rPr>
            <b/>
            <sz val="8"/>
            <color indexed="81"/>
            <rFont val="Tahoma"/>
            <family val="2"/>
          </rPr>
          <t xml:space="preserve"> Rebecca Bernard:</t>
        </r>
        <r>
          <rPr>
            <sz val="8"/>
            <color indexed="81"/>
            <rFont val="Tahoma"/>
            <family val="2"/>
          </rPr>
          <t xml:space="preserve">
8 scale samples but most evaluated for kelt and unspawned--15.9 total wild kelts and 21.1 total wild prespawn, no hathchery.  Expansions from outside of workbook--see "steelhead age master".  With effective kelt adjustment:  21 prespawned wild+ 16 kelt *6.61% BY 1989-2004 ave repeat spawner return rate=22.1 effective wild fish.  No hatchery fish in catch.</t>
        </r>
      </text>
    </comment>
    <comment ref="BE257" authorId="1" shapeId="0" xr:uid="{00000000-0006-0000-0200-0000E9010000}">
      <text>
        <r>
          <rPr>
            <b/>
            <sz val="9"/>
            <color indexed="81"/>
            <rFont val="Tahoma"/>
            <family val="2"/>
          </rPr>
          <t>rbernard:</t>
        </r>
        <r>
          <rPr>
            <sz val="9"/>
            <color indexed="81"/>
            <rFont val="Tahoma"/>
            <family val="2"/>
          </rPr>
          <t xml:space="preserve">
during swinomish spring chinook commercial catch--all prespawn wild</t>
        </r>
      </text>
    </comment>
    <comment ref="BP257" authorId="2" shapeId="0" xr:uid="{00000000-0006-0000-0200-0000EA010000}">
      <text>
        <r>
          <rPr>
            <b/>
            <sz val="9"/>
            <color indexed="81"/>
            <rFont val="Tahoma"/>
            <family val="2"/>
          </rPr>
          <t>Pete Kairis:</t>
        </r>
        <r>
          <rPr>
            <sz val="9"/>
            <color indexed="81"/>
            <rFont val="Tahoma"/>
            <family val="2"/>
          </rPr>
          <t xml:space="preserve">
5 wild kelts released as part of USIT tanglenet study.  18.5% estimated release mortality accounted for as "C&amp;S".</t>
        </r>
      </text>
    </comment>
    <comment ref="BX257" authorId="2" shapeId="0" xr:uid="{00000000-0006-0000-0200-0000EB01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Sum is Swin A8 + Swin A78C + SSIT + USIT</t>
        </r>
      </text>
    </comment>
    <comment ref="BY257" authorId="2" shapeId="0" xr:uid="{00000000-0006-0000-0200-0000EC01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Sum is Swin A8 + Swin A78C + SSIT + USIT</t>
        </r>
      </text>
    </comment>
    <comment ref="CA257" authorId="2" shapeId="0" xr:uid="{00000000-0006-0000-0200-0000ED01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Sum is Swin A8 + Swin A78C + SSIT + USIT</t>
        </r>
      </text>
    </comment>
    <comment ref="CB257" authorId="2" shapeId="0" xr:uid="{00000000-0006-0000-0200-0000EE01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Sum is Swin A8 + Swin A78C + SSIT + USIT</t>
        </r>
      </text>
    </comment>
    <comment ref="CD257" authorId="2" shapeId="0" xr:uid="{00000000-0006-0000-0200-0000EF01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CE257" authorId="2" shapeId="0" xr:uid="{00000000-0006-0000-0200-0000F001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CG257" authorId="2" shapeId="0" xr:uid="{00000000-0006-0000-0200-0000F101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CH257" authorId="2" shapeId="0" xr:uid="{00000000-0006-0000-0200-0000F201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CJ257" authorId="2" shapeId="0" xr:uid="{00000000-0006-0000-0200-0000F3010000}">
      <text>
        <r>
          <rPr>
            <b/>
            <sz val="9"/>
            <color indexed="81"/>
            <rFont val="Tahoma"/>
            <family val="2"/>
          </rPr>
          <t>Pete Kairis:</t>
        </r>
        <r>
          <rPr>
            <sz val="9"/>
            <color indexed="81"/>
            <rFont val="Tahoma"/>
            <family val="2"/>
          </rPr>
          <t xml:space="preserve">
Using H/W, and kelt/prespawn splits from 2017TreatyCommercialCatch spreadsheet, calculated independently for Swin, SSIT, and USIT (including their estimated release mortalities).  Sum is Swin A8 + Swin A78C + SSIT + USIT</t>
        </r>
      </text>
    </comment>
    <comment ref="CK257" authorId="2" shapeId="0" xr:uid="{00000000-0006-0000-0200-0000F4010000}">
      <text>
        <r>
          <rPr>
            <b/>
            <sz val="9"/>
            <color indexed="81"/>
            <rFont val="Tahoma"/>
            <family val="2"/>
          </rPr>
          <t>Pete Kairis:</t>
        </r>
        <r>
          <rPr>
            <sz val="9"/>
            <color indexed="81"/>
            <rFont val="Tahoma"/>
            <family val="2"/>
          </rPr>
          <t xml:space="preserve">
Using H/W, and kelt/prespawn splits from 2017TreatyCommercialCatch spreadsheet, calculated independently for Swin, SSIT, and USIT (including their estimated release mortalities).  Sum is Swin A8 + Swin A78C + SSIT + USIT</t>
        </r>
      </text>
    </comment>
    <comment ref="CM257" authorId="2" shapeId="0" xr:uid="{00000000-0006-0000-0200-0000F5010000}">
      <text>
        <r>
          <rPr>
            <b/>
            <sz val="9"/>
            <color indexed="81"/>
            <rFont val="Tahoma"/>
            <family val="2"/>
          </rPr>
          <t>Pete Kairis:</t>
        </r>
        <r>
          <rPr>
            <sz val="9"/>
            <color indexed="81"/>
            <rFont val="Tahoma"/>
            <family val="2"/>
          </rPr>
          <t xml:space="preserve">
Using H/W, and kelt/prespawn splits from 2017TreatyCommercialCatch spreadsheet, calculated independently for Swin, SSIT, and USIT (including their estimated release mortalities).  Sum is Swin A8 + Swin A78C + SSIT + USIT</t>
        </r>
      </text>
    </comment>
    <comment ref="CN257" authorId="2" shapeId="0" xr:uid="{00000000-0006-0000-0200-0000F6010000}">
      <text>
        <r>
          <rPr>
            <b/>
            <sz val="9"/>
            <color indexed="81"/>
            <rFont val="Tahoma"/>
            <family val="2"/>
          </rPr>
          <t>Pete Kairis:</t>
        </r>
        <r>
          <rPr>
            <sz val="9"/>
            <color indexed="81"/>
            <rFont val="Tahoma"/>
            <family val="2"/>
          </rPr>
          <t xml:space="preserve">
Using H/W, and kelt/prespawn splits from 2017TreatyCommercialCatch spreadsheet, calculated independently for Swin, SSIT, and USIT (including their estimated release mortalities).  Sum is Swin A8 + Swin A78C + SSIT + USIT</t>
        </r>
      </text>
    </comment>
    <comment ref="M258" authorId="0" shapeId="0" xr:uid="{00000000-0006-0000-0200-0000F7010000}">
      <text>
        <r>
          <rPr>
            <b/>
            <sz val="8"/>
            <color indexed="81"/>
            <rFont val="Tahoma"/>
            <family val="2"/>
          </rPr>
          <t xml:space="preserve"> Rebecca Bernard:</t>
        </r>
        <r>
          <rPr>
            <sz val="8"/>
            <color indexed="81"/>
            <rFont val="Tahoma"/>
            <family val="2"/>
          </rPr>
          <t xml:space="preserve">
not on tickets but 2 wild kelts and 2 wild prespawn sampled.  </t>
        </r>
        <r>
          <rPr>
            <u/>
            <sz val="8"/>
            <color indexed="81"/>
            <rFont val="Tahoma"/>
            <family val="2"/>
          </rPr>
          <t>This is wild fish only</t>
        </r>
        <r>
          <rPr>
            <sz val="8"/>
            <color indexed="81"/>
            <rFont val="Tahoma"/>
            <family val="2"/>
          </rPr>
          <t xml:space="preserve"> with effective kelt adjustment for wild steelhead.   2 prespawned wild+ 2 kelt *6.61% BY 1989-2004 ave repeat spawner return rate=2.1 effective wild fish.  0 hatchery fish in catch. </t>
        </r>
      </text>
    </comment>
    <comment ref="AX258" authorId="0" shapeId="0" xr:uid="{00000000-0006-0000-0200-0000F8010000}">
      <text>
        <r>
          <rPr>
            <b/>
            <sz val="8"/>
            <color indexed="81"/>
            <rFont val="Tahoma"/>
            <family val="2"/>
          </rPr>
          <t xml:space="preserve"> Rebecca Bernard:</t>
        </r>
        <r>
          <rPr>
            <sz val="8"/>
            <color indexed="81"/>
            <rFont val="Tahoma"/>
            <family val="2"/>
          </rPr>
          <t xml:space="preserve">
Expansions from outside of workbook--see "steelhead age master".</t>
        </r>
      </text>
    </comment>
    <comment ref="AY258" authorId="0" shapeId="0" xr:uid="{00000000-0006-0000-0200-0000F9010000}">
      <text>
        <r>
          <rPr>
            <b/>
            <sz val="8"/>
            <color indexed="81"/>
            <rFont val="Tahoma"/>
            <family val="2"/>
          </rPr>
          <t xml:space="preserve"> Rebecca Bernard:</t>
        </r>
        <r>
          <rPr>
            <sz val="8"/>
            <color indexed="81"/>
            <rFont val="Tahoma"/>
            <family val="2"/>
          </rPr>
          <t xml:space="preserve">
not sampled for kelts--Expansions from outside of workbook--see "steelhead age master".  9.7 (10) prespawn and 13.9 (14) kelts calculated.  With effective kelt adjustment: 10 prespawned wild+14 kelt *6.61%  BY 1989-2004 ave repeat spawner return rate=10.9 effective wild fish.  No hatchery fish in catch.</t>
        </r>
      </text>
    </comment>
    <comment ref="AZ258" authorId="0" shapeId="0" xr:uid="{00000000-0006-0000-0200-0000FA010000}">
      <text>
        <r>
          <rPr>
            <b/>
            <sz val="8"/>
            <color indexed="81"/>
            <rFont val="Tahoma"/>
            <family val="2"/>
          </rPr>
          <t xml:space="preserve"> Rebecca Bernard:</t>
        </r>
        <r>
          <rPr>
            <sz val="8"/>
            <color indexed="81"/>
            <rFont val="Tahoma"/>
            <family val="2"/>
          </rPr>
          <t xml:space="preserve">
Expansions from outside of workbook--see "steelhead age master".</t>
        </r>
      </text>
    </comment>
    <comment ref="BA258" authorId="0" shapeId="0" xr:uid="{00000000-0006-0000-0200-0000FB010000}">
      <text>
        <r>
          <rPr>
            <b/>
            <sz val="8"/>
            <color indexed="81"/>
            <rFont val="Tahoma"/>
            <family val="2"/>
          </rPr>
          <t xml:space="preserve"> Rebecca Bernard:</t>
        </r>
        <r>
          <rPr>
            <sz val="8"/>
            <color indexed="81"/>
            <rFont val="Tahoma"/>
            <family val="2"/>
          </rPr>
          <t xml:space="preserve">
13.1 kelts and 10.8 prespawned (but not thoroughly sampled for kelts) and 1.1 hatchery.  Expansions from outside of workbook--see "steelhead age master".  With effective kelt adjustment: 11 prespawned wild+13 kelt *6.61% BY 1989-2004 ave repeat spawner return rate=11.9 effective wild fish.  1 hatchery fish in catch.</t>
        </r>
      </text>
    </comment>
    <comment ref="BC258" authorId="0" shapeId="0" xr:uid="{00000000-0006-0000-0200-0000FC010000}">
      <text>
        <r>
          <rPr>
            <b/>
            <sz val="8"/>
            <color indexed="81"/>
            <rFont val="Tahoma"/>
            <family val="2"/>
          </rPr>
          <t xml:space="preserve"> Rebecca Bernard:</t>
        </r>
        <r>
          <rPr>
            <sz val="8"/>
            <color indexed="81"/>
            <rFont val="Tahoma"/>
            <family val="2"/>
          </rPr>
          <t xml:space="preserve">
most evaluated for kelt and unspawned--13.1 total wild kelts and 5.9 total wild prespawn, no hathchery. Expansions from outside of workbook--see "steelhead age master".  With effective kelt adjustment:  6 prespawned wild+13 kelt *6.61% BY 1989-2004 ave repeat spawner return rate=6.9 effective wild fish.  No hatchery fish in catch.</t>
        </r>
      </text>
    </comment>
    <comment ref="BD258" authorId="1" shapeId="0" xr:uid="{00000000-0006-0000-0200-0000FD010000}">
      <text>
        <r>
          <rPr>
            <b/>
            <sz val="9"/>
            <color indexed="81"/>
            <rFont val="Tahoma"/>
            <family val="2"/>
          </rPr>
          <t>rbernard:</t>
        </r>
        <r>
          <rPr>
            <sz val="9"/>
            <color indexed="81"/>
            <rFont val="Tahoma"/>
            <family val="2"/>
          </rPr>
          <t xml:space="preserve">
10 from Swinomish: 6.7 prespawn and 3.3 kelts all wild; 22 from Upper Skagit 9 prespawn wild and 13 kelts (of which 2 were hatchery kelts).</t>
        </r>
      </text>
    </comment>
    <comment ref="BE258" authorId="1" shapeId="0" xr:uid="{00000000-0006-0000-0200-0000FE010000}">
      <text>
        <r>
          <rPr>
            <b/>
            <sz val="9"/>
            <color indexed="81"/>
            <rFont val="Tahoma"/>
            <family val="2"/>
          </rPr>
          <t>rbernard:</t>
        </r>
        <r>
          <rPr>
            <sz val="9"/>
            <color indexed="81"/>
            <rFont val="Tahoma"/>
            <family val="2"/>
          </rPr>
          <t xml:space="preserve">
10 from Swinomish: 6.7 prespawn and 3.3 kelts all wild; 22 from Upper Skagit 9 prespawn wild and 13 kelts (of which 2 were hatchery kelts).</t>
        </r>
      </text>
    </comment>
    <comment ref="BX258" authorId="2" shapeId="0" xr:uid="{00000000-0006-0000-0200-0000FF01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Sum is Swin A8 + Swin A78C + SSIT + USIT</t>
        </r>
      </text>
    </comment>
    <comment ref="BY258" authorId="2" shapeId="0" xr:uid="{00000000-0006-0000-0200-00000002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Sum is Swin A8 + Swin A78C + SSIT + USIT</t>
        </r>
      </text>
    </comment>
    <comment ref="CA258" authorId="2" shapeId="0" xr:uid="{00000000-0006-0000-0200-00000102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Sum is Swin A8 + Swin A78C + SSIT + USIT</t>
        </r>
      </text>
    </comment>
    <comment ref="CB258" authorId="2" shapeId="0" xr:uid="{00000000-0006-0000-0200-00000202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Sum is Swin A8 + Swin A78C + SSIT + USIT</t>
        </r>
      </text>
    </comment>
    <comment ref="CD258" authorId="2" shapeId="0" xr:uid="{00000000-0006-0000-0200-00000302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CE258" authorId="2" shapeId="0" xr:uid="{00000000-0006-0000-0200-00000402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CG258" authorId="2" shapeId="0" xr:uid="{00000000-0006-0000-0200-00000502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CH258" authorId="2" shapeId="0" xr:uid="{00000000-0006-0000-0200-00000602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CJ258" authorId="2" shapeId="0" xr:uid="{00000000-0006-0000-0200-000007020000}">
      <text>
        <r>
          <rPr>
            <b/>
            <sz val="9"/>
            <color indexed="81"/>
            <rFont val="Tahoma"/>
            <family val="2"/>
          </rPr>
          <t>Pete Kairis:</t>
        </r>
        <r>
          <rPr>
            <sz val="9"/>
            <color indexed="81"/>
            <rFont val="Tahoma"/>
            <family val="2"/>
          </rPr>
          <t xml:space="preserve">
Using H/W, and kelt/prespawn splits from 2017TreatyCommercialCatch spreadsheet, calculated independently for Swin, SSIT, and USIT (including their estimated release mortalities).  Sum is Swin A8 + Swin A78C + SSIT + USIT</t>
        </r>
      </text>
    </comment>
    <comment ref="CK258" authorId="2" shapeId="0" xr:uid="{00000000-0006-0000-0200-000008020000}">
      <text>
        <r>
          <rPr>
            <b/>
            <sz val="9"/>
            <color indexed="81"/>
            <rFont val="Tahoma"/>
            <family val="2"/>
          </rPr>
          <t>Pete Kairis:</t>
        </r>
        <r>
          <rPr>
            <sz val="9"/>
            <color indexed="81"/>
            <rFont val="Tahoma"/>
            <family val="2"/>
          </rPr>
          <t xml:space="preserve">
Using H/W, and kelt/prespawn splits from 2017TreatyCommercialCatch spreadsheet, calculated independently for Swin, SSIT, and USIT (including their estimated release mortalities).  Sum is Swin A8 + Swin A78C + SSIT + USIT</t>
        </r>
      </text>
    </comment>
    <comment ref="CM258" authorId="2" shapeId="0" xr:uid="{00000000-0006-0000-0200-000009020000}">
      <text>
        <r>
          <rPr>
            <b/>
            <sz val="9"/>
            <color indexed="81"/>
            <rFont val="Tahoma"/>
            <family val="2"/>
          </rPr>
          <t>Pete Kairis:</t>
        </r>
        <r>
          <rPr>
            <sz val="9"/>
            <color indexed="81"/>
            <rFont val="Tahoma"/>
            <family val="2"/>
          </rPr>
          <t xml:space="preserve">
Using H/W, and kelt/prespawn splits from 2017TreatyCommercialCatch spreadsheet, calculated independently for Swin, SSIT, and USIT (including their estimated release mortalities).  Sum is Swin A8 + Swin A78C + SSIT + USIT</t>
        </r>
      </text>
    </comment>
    <comment ref="CN258" authorId="2" shapeId="0" xr:uid="{00000000-0006-0000-0200-00000A020000}">
      <text>
        <r>
          <rPr>
            <b/>
            <sz val="9"/>
            <color indexed="81"/>
            <rFont val="Tahoma"/>
            <family val="2"/>
          </rPr>
          <t>Pete Kairis:</t>
        </r>
        <r>
          <rPr>
            <sz val="9"/>
            <color indexed="81"/>
            <rFont val="Tahoma"/>
            <family val="2"/>
          </rPr>
          <t xml:space="preserve">
Using H/W, and kelt/prespawn splits from 2017TreatyCommercialCatch spreadsheet, calculated independently for Swin, SSIT, and USIT (including their estimated release mortalities).  Sum is Swin A8 + Swin A78C + SSIT + USIT</t>
        </r>
      </text>
    </comment>
    <comment ref="M259" authorId="0" shapeId="0" xr:uid="{00000000-0006-0000-0200-00000B020000}">
      <text>
        <r>
          <rPr>
            <b/>
            <sz val="8"/>
            <color indexed="81"/>
            <rFont val="Tahoma"/>
            <family val="2"/>
          </rPr>
          <t xml:space="preserve"> Rebecca Bernard:</t>
        </r>
        <r>
          <rPr>
            <sz val="8"/>
            <color indexed="81"/>
            <rFont val="Tahoma"/>
            <family val="2"/>
          </rPr>
          <t xml:space="preserve">
</t>
        </r>
        <r>
          <rPr>
            <u/>
            <sz val="8"/>
            <color indexed="81"/>
            <rFont val="Tahoma"/>
            <family val="2"/>
          </rPr>
          <t>This is wild fish only</t>
        </r>
        <r>
          <rPr>
            <sz val="8"/>
            <color indexed="81"/>
            <rFont val="Tahoma"/>
            <family val="2"/>
          </rPr>
          <t xml:space="preserve"> with effective kelt adjustment for wild steelhead.   26.6 prespawned wild+ 68.7  kelt *6.61% BY 1989-2004 ave repeat spawner return rate=72.0 effective wild fish.  6.7 hatchery fish in catch carried through in cell L259.</t>
        </r>
      </text>
    </comment>
    <comment ref="AZ259" authorId="0" shapeId="0" xr:uid="{00000000-0006-0000-0200-00000C020000}">
      <text>
        <r>
          <rPr>
            <b/>
            <sz val="8"/>
            <color indexed="81"/>
            <rFont val="Tahoma"/>
            <family val="2"/>
          </rPr>
          <t xml:space="preserve"> Rebecca Bernard:</t>
        </r>
        <r>
          <rPr>
            <sz val="8"/>
            <color indexed="81"/>
            <rFont val="Tahoma"/>
            <family val="2"/>
          </rPr>
          <t xml:space="preserve">
Expansions from outside of workbook--see "steelhead age master".</t>
        </r>
      </text>
    </comment>
    <comment ref="BA259" authorId="0" shapeId="0" xr:uid="{00000000-0006-0000-0200-00000D020000}">
      <text>
        <r>
          <rPr>
            <b/>
            <sz val="8"/>
            <color indexed="81"/>
            <rFont val="Tahoma"/>
            <family val="2"/>
          </rPr>
          <t xml:space="preserve"> Rebecca Bernard:</t>
        </r>
        <r>
          <rPr>
            <sz val="8"/>
            <color indexed="81"/>
            <rFont val="Tahoma"/>
            <family val="2"/>
          </rPr>
          <t xml:space="preserve">
6.1 kelts and 2.5 prespawned (but not thoroughly sampled for kelts).  Expansions from outside of workbook--see "steelhead age master".  24.9 prespawn and 17.2 kelts calculated.  With effective kelt adjustment: 3 prespawned wild+ 6 kelt *6.61% BY 1989-2004 ave repeat spawner return rate=3.4 effective wild fish.  1 hatchery fish in catch.</t>
        </r>
      </text>
    </comment>
    <comment ref="BC259" authorId="0" shapeId="0" xr:uid="{00000000-0006-0000-0200-00000E020000}">
      <text>
        <r>
          <rPr>
            <b/>
            <sz val="8"/>
            <color indexed="81"/>
            <rFont val="Tahoma"/>
            <family val="2"/>
          </rPr>
          <t xml:space="preserve"> Rebecca Bernard:</t>
        </r>
        <r>
          <rPr>
            <sz val="8"/>
            <color indexed="81"/>
            <rFont val="Tahoma"/>
            <family val="2"/>
          </rPr>
          <t xml:space="preserve">
5 scale samples; but most of catch evaluated for H/W and kelts--11 total Kelts and 3 wild prespawn, no hatchery.  Expansions from outside of workbook--see "steelhead age master".  with effective kelt adjustment:  6 prespawned wild+ 13 kelt *6.61% BY 1989-2004 ave repeat spawner return rate=3.7 effective wild  fish.  No hatchery fish in catch.</t>
        </r>
      </text>
    </comment>
    <comment ref="BD259" authorId="1" shapeId="0" xr:uid="{00000000-0006-0000-0200-00000F020000}">
      <text>
        <r>
          <rPr>
            <b/>
            <sz val="9"/>
            <color indexed="81"/>
            <rFont val="Tahoma"/>
            <family val="2"/>
          </rPr>
          <t>rbernard:</t>
        </r>
        <r>
          <rPr>
            <sz val="9"/>
            <color indexed="81"/>
            <rFont val="Tahoma"/>
            <family val="2"/>
          </rPr>
          <t xml:space="preserve">
6 from Swinomish: 0 prespawn and 6 kelts all wild; 24 from Upper Skagit  sampled 14 prespawn wild and 6  kelts (of which 1 was hatchery kelt).</t>
        </r>
      </text>
    </comment>
    <comment ref="BE259" authorId="1" shapeId="0" xr:uid="{00000000-0006-0000-0200-000010020000}">
      <text>
        <r>
          <rPr>
            <b/>
            <sz val="9"/>
            <color indexed="81"/>
            <rFont val="Tahoma"/>
            <family val="2"/>
          </rPr>
          <t>rbernard:</t>
        </r>
        <r>
          <rPr>
            <sz val="9"/>
            <color indexed="81"/>
            <rFont val="Tahoma"/>
            <family val="2"/>
          </rPr>
          <t xml:space="preserve">
6 from Swinomish: 0 prespawn and 6 kelts all wild; 24 from Upper Skagit  sampled 14 prespawn wild and 6  kelts (of which 1 was hatchery kelt).</t>
        </r>
      </text>
    </comment>
    <comment ref="BX259" authorId="2" shapeId="0" xr:uid="{00000000-0006-0000-0200-00001102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Sum is Swin A8 + Swin A78C + SSIT + USIT</t>
        </r>
      </text>
    </comment>
    <comment ref="BY259" authorId="2" shapeId="0" xr:uid="{00000000-0006-0000-0200-00001202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Sum is Swin A8 + Swin A78C + SSIT + USIT</t>
        </r>
      </text>
    </comment>
    <comment ref="CA259" authorId="2" shapeId="0" xr:uid="{00000000-0006-0000-0200-00001302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Sum is Swin A8 + Swin A78C + SSIT + USIT</t>
        </r>
      </text>
    </comment>
    <comment ref="CB259" authorId="2" shapeId="0" xr:uid="{00000000-0006-0000-0200-00001402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Sum is Swin A8 + Swin A78C + SSIT + USIT</t>
        </r>
      </text>
    </comment>
    <comment ref="CD259" authorId="2" shapeId="0" xr:uid="{00000000-0006-0000-0200-00001502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CE259" authorId="2" shapeId="0" xr:uid="{00000000-0006-0000-0200-00001602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CG259" authorId="2" shapeId="0" xr:uid="{00000000-0006-0000-0200-00001702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CH259" authorId="2" shapeId="0" xr:uid="{00000000-0006-0000-0200-00001802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CJ259" authorId="2" shapeId="0" xr:uid="{00000000-0006-0000-0200-000019020000}">
      <text>
        <r>
          <rPr>
            <b/>
            <sz val="9"/>
            <color indexed="81"/>
            <rFont val="Tahoma"/>
            <family val="2"/>
          </rPr>
          <t>Pete Kairis:</t>
        </r>
        <r>
          <rPr>
            <sz val="9"/>
            <color indexed="81"/>
            <rFont val="Tahoma"/>
            <family val="2"/>
          </rPr>
          <t xml:space="preserve">
Using H/W, and kelt/prespawn splits from 2017TreatyCommercialCatch spreadsheet, calculated independently for Swin, SSIT, and USIT (including their estimated release mortalities).  Sum is Swin A8 + Swin A78C + SSIT + USIT</t>
        </r>
      </text>
    </comment>
    <comment ref="CK259" authorId="2" shapeId="0" xr:uid="{00000000-0006-0000-0200-00001A020000}">
      <text>
        <r>
          <rPr>
            <b/>
            <sz val="9"/>
            <color indexed="81"/>
            <rFont val="Tahoma"/>
            <family val="2"/>
          </rPr>
          <t>Pete Kairis:</t>
        </r>
        <r>
          <rPr>
            <sz val="9"/>
            <color indexed="81"/>
            <rFont val="Tahoma"/>
            <family val="2"/>
          </rPr>
          <t xml:space="preserve">
Using H/W, and kelt/prespawn splits from 2017TreatyCommercialCatch spreadsheet, calculated independently for Swin, SSIT, and USIT (including their estimated release mortalities).  Sum is Swin A8 + Swin A78C + SSIT + USIT</t>
        </r>
      </text>
    </comment>
    <comment ref="CM259" authorId="2" shapeId="0" xr:uid="{00000000-0006-0000-0200-00001B020000}">
      <text>
        <r>
          <rPr>
            <b/>
            <sz val="9"/>
            <color indexed="81"/>
            <rFont val="Tahoma"/>
            <family val="2"/>
          </rPr>
          <t>Pete Kairis:</t>
        </r>
        <r>
          <rPr>
            <sz val="9"/>
            <color indexed="81"/>
            <rFont val="Tahoma"/>
            <family val="2"/>
          </rPr>
          <t xml:space="preserve">
Using H/W, and kelt/prespawn splits from 2017TreatyCommercialCatch spreadsheet, calculated independently for Swin, SSIT, and USIT (including their estimated release mortalities).  Sum is Swin A8 + Swin A78C + SSIT + USIT</t>
        </r>
      </text>
    </comment>
    <comment ref="CN259" authorId="2" shapeId="0" xr:uid="{00000000-0006-0000-0200-00001C020000}">
      <text>
        <r>
          <rPr>
            <b/>
            <sz val="9"/>
            <color indexed="81"/>
            <rFont val="Tahoma"/>
            <family val="2"/>
          </rPr>
          <t>Pete Kairis:</t>
        </r>
        <r>
          <rPr>
            <sz val="9"/>
            <color indexed="81"/>
            <rFont val="Tahoma"/>
            <family val="2"/>
          </rPr>
          <t xml:space="preserve">
Using H/W, and kelt/prespawn splits from 2017TreatyCommercialCatch spreadsheet, calculated independently for Swin, SSIT, and USIT (including their estimated release mortalities).  Sum is Swin A8 + Swin A78C + SSIT + USIT</t>
        </r>
      </text>
    </comment>
    <comment ref="M260" authorId="0" shapeId="0" xr:uid="{00000000-0006-0000-0200-00001D020000}">
      <text>
        <r>
          <rPr>
            <b/>
            <sz val="8"/>
            <color indexed="81"/>
            <rFont val="Tahoma"/>
            <family val="2"/>
          </rPr>
          <t xml:space="preserve"> Rebecca Bernard:</t>
        </r>
        <r>
          <rPr>
            <sz val="8"/>
            <color indexed="81"/>
            <rFont val="Tahoma"/>
            <family val="2"/>
          </rPr>
          <t xml:space="preserve">
</t>
        </r>
        <r>
          <rPr>
            <u/>
            <sz val="8"/>
            <color indexed="81"/>
            <rFont val="Tahoma"/>
            <family val="2"/>
          </rPr>
          <t>This is wild fish only</t>
        </r>
        <r>
          <rPr>
            <sz val="8"/>
            <color indexed="81"/>
            <rFont val="Tahoma"/>
            <family val="2"/>
          </rPr>
          <t xml:space="preserve"> with effective kelt adjustment for wild steelhead.  8.3 prespawned wild+ 8.3 kelt *6.61% BY 1989-2004 ave repeat spawner return rate=25.1 effective wild fish.  1.4 hatchery fish in catch carried through in cell L260.</t>
        </r>
      </text>
    </comment>
    <comment ref="AX260" authorId="0" shapeId="0" xr:uid="{00000000-0006-0000-0200-00001E020000}">
      <text>
        <r>
          <rPr>
            <b/>
            <sz val="8"/>
            <color indexed="81"/>
            <rFont val="Tahoma"/>
            <family val="2"/>
          </rPr>
          <t xml:space="preserve"> Rebecca Bernard:</t>
        </r>
        <r>
          <rPr>
            <sz val="8"/>
            <color indexed="81"/>
            <rFont val="Tahoma"/>
            <family val="2"/>
          </rPr>
          <t xml:space="preserve">
Expansions from outside of workbook--see "steelhead age master".</t>
        </r>
      </text>
    </comment>
    <comment ref="AY260" authorId="0" shapeId="0" xr:uid="{00000000-0006-0000-0200-00001F020000}">
      <text>
        <r>
          <rPr>
            <b/>
            <sz val="8"/>
            <color indexed="81"/>
            <rFont val="Tahoma"/>
            <family val="2"/>
          </rPr>
          <t xml:space="preserve"> Rebecca Bernard:</t>
        </r>
        <r>
          <rPr>
            <sz val="8"/>
            <color indexed="81"/>
            <rFont val="Tahoma"/>
            <family val="2"/>
          </rPr>
          <t xml:space="preserve">
not sampled for kelts--only one noted.  Expansions from outside of workbook--see "steelhead age master".  2.5 (3) prespawn and 6.1 (6)  kelts calculated.  With effective kelt adjustment:  3 prespawned wild+ 6 kelt *6.61% BY 1989-2004 ave repeat spawner return rate=3.4 effective wild fish.  No hatchery fish in catch.</t>
        </r>
      </text>
    </comment>
    <comment ref="M261" authorId="0" shapeId="0" xr:uid="{00000000-0006-0000-0200-000020020000}">
      <text>
        <r>
          <rPr>
            <b/>
            <sz val="8"/>
            <color indexed="81"/>
            <rFont val="Tahoma"/>
            <family val="2"/>
          </rPr>
          <t xml:space="preserve"> Rebecca Bernard:</t>
        </r>
        <r>
          <rPr>
            <sz val="8"/>
            <color indexed="81"/>
            <rFont val="Tahoma"/>
            <family val="2"/>
          </rPr>
          <t xml:space="preserve">
</t>
        </r>
        <r>
          <rPr>
            <u/>
            <sz val="8"/>
            <color indexed="81"/>
            <rFont val="Tahoma"/>
            <family val="2"/>
          </rPr>
          <t>This is wild fish only</t>
        </r>
        <r>
          <rPr>
            <sz val="8"/>
            <color indexed="81"/>
            <rFont val="Tahoma"/>
            <family val="2"/>
          </rPr>
          <t xml:space="preserve"> with effective kelt adjustment for wild steelhead.   0 prespawned wild+ 5 kelt *6.61% BY 1989-2004 ave repeat spawner return rate=0.3 effective wild fish. 0 hatchery fish in catch.</t>
        </r>
      </text>
    </comment>
    <comment ref="M262" authorId="0" shapeId="0" xr:uid="{00000000-0006-0000-0200-000021020000}">
      <text>
        <r>
          <rPr>
            <b/>
            <sz val="8"/>
            <color indexed="81"/>
            <rFont val="Tahoma"/>
            <family val="2"/>
          </rPr>
          <t xml:space="preserve"> Rebecca Bernard:</t>
        </r>
        <r>
          <rPr>
            <sz val="8"/>
            <color indexed="81"/>
            <rFont val="Tahoma"/>
            <family val="2"/>
          </rPr>
          <t xml:space="preserve">
6 wild kelts and 1 wild prespawn--but only 6 on tickets.  </t>
        </r>
        <r>
          <rPr>
            <u/>
            <sz val="8"/>
            <color indexed="81"/>
            <rFont val="Tahoma"/>
            <family val="2"/>
          </rPr>
          <t>This is wild fish only</t>
        </r>
        <r>
          <rPr>
            <sz val="8"/>
            <color indexed="81"/>
            <rFont val="Tahoma"/>
            <family val="2"/>
          </rPr>
          <t xml:space="preserve"> with effective kelt adjustment for wild steelhead.   1 prespawned wild+ 6 kelt *6.61% BY 1989-2004 ave repeat spawner return rate=1.4 effective wild fish.  0 hatchery fish in catch.</t>
        </r>
      </text>
    </comment>
    <comment ref="F263" authorId="0" shapeId="0" xr:uid="{00000000-0006-0000-0200-000022020000}">
      <text>
        <r>
          <rPr>
            <b/>
            <sz val="8"/>
            <color indexed="81"/>
            <rFont val="Tahoma"/>
            <family val="2"/>
          </rPr>
          <t xml:space="preserve"> Rebecca Bernard:</t>
        </r>
        <r>
          <rPr>
            <sz val="8"/>
            <color indexed="81"/>
            <rFont val="Tahoma"/>
            <family val="2"/>
          </rPr>
          <t xml:space="preserve">
used same week 1994 for proportions</t>
        </r>
      </text>
    </comment>
    <comment ref="G263" authorId="0" shapeId="0" xr:uid="{00000000-0006-0000-0200-000023020000}">
      <text>
        <r>
          <rPr>
            <b/>
            <sz val="8"/>
            <color indexed="81"/>
            <rFont val="Tahoma"/>
            <family val="2"/>
          </rPr>
          <t xml:space="preserve"> Rebecca Bernard:</t>
        </r>
        <r>
          <rPr>
            <sz val="8"/>
            <color indexed="81"/>
            <rFont val="Tahoma"/>
            <family val="2"/>
          </rPr>
          <t xml:space="preserve">
used same week 1994 for proportions</t>
        </r>
      </text>
    </comment>
    <comment ref="H263" authorId="0" shapeId="0" xr:uid="{00000000-0006-0000-0200-000024020000}">
      <text>
        <r>
          <rPr>
            <b/>
            <sz val="8"/>
            <color indexed="81"/>
            <rFont val="Tahoma"/>
            <family val="2"/>
          </rPr>
          <t xml:space="preserve"> Rebecca Bernard:</t>
        </r>
        <r>
          <rPr>
            <sz val="8"/>
            <color indexed="81"/>
            <rFont val="Tahoma"/>
            <family val="2"/>
          </rPr>
          <t xml:space="preserve">
used same week 1994 for proportions</t>
        </r>
      </text>
    </comment>
    <comment ref="I263" authorId="0" shapeId="0" xr:uid="{00000000-0006-0000-0200-000025020000}">
      <text>
        <r>
          <rPr>
            <b/>
            <sz val="8"/>
            <color indexed="81"/>
            <rFont val="Tahoma"/>
            <family val="2"/>
          </rPr>
          <t xml:space="preserve"> Rebecca Bernard:</t>
        </r>
        <r>
          <rPr>
            <sz val="8"/>
            <color indexed="81"/>
            <rFont val="Tahoma"/>
            <family val="2"/>
          </rPr>
          <t xml:space="preserve">
used same week 1994 for proportions</t>
        </r>
      </text>
    </comment>
    <comment ref="L263" authorId="0" shapeId="0" xr:uid="{00000000-0006-0000-0200-000026020000}">
      <text>
        <r>
          <rPr>
            <b/>
            <sz val="8"/>
            <color indexed="81"/>
            <rFont val="Tahoma"/>
            <family val="2"/>
          </rPr>
          <t xml:space="preserve"> Rebecca Bernard:</t>
        </r>
        <r>
          <rPr>
            <sz val="8"/>
            <color indexed="81"/>
            <rFont val="Tahoma"/>
            <family val="2"/>
          </rPr>
          <t xml:space="preserve">
usd week 24 proportions</t>
        </r>
      </text>
    </comment>
    <comment ref="M263" authorId="0" shapeId="0" xr:uid="{00000000-0006-0000-0200-000027020000}">
      <text>
        <r>
          <rPr>
            <b/>
            <sz val="8"/>
            <color indexed="81"/>
            <rFont val="Tahoma"/>
            <family val="2"/>
          </rPr>
          <t xml:space="preserve"> Rebecca Bernard:</t>
        </r>
        <r>
          <rPr>
            <sz val="8"/>
            <color indexed="81"/>
            <rFont val="Tahoma"/>
            <family val="2"/>
          </rPr>
          <t xml:space="preserve">
usd week 24 proportions</t>
        </r>
      </text>
    </comment>
    <comment ref="P263" authorId="0" shapeId="0" xr:uid="{00000000-0006-0000-0200-000028020000}">
      <text>
        <r>
          <rPr>
            <b/>
            <sz val="8"/>
            <color indexed="81"/>
            <rFont val="Tahoma"/>
            <family val="2"/>
          </rPr>
          <t xml:space="preserve"> Rebecca Bernard:</t>
        </r>
        <r>
          <rPr>
            <sz val="8"/>
            <color indexed="81"/>
            <rFont val="Tahoma"/>
            <family val="2"/>
          </rPr>
          <t xml:space="preserve">
used same week 1994 for proportions</t>
        </r>
      </text>
    </comment>
    <comment ref="Q263" authorId="0" shapeId="0" xr:uid="{00000000-0006-0000-0200-000029020000}">
      <text>
        <r>
          <rPr>
            <b/>
            <sz val="8"/>
            <color indexed="81"/>
            <rFont val="Tahoma"/>
            <family val="2"/>
          </rPr>
          <t xml:space="preserve"> Rebecca Bernard:</t>
        </r>
        <r>
          <rPr>
            <sz val="8"/>
            <color indexed="81"/>
            <rFont val="Tahoma"/>
            <family val="2"/>
          </rPr>
          <t xml:space="preserve">
used same week 1994 for proportions</t>
        </r>
      </text>
    </comment>
    <comment ref="R263" authorId="0" shapeId="0" xr:uid="{00000000-0006-0000-0200-00002A020000}">
      <text>
        <r>
          <rPr>
            <b/>
            <sz val="8"/>
            <color indexed="81"/>
            <rFont val="Tahoma"/>
            <family val="2"/>
          </rPr>
          <t xml:space="preserve"> Rebecca Bernard:</t>
        </r>
        <r>
          <rPr>
            <sz val="8"/>
            <color indexed="81"/>
            <rFont val="Tahoma"/>
            <family val="2"/>
          </rPr>
          <t xml:space="preserve">
used week before's proportions</t>
        </r>
      </text>
    </comment>
    <comment ref="S263" authorId="0" shapeId="0" xr:uid="{00000000-0006-0000-0200-00002B020000}">
      <text>
        <r>
          <rPr>
            <b/>
            <sz val="8"/>
            <color indexed="81"/>
            <rFont val="Tahoma"/>
            <family val="2"/>
          </rPr>
          <t xml:space="preserve"> Rebecca Bernard:</t>
        </r>
        <r>
          <rPr>
            <sz val="8"/>
            <color indexed="81"/>
            <rFont val="Tahoma"/>
            <family val="2"/>
          </rPr>
          <t xml:space="preserve">
used week before's proportions</t>
        </r>
      </text>
    </comment>
    <comment ref="T263" authorId="0" shapeId="0" xr:uid="{00000000-0006-0000-0200-00002C020000}">
      <text>
        <r>
          <rPr>
            <b/>
            <sz val="8"/>
            <color indexed="81"/>
            <rFont val="Tahoma"/>
            <family val="2"/>
          </rPr>
          <t xml:space="preserve"> Rebecca Bernard:</t>
        </r>
        <r>
          <rPr>
            <sz val="8"/>
            <color indexed="81"/>
            <rFont val="Tahoma"/>
            <family val="2"/>
          </rPr>
          <t xml:space="preserve">
used week before's proportions</t>
        </r>
      </text>
    </comment>
    <comment ref="U263" authorId="0" shapeId="0" xr:uid="{00000000-0006-0000-0200-00002D020000}">
      <text>
        <r>
          <rPr>
            <b/>
            <sz val="8"/>
            <color indexed="81"/>
            <rFont val="Tahoma"/>
            <family val="2"/>
          </rPr>
          <t xml:space="preserve"> Rebecca Bernard:</t>
        </r>
        <r>
          <rPr>
            <sz val="8"/>
            <color indexed="81"/>
            <rFont val="Tahoma"/>
            <family val="2"/>
          </rPr>
          <t xml:space="preserve">
used week before's proportions</t>
        </r>
      </text>
    </comment>
    <comment ref="BR263" authorId="2" shapeId="0" xr:uid="{00000000-0006-0000-0200-00002E020000}">
      <text>
        <r>
          <rPr>
            <b/>
            <sz val="9"/>
            <color indexed="81"/>
            <rFont val="Tahoma"/>
            <family val="2"/>
          </rPr>
          <t>Pete Kairis:</t>
        </r>
        <r>
          <rPr>
            <sz val="9"/>
            <color indexed="81"/>
            <rFont val="Tahoma"/>
            <family val="2"/>
          </rPr>
          <t xml:space="preserve">
No samples this week, so using following week.</t>
        </r>
      </text>
    </comment>
    <comment ref="BS263" authorId="2" shapeId="0" xr:uid="{00000000-0006-0000-0200-00002F020000}">
      <text>
        <r>
          <rPr>
            <b/>
            <sz val="9"/>
            <color indexed="81"/>
            <rFont val="Tahoma"/>
            <family val="2"/>
          </rPr>
          <t>Pete Kairis:</t>
        </r>
        <r>
          <rPr>
            <sz val="9"/>
            <color indexed="81"/>
            <rFont val="Tahoma"/>
            <family val="2"/>
          </rPr>
          <t xml:space="preserve">
No samples this week, so using following week.</t>
        </r>
      </text>
    </comment>
    <comment ref="BT263" authorId="2" shapeId="0" xr:uid="{00000000-0006-0000-0200-000030020000}">
      <text>
        <r>
          <rPr>
            <b/>
            <sz val="9"/>
            <color indexed="81"/>
            <rFont val="Tahoma"/>
            <family val="2"/>
          </rPr>
          <t>Pete Kairis:</t>
        </r>
        <r>
          <rPr>
            <sz val="9"/>
            <color indexed="81"/>
            <rFont val="Tahoma"/>
            <family val="2"/>
          </rPr>
          <t xml:space="preserve">
No samples this week, so using following week.</t>
        </r>
      </text>
    </comment>
    <comment ref="BU263" authorId="2" shapeId="0" xr:uid="{00000000-0006-0000-0200-000031020000}">
      <text>
        <r>
          <rPr>
            <b/>
            <sz val="9"/>
            <color indexed="81"/>
            <rFont val="Tahoma"/>
            <family val="2"/>
          </rPr>
          <t>Pete Kairis:</t>
        </r>
        <r>
          <rPr>
            <sz val="9"/>
            <color indexed="81"/>
            <rFont val="Tahoma"/>
            <family val="2"/>
          </rPr>
          <t xml:space="preserve">
No samples this week, so using following week.</t>
        </r>
      </text>
    </comment>
    <comment ref="BV263" authorId="2" shapeId="0" xr:uid="{00000000-0006-0000-0200-000032020000}">
      <text>
        <r>
          <rPr>
            <b/>
            <sz val="9"/>
            <color indexed="81"/>
            <rFont val="Tahoma"/>
            <family val="2"/>
          </rPr>
          <t>Pete Kairis:</t>
        </r>
        <r>
          <rPr>
            <sz val="9"/>
            <color indexed="81"/>
            <rFont val="Tahoma"/>
            <family val="2"/>
          </rPr>
          <t xml:space="preserve">
No samples this week, so using following week.</t>
        </r>
      </text>
    </comment>
    <comment ref="BW263" authorId="2" shapeId="0" xr:uid="{00000000-0006-0000-0200-000033020000}">
      <text>
        <r>
          <rPr>
            <b/>
            <sz val="9"/>
            <color indexed="81"/>
            <rFont val="Tahoma"/>
            <family val="2"/>
          </rPr>
          <t>Pete Kairis:</t>
        </r>
        <r>
          <rPr>
            <sz val="9"/>
            <color indexed="81"/>
            <rFont val="Tahoma"/>
            <family val="2"/>
          </rPr>
          <t xml:space="preserve">
No samples this week, so using following week.</t>
        </r>
      </text>
    </comment>
    <comment ref="A264" authorId="0" shapeId="0" xr:uid="{00000000-0006-0000-0200-000034020000}">
      <text>
        <r>
          <rPr>
            <b/>
            <sz val="8"/>
            <color indexed="81"/>
            <rFont val="Tahoma"/>
            <family val="2"/>
          </rPr>
          <t xml:space="preserve"> Rebecca Bernard:</t>
        </r>
        <r>
          <rPr>
            <sz val="8"/>
            <color indexed="81"/>
            <rFont val="Tahoma"/>
            <family val="2"/>
          </rPr>
          <t xml:space="preserve">
end of management season</t>
        </r>
      </text>
    </comment>
    <comment ref="D264" authorId="0" shapeId="0" xr:uid="{00000000-0006-0000-0200-000035020000}">
      <text>
        <r>
          <rPr>
            <b/>
            <sz val="8"/>
            <color indexed="81"/>
            <rFont val="Tahoma"/>
            <family val="2"/>
          </rPr>
          <t xml:space="preserve"> Rebecca Bernard:</t>
        </r>
        <r>
          <rPr>
            <sz val="8"/>
            <color indexed="81"/>
            <rFont val="Tahoma"/>
            <family val="2"/>
          </rPr>
          <t xml:space="preserve">
used same week in 1993 for proportions</t>
        </r>
      </text>
    </comment>
    <comment ref="E264" authorId="0" shapeId="0" xr:uid="{00000000-0006-0000-0200-000036020000}">
      <text>
        <r>
          <rPr>
            <b/>
            <sz val="8"/>
            <color indexed="81"/>
            <rFont val="Tahoma"/>
            <family val="2"/>
          </rPr>
          <t xml:space="preserve"> Rebecca Bernard:</t>
        </r>
        <r>
          <rPr>
            <sz val="8"/>
            <color indexed="81"/>
            <rFont val="Tahoma"/>
            <family val="2"/>
          </rPr>
          <t xml:space="preserve">
used same week in 1993 for proportions</t>
        </r>
      </text>
    </comment>
    <comment ref="F264" authorId="0" shapeId="0" xr:uid="{00000000-0006-0000-0200-000037020000}">
      <text>
        <r>
          <rPr>
            <b/>
            <sz val="8"/>
            <color indexed="81"/>
            <rFont val="Tahoma"/>
            <family val="2"/>
          </rPr>
          <t xml:space="preserve"> Rebecca Bernard:</t>
        </r>
        <r>
          <rPr>
            <sz val="8"/>
            <color indexed="81"/>
            <rFont val="Tahoma"/>
            <family val="2"/>
          </rPr>
          <t xml:space="preserve">
used same week in 1993 for proportions</t>
        </r>
      </text>
    </comment>
    <comment ref="G264" authorId="0" shapeId="0" xr:uid="{00000000-0006-0000-0200-000038020000}">
      <text>
        <r>
          <rPr>
            <b/>
            <sz val="8"/>
            <color indexed="81"/>
            <rFont val="Tahoma"/>
            <family val="2"/>
          </rPr>
          <t xml:space="preserve"> Rebecca Bernard:</t>
        </r>
        <r>
          <rPr>
            <sz val="8"/>
            <color indexed="81"/>
            <rFont val="Tahoma"/>
            <family val="2"/>
          </rPr>
          <t xml:space="preserve">
used same week in 1993 for proportions</t>
        </r>
      </text>
    </comment>
    <comment ref="H264" authorId="0" shapeId="0" xr:uid="{00000000-0006-0000-0200-000039020000}">
      <text>
        <r>
          <rPr>
            <b/>
            <sz val="8"/>
            <color indexed="81"/>
            <rFont val="Tahoma"/>
            <family val="2"/>
          </rPr>
          <t xml:space="preserve"> Rebecca Bernard:</t>
        </r>
        <r>
          <rPr>
            <sz val="8"/>
            <color indexed="81"/>
            <rFont val="Tahoma"/>
            <family val="2"/>
          </rPr>
          <t xml:space="preserve">
used same week in 1993 for proportions</t>
        </r>
      </text>
    </comment>
    <comment ref="I264" authorId="0" shapeId="0" xr:uid="{00000000-0006-0000-0200-00003A020000}">
      <text>
        <r>
          <rPr>
            <b/>
            <sz val="8"/>
            <color indexed="81"/>
            <rFont val="Tahoma"/>
            <family val="2"/>
          </rPr>
          <t xml:space="preserve"> Rebecca Bernard:</t>
        </r>
        <r>
          <rPr>
            <sz val="8"/>
            <color indexed="81"/>
            <rFont val="Tahoma"/>
            <family val="2"/>
          </rPr>
          <t xml:space="preserve">
used same week in 1993 for proportions</t>
        </r>
      </text>
    </comment>
    <comment ref="J264" authorId="0" shapeId="0" xr:uid="{00000000-0006-0000-0200-00003B020000}">
      <text>
        <r>
          <rPr>
            <b/>
            <sz val="8"/>
            <color indexed="81"/>
            <rFont val="Tahoma"/>
            <family val="2"/>
          </rPr>
          <t xml:space="preserve"> Rebecca Bernard:</t>
        </r>
        <r>
          <rPr>
            <sz val="8"/>
            <color indexed="81"/>
            <rFont val="Tahoma"/>
            <family val="2"/>
          </rPr>
          <t xml:space="preserve">
used same week in 1993 for proportions</t>
        </r>
      </text>
    </comment>
    <comment ref="K264" authorId="0" shapeId="0" xr:uid="{00000000-0006-0000-0200-00003C020000}">
      <text>
        <r>
          <rPr>
            <b/>
            <sz val="8"/>
            <color indexed="81"/>
            <rFont val="Tahoma"/>
            <family val="2"/>
          </rPr>
          <t xml:space="preserve"> Rebecca Bernard:</t>
        </r>
        <r>
          <rPr>
            <sz val="8"/>
            <color indexed="81"/>
            <rFont val="Tahoma"/>
            <family val="2"/>
          </rPr>
          <t xml:space="preserve">
used same week in 1993 for proportions</t>
        </r>
      </text>
    </comment>
    <comment ref="L264" authorId="0" shapeId="0" xr:uid="{00000000-0006-0000-0200-00003D020000}">
      <text>
        <r>
          <rPr>
            <b/>
            <sz val="8"/>
            <color indexed="81"/>
            <rFont val="Tahoma"/>
            <family val="2"/>
          </rPr>
          <t xml:space="preserve"> Rebecca Bernard:</t>
        </r>
        <r>
          <rPr>
            <sz val="8"/>
            <color indexed="81"/>
            <rFont val="Tahoma"/>
            <family val="2"/>
          </rPr>
          <t xml:space="preserve">
usd week 24 proportions</t>
        </r>
      </text>
    </comment>
    <comment ref="M264" authorId="0" shapeId="0" xr:uid="{00000000-0006-0000-0200-00003E020000}">
      <text>
        <r>
          <rPr>
            <b/>
            <sz val="8"/>
            <color indexed="81"/>
            <rFont val="Tahoma"/>
            <family val="2"/>
          </rPr>
          <t xml:space="preserve"> Rebecca Bernard:</t>
        </r>
        <r>
          <rPr>
            <sz val="8"/>
            <color indexed="81"/>
            <rFont val="Tahoma"/>
            <family val="2"/>
          </rPr>
          <t xml:space="preserve">
usd week 24 proportions</t>
        </r>
      </text>
    </comment>
    <comment ref="P264" authorId="0" shapeId="0" xr:uid="{00000000-0006-0000-0200-00003F020000}">
      <text>
        <r>
          <rPr>
            <b/>
            <sz val="8"/>
            <color indexed="81"/>
            <rFont val="Tahoma"/>
            <family val="2"/>
          </rPr>
          <t xml:space="preserve"> Rebecca Bernard:</t>
        </r>
        <r>
          <rPr>
            <sz val="8"/>
            <color indexed="81"/>
            <rFont val="Tahoma"/>
            <family val="2"/>
          </rPr>
          <t xml:space="preserve">
used same week in 1993 for proportions</t>
        </r>
      </text>
    </comment>
    <comment ref="Q264" authorId="0" shapeId="0" xr:uid="{00000000-0006-0000-0200-000040020000}">
      <text>
        <r>
          <rPr>
            <b/>
            <sz val="8"/>
            <color indexed="81"/>
            <rFont val="Tahoma"/>
            <family val="2"/>
          </rPr>
          <t xml:space="preserve"> Rebecca Bernard:</t>
        </r>
        <r>
          <rPr>
            <sz val="8"/>
            <color indexed="81"/>
            <rFont val="Tahoma"/>
            <family val="2"/>
          </rPr>
          <t xml:space="preserve">
used same week in 1993 for proportions</t>
        </r>
      </text>
    </comment>
    <comment ref="R264" authorId="0" shapeId="0" xr:uid="{00000000-0006-0000-0200-000041020000}">
      <text>
        <r>
          <rPr>
            <b/>
            <sz val="8"/>
            <color indexed="81"/>
            <rFont val="Tahoma"/>
            <family val="2"/>
          </rPr>
          <t xml:space="preserve"> Rebecca Bernard:</t>
        </r>
        <r>
          <rPr>
            <sz val="8"/>
            <color indexed="81"/>
            <rFont val="Tahoma"/>
            <family val="2"/>
          </rPr>
          <t xml:space="preserve">
used week 24 proportions</t>
        </r>
      </text>
    </comment>
    <comment ref="S264" authorId="0" shapeId="0" xr:uid="{00000000-0006-0000-0200-000042020000}">
      <text>
        <r>
          <rPr>
            <b/>
            <sz val="8"/>
            <color indexed="81"/>
            <rFont val="Tahoma"/>
            <family val="2"/>
          </rPr>
          <t xml:space="preserve"> Rebecca Bernard:</t>
        </r>
        <r>
          <rPr>
            <sz val="8"/>
            <color indexed="81"/>
            <rFont val="Tahoma"/>
            <family val="2"/>
          </rPr>
          <t xml:space="preserve">
used week 24 proportions</t>
        </r>
      </text>
    </comment>
    <comment ref="BD264" authorId="1" shapeId="0" xr:uid="{00000000-0006-0000-0200-000043020000}">
      <text>
        <r>
          <rPr>
            <b/>
            <sz val="9"/>
            <color indexed="81"/>
            <rFont val="Tahoma"/>
            <family val="2"/>
          </rPr>
          <t>rbernard:</t>
        </r>
        <r>
          <rPr>
            <sz val="9"/>
            <color indexed="81"/>
            <rFont val="Tahoma"/>
            <family val="2"/>
          </rPr>
          <t xml:space="preserve">
Swinomish catch during the sockeye fishery--6 wild kelts and 2 prespawn hatchery fish</t>
        </r>
      </text>
    </comment>
    <comment ref="BE264" authorId="1" shapeId="0" xr:uid="{00000000-0006-0000-0200-000044020000}">
      <text>
        <r>
          <rPr>
            <b/>
            <sz val="9"/>
            <color indexed="81"/>
            <rFont val="Tahoma"/>
            <family val="2"/>
          </rPr>
          <t>rbernard:</t>
        </r>
        <r>
          <rPr>
            <sz val="9"/>
            <color indexed="81"/>
            <rFont val="Tahoma"/>
            <family val="2"/>
          </rPr>
          <t xml:space="preserve">
Swinomish catch during the sockeye fishery--6 wild kelts adjusted, and 2 prespawn hatchery fish</t>
        </r>
      </text>
    </comment>
    <comment ref="BL264" authorId="2" shapeId="0" xr:uid="{00000000-0006-0000-0200-000045020000}">
      <text>
        <r>
          <rPr>
            <b/>
            <sz val="9"/>
            <color indexed="81"/>
            <rFont val="Tahoma"/>
            <family val="2"/>
          </rPr>
          <t>Pete Kairis:</t>
        </r>
        <r>
          <rPr>
            <sz val="9"/>
            <color indexed="81"/>
            <rFont val="Tahoma"/>
            <family val="2"/>
          </rPr>
          <t xml:space="preserve">
The hatchery fish was unknown kelt/prespawn, and no no other hatchery fish in sample, so using following week's ratio.</t>
        </r>
      </text>
    </comment>
    <comment ref="BM264" authorId="2" shapeId="0" xr:uid="{00000000-0006-0000-0200-000046020000}">
      <text>
        <r>
          <rPr>
            <b/>
            <sz val="9"/>
            <color indexed="81"/>
            <rFont val="Tahoma"/>
            <family val="2"/>
          </rPr>
          <t>Pete Kairis:</t>
        </r>
        <r>
          <rPr>
            <sz val="9"/>
            <color indexed="81"/>
            <rFont val="Tahoma"/>
            <family val="2"/>
          </rPr>
          <t xml:space="preserve">
The hatchery fish was unknown kelt/prespawn, and no no other hatchery fish in sample, so using following week's ratio.</t>
        </r>
      </text>
    </comment>
    <comment ref="CD264" authorId="2" shapeId="0" xr:uid="{00000000-0006-0000-0200-00004702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CE264" authorId="2" shapeId="0" xr:uid="{00000000-0006-0000-0200-00004802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CG264" authorId="2" shapeId="0" xr:uid="{00000000-0006-0000-0200-00004902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CH264" authorId="2" shapeId="0" xr:uid="{00000000-0006-0000-0200-00004A02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A265" authorId="0" shapeId="0" xr:uid="{00000000-0006-0000-0200-00004B020000}">
      <text>
        <r>
          <rPr>
            <b/>
            <sz val="8"/>
            <color indexed="81"/>
            <rFont val="Tahoma"/>
            <family val="2"/>
          </rPr>
          <t xml:space="preserve"> Rebecca Bernard:</t>
        </r>
        <r>
          <rPr>
            <sz val="8"/>
            <color indexed="81"/>
            <rFont val="Tahoma"/>
            <family val="2"/>
          </rPr>
          <t xml:space="preserve">
start of new management season</t>
        </r>
      </text>
    </comment>
    <comment ref="D265" authorId="0" shapeId="0" xr:uid="{00000000-0006-0000-0200-00004C020000}">
      <text>
        <r>
          <rPr>
            <b/>
            <sz val="8"/>
            <color indexed="81"/>
            <rFont val="Tahoma"/>
            <family val="2"/>
          </rPr>
          <t xml:space="preserve"> Rebecca Bernard:</t>
        </r>
        <r>
          <rPr>
            <sz val="8"/>
            <color indexed="81"/>
            <rFont val="Tahoma"/>
            <family val="2"/>
          </rPr>
          <t xml:space="preserve">
used same week in 1993 for proportions</t>
        </r>
      </text>
    </comment>
    <comment ref="E265" authorId="0" shapeId="0" xr:uid="{00000000-0006-0000-0200-00004D020000}">
      <text>
        <r>
          <rPr>
            <b/>
            <sz val="8"/>
            <color indexed="81"/>
            <rFont val="Tahoma"/>
            <family val="2"/>
          </rPr>
          <t xml:space="preserve"> Rebecca Bernard:</t>
        </r>
        <r>
          <rPr>
            <sz val="8"/>
            <color indexed="81"/>
            <rFont val="Tahoma"/>
            <family val="2"/>
          </rPr>
          <t xml:space="preserve">
used same week in 1993 for proportions</t>
        </r>
      </text>
    </comment>
    <comment ref="F265" authorId="0" shapeId="0" xr:uid="{00000000-0006-0000-0200-00004E020000}">
      <text>
        <r>
          <rPr>
            <b/>
            <sz val="8"/>
            <color indexed="81"/>
            <rFont val="Tahoma"/>
            <family val="2"/>
          </rPr>
          <t xml:space="preserve"> Rebecca Bernard:</t>
        </r>
        <r>
          <rPr>
            <sz val="8"/>
            <color indexed="81"/>
            <rFont val="Tahoma"/>
            <family val="2"/>
          </rPr>
          <t xml:space="preserve">
used same week in 1993 for proportions</t>
        </r>
      </text>
    </comment>
    <comment ref="G265" authorId="0" shapeId="0" xr:uid="{00000000-0006-0000-0200-00004F020000}">
      <text>
        <r>
          <rPr>
            <b/>
            <sz val="8"/>
            <color indexed="81"/>
            <rFont val="Tahoma"/>
            <family val="2"/>
          </rPr>
          <t xml:space="preserve"> Rebecca Bernard:</t>
        </r>
        <r>
          <rPr>
            <sz val="8"/>
            <color indexed="81"/>
            <rFont val="Tahoma"/>
            <family val="2"/>
          </rPr>
          <t xml:space="preserve">
used same week in 1993 for proportions</t>
        </r>
      </text>
    </comment>
    <comment ref="H265" authorId="0" shapeId="0" xr:uid="{00000000-0006-0000-0200-000050020000}">
      <text>
        <r>
          <rPr>
            <b/>
            <sz val="8"/>
            <color indexed="81"/>
            <rFont val="Tahoma"/>
            <family val="2"/>
          </rPr>
          <t xml:space="preserve"> Rebecca Bernard:</t>
        </r>
        <r>
          <rPr>
            <sz val="8"/>
            <color indexed="81"/>
            <rFont val="Tahoma"/>
            <family val="2"/>
          </rPr>
          <t xml:space="preserve">
used same week in 1993 for proportions</t>
        </r>
      </text>
    </comment>
    <comment ref="I265" authorId="0" shapeId="0" xr:uid="{00000000-0006-0000-0200-000051020000}">
      <text>
        <r>
          <rPr>
            <b/>
            <sz val="8"/>
            <color indexed="81"/>
            <rFont val="Tahoma"/>
            <family val="2"/>
          </rPr>
          <t xml:space="preserve"> Rebecca Bernard:</t>
        </r>
        <r>
          <rPr>
            <sz val="8"/>
            <color indexed="81"/>
            <rFont val="Tahoma"/>
            <family val="2"/>
          </rPr>
          <t xml:space="preserve">
used same week in 1993 for proportions</t>
        </r>
      </text>
    </comment>
    <comment ref="J265" authorId="0" shapeId="0" xr:uid="{00000000-0006-0000-0200-000052020000}">
      <text>
        <r>
          <rPr>
            <b/>
            <sz val="8"/>
            <color indexed="81"/>
            <rFont val="Tahoma"/>
            <family val="2"/>
          </rPr>
          <t xml:space="preserve"> Rebecca Bernard:</t>
        </r>
        <r>
          <rPr>
            <sz val="8"/>
            <color indexed="81"/>
            <rFont val="Tahoma"/>
            <family val="2"/>
          </rPr>
          <t xml:space="preserve">
used same week in 1993 for proportions</t>
        </r>
      </text>
    </comment>
    <comment ref="K265" authorId="0" shapeId="0" xr:uid="{00000000-0006-0000-0200-000053020000}">
      <text>
        <r>
          <rPr>
            <b/>
            <sz val="8"/>
            <color indexed="81"/>
            <rFont val="Tahoma"/>
            <family val="2"/>
          </rPr>
          <t xml:space="preserve"> Rebecca Bernard:</t>
        </r>
        <r>
          <rPr>
            <sz val="8"/>
            <color indexed="81"/>
            <rFont val="Tahoma"/>
            <family val="2"/>
          </rPr>
          <t xml:space="preserve">
used same week in 1993 for proportions</t>
        </r>
      </text>
    </comment>
    <comment ref="L265" authorId="0" shapeId="0" xr:uid="{00000000-0006-0000-0200-000054020000}">
      <text>
        <r>
          <rPr>
            <b/>
            <sz val="8"/>
            <color indexed="81"/>
            <rFont val="Tahoma"/>
            <family val="2"/>
          </rPr>
          <t xml:space="preserve"> Rebecca Bernard:</t>
        </r>
        <r>
          <rPr>
            <sz val="8"/>
            <color indexed="81"/>
            <rFont val="Tahoma"/>
            <family val="2"/>
          </rPr>
          <t xml:space="preserve">
used same week in 1993 for proportions</t>
        </r>
      </text>
    </comment>
    <comment ref="M265" authorId="0" shapeId="0" xr:uid="{00000000-0006-0000-0200-000055020000}">
      <text>
        <r>
          <rPr>
            <b/>
            <sz val="8"/>
            <color indexed="81"/>
            <rFont val="Tahoma"/>
            <family val="2"/>
          </rPr>
          <t xml:space="preserve"> Rebecca Bernard:</t>
        </r>
        <r>
          <rPr>
            <sz val="8"/>
            <color indexed="81"/>
            <rFont val="Tahoma"/>
            <family val="2"/>
          </rPr>
          <t xml:space="preserve">
used same week in 1993 for proportions</t>
        </r>
      </text>
    </comment>
    <comment ref="N265" authorId="0" shapeId="0" xr:uid="{00000000-0006-0000-0200-000056020000}">
      <text>
        <r>
          <rPr>
            <b/>
            <sz val="8"/>
            <color indexed="81"/>
            <rFont val="Tahoma"/>
            <family val="2"/>
          </rPr>
          <t xml:space="preserve"> Rebecca Bernard:</t>
        </r>
        <r>
          <rPr>
            <sz val="8"/>
            <color indexed="81"/>
            <rFont val="Tahoma"/>
            <family val="2"/>
          </rPr>
          <t xml:space="preserve">
used same week in 1993 for proportions</t>
        </r>
      </text>
    </comment>
    <comment ref="O265" authorId="0" shapeId="0" xr:uid="{00000000-0006-0000-0200-000057020000}">
      <text>
        <r>
          <rPr>
            <b/>
            <sz val="8"/>
            <color indexed="81"/>
            <rFont val="Tahoma"/>
            <family val="2"/>
          </rPr>
          <t xml:space="preserve"> Rebecca Bernard:</t>
        </r>
        <r>
          <rPr>
            <sz val="8"/>
            <color indexed="81"/>
            <rFont val="Tahoma"/>
            <family val="2"/>
          </rPr>
          <t xml:space="preserve">
used same week in 1993 for proportions</t>
        </r>
      </text>
    </comment>
    <comment ref="P265" authorId="0" shapeId="0" xr:uid="{00000000-0006-0000-0200-000058020000}">
      <text>
        <r>
          <rPr>
            <b/>
            <sz val="8"/>
            <color indexed="81"/>
            <rFont val="Tahoma"/>
            <family val="2"/>
          </rPr>
          <t xml:space="preserve"> Rebecca Bernard:</t>
        </r>
        <r>
          <rPr>
            <sz val="8"/>
            <color indexed="81"/>
            <rFont val="Tahoma"/>
            <family val="2"/>
          </rPr>
          <t xml:space="preserve">
used same week in 1993 for proportions</t>
        </r>
      </text>
    </comment>
    <comment ref="Q265" authorId="0" shapeId="0" xr:uid="{00000000-0006-0000-0200-000059020000}">
      <text>
        <r>
          <rPr>
            <b/>
            <sz val="8"/>
            <color indexed="81"/>
            <rFont val="Tahoma"/>
            <family val="2"/>
          </rPr>
          <t xml:space="preserve"> Rebecca Bernard:</t>
        </r>
        <r>
          <rPr>
            <sz val="8"/>
            <color indexed="81"/>
            <rFont val="Tahoma"/>
            <family val="2"/>
          </rPr>
          <t xml:space="preserve">
used same week in 1993 for proportions</t>
        </r>
      </text>
    </comment>
    <comment ref="V265" authorId="0" shapeId="0" xr:uid="{00000000-0006-0000-0200-00005A020000}">
      <text>
        <r>
          <rPr>
            <b/>
            <sz val="8"/>
            <color indexed="81"/>
            <rFont val="Tahoma"/>
            <family val="2"/>
          </rPr>
          <t xml:space="preserve"> Rebecca Bernard:</t>
        </r>
        <r>
          <rPr>
            <sz val="8"/>
            <color indexed="81"/>
            <rFont val="Tahoma"/>
            <family val="2"/>
          </rPr>
          <t xml:space="preserve">
used following week's proportions</t>
        </r>
      </text>
    </comment>
    <comment ref="W265" authorId="0" shapeId="0" xr:uid="{00000000-0006-0000-0200-00005B020000}">
      <text>
        <r>
          <rPr>
            <b/>
            <sz val="8"/>
            <color indexed="81"/>
            <rFont val="Tahoma"/>
            <family val="2"/>
          </rPr>
          <t xml:space="preserve"> Rebecca Bernard:</t>
        </r>
        <r>
          <rPr>
            <sz val="8"/>
            <color indexed="81"/>
            <rFont val="Tahoma"/>
            <family val="2"/>
          </rPr>
          <t xml:space="preserve">
used following week's proportions</t>
        </r>
      </text>
    </comment>
    <comment ref="AT265" authorId="0" shapeId="0" xr:uid="{00000000-0006-0000-0200-00005C020000}">
      <text>
        <r>
          <rPr>
            <b/>
            <sz val="8"/>
            <color indexed="81"/>
            <rFont val="Tahoma"/>
            <family val="2"/>
          </rPr>
          <t xml:space="preserve"> Rebecca Bernard:</t>
        </r>
        <r>
          <rPr>
            <sz val="8"/>
            <color indexed="81"/>
            <rFont val="Tahoma"/>
            <family val="2"/>
          </rPr>
          <t xml:space="preserve">
used week 25 for porportions</t>
        </r>
      </text>
    </comment>
    <comment ref="AU265" authorId="0" shapeId="0" xr:uid="{00000000-0006-0000-0200-00005D020000}">
      <text>
        <r>
          <rPr>
            <b/>
            <sz val="8"/>
            <color indexed="81"/>
            <rFont val="Tahoma"/>
            <family val="2"/>
          </rPr>
          <t xml:space="preserve"> Rebecca Bernard:</t>
        </r>
        <r>
          <rPr>
            <sz val="8"/>
            <color indexed="81"/>
            <rFont val="Tahoma"/>
            <family val="2"/>
          </rPr>
          <t xml:space="preserve">
used week 25 for porportions</t>
        </r>
      </text>
    </comment>
    <comment ref="BE265" authorId="1" shapeId="0" xr:uid="{00000000-0006-0000-0200-00005E020000}">
      <text>
        <r>
          <rPr>
            <b/>
            <sz val="9"/>
            <color indexed="81"/>
            <rFont val="Tahoma"/>
            <family val="2"/>
          </rPr>
          <t>rbernard:</t>
        </r>
        <r>
          <rPr>
            <sz val="9"/>
            <color indexed="81"/>
            <rFont val="Tahoma"/>
            <family val="2"/>
          </rPr>
          <t xml:space="preserve">
Swinomish catch during the sockeye fishery--4 wild kelts</t>
        </r>
      </text>
    </comment>
    <comment ref="BX265" authorId="2" shapeId="0" xr:uid="{00000000-0006-0000-0200-00005F02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Sum is Swin A8 + Swin A78C + SSIT + USIT</t>
        </r>
      </text>
    </comment>
    <comment ref="BY265" authorId="2" shapeId="0" xr:uid="{00000000-0006-0000-0200-00006002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Sum is Swin A8 + Swin A78C + SSIT + USIT</t>
        </r>
      </text>
    </comment>
    <comment ref="CA265" authorId="2" shapeId="0" xr:uid="{00000000-0006-0000-0200-00006102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Sum is Swin A8 + Swin A78C + SSIT + USIT</t>
        </r>
      </text>
    </comment>
    <comment ref="CB265" authorId="2" shapeId="0" xr:uid="{00000000-0006-0000-0200-00006202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Sum is Swin A8 + Swin A78C + SSIT + USIT</t>
        </r>
      </text>
    </comment>
    <comment ref="CD265" authorId="2" shapeId="0" xr:uid="{00000000-0006-0000-0200-00006302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CE265" authorId="2" shapeId="0" xr:uid="{00000000-0006-0000-0200-00006402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CG265" authorId="2" shapeId="0" xr:uid="{00000000-0006-0000-0200-00006502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CH265" authorId="2" shapeId="0" xr:uid="{00000000-0006-0000-0200-00006602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DK265" authorId="2" shapeId="0" xr:uid="{73243DDF-BA68-4EBF-ADD1-B085FF0EBC06}">
      <text>
        <r>
          <rPr>
            <b/>
            <sz val="9"/>
            <color indexed="81"/>
            <rFont val="Tahoma"/>
            <family val="2"/>
          </rPr>
          <t>Pete Kairis:</t>
        </r>
        <r>
          <rPr>
            <sz val="9"/>
            <color indexed="81"/>
            <rFont val="Tahoma"/>
            <family val="2"/>
          </rPr>
          <t xml:space="preserve">
No sampling data, assuming wild
</t>
        </r>
      </text>
    </comment>
    <comment ref="D266" authorId="0" shapeId="0" xr:uid="{00000000-0006-0000-0200-000067020000}">
      <text>
        <r>
          <rPr>
            <b/>
            <sz val="8"/>
            <color indexed="81"/>
            <rFont val="Tahoma"/>
            <family val="2"/>
          </rPr>
          <t xml:space="preserve"> Rebecca Bernard:</t>
        </r>
        <r>
          <rPr>
            <sz val="8"/>
            <color indexed="81"/>
            <rFont val="Tahoma"/>
            <family val="2"/>
          </rPr>
          <t xml:space="preserve">
used same week 1994 for proportions</t>
        </r>
      </text>
    </comment>
    <comment ref="E266" authorId="0" shapeId="0" xr:uid="{00000000-0006-0000-0200-000068020000}">
      <text>
        <r>
          <rPr>
            <b/>
            <sz val="8"/>
            <color indexed="81"/>
            <rFont val="Tahoma"/>
            <family val="2"/>
          </rPr>
          <t xml:space="preserve"> Rebecca Bernard:</t>
        </r>
        <r>
          <rPr>
            <sz val="8"/>
            <color indexed="81"/>
            <rFont val="Tahoma"/>
            <family val="2"/>
          </rPr>
          <t xml:space="preserve">
used same week 1994 for proportions</t>
        </r>
      </text>
    </comment>
    <comment ref="F266" authorId="0" shapeId="0" xr:uid="{00000000-0006-0000-0200-000069020000}">
      <text>
        <r>
          <rPr>
            <b/>
            <sz val="8"/>
            <color indexed="81"/>
            <rFont val="Tahoma"/>
            <family val="2"/>
          </rPr>
          <t xml:space="preserve"> Rebecca Bernard:</t>
        </r>
        <r>
          <rPr>
            <sz val="8"/>
            <color indexed="81"/>
            <rFont val="Tahoma"/>
            <family val="2"/>
          </rPr>
          <t xml:space="preserve">
used same week 1994 for proportions</t>
        </r>
      </text>
    </comment>
    <comment ref="G266" authorId="0" shapeId="0" xr:uid="{00000000-0006-0000-0200-00006A020000}">
      <text>
        <r>
          <rPr>
            <b/>
            <sz val="8"/>
            <color indexed="81"/>
            <rFont val="Tahoma"/>
            <family val="2"/>
          </rPr>
          <t xml:space="preserve"> Rebecca Bernard:</t>
        </r>
        <r>
          <rPr>
            <sz val="8"/>
            <color indexed="81"/>
            <rFont val="Tahoma"/>
            <family val="2"/>
          </rPr>
          <t xml:space="preserve">
used same week 1994 for proportions</t>
        </r>
      </text>
    </comment>
    <comment ref="J266" authorId="0" shapeId="0" xr:uid="{00000000-0006-0000-0200-00006B020000}">
      <text>
        <r>
          <rPr>
            <b/>
            <sz val="8"/>
            <color indexed="81"/>
            <rFont val="Tahoma"/>
            <family val="2"/>
          </rPr>
          <t xml:space="preserve"> Rebecca Bernard:</t>
        </r>
        <r>
          <rPr>
            <sz val="8"/>
            <color indexed="81"/>
            <rFont val="Tahoma"/>
            <family val="2"/>
          </rPr>
          <t xml:space="preserve">
used same week 1994 for proportions</t>
        </r>
      </text>
    </comment>
    <comment ref="K266" authorId="0" shapeId="0" xr:uid="{00000000-0006-0000-0200-00006C020000}">
      <text>
        <r>
          <rPr>
            <b/>
            <sz val="8"/>
            <color indexed="81"/>
            <rFont val="Tahoma"/>
            <family val="2"/>
          </rPr>
          <t xml:space="preserve"> Rebecca Bernard:</t>
        </r>
        <r>
          <rPr>
            <sz val="8"/>
            <color indexed="81"/>
            <rFont val="Tahoma"/>
            <family val="2"/>
          </rPr>
          <t xml:space="preserve">
used same week 1994 for proportions</t>
        </r>
      </text>
    </comment>
    <comment ref="L266" authorId="0" shapeId="0" xr:uid="{00000000-0006-0000-0200-00006D020000}">
      <text>
        <r>
          <rPr>
            <b/>
            <sz val="8"/>
            <color indexed="81"/>
            <rFont val="Tahoma"/>
            <family val="2"/>
          </rPr>
          <t xml:space="preserve"> Rebecca Bernard:</t>
        </r>
        <r>
          <rPr>
            <sz val="8"/>
            <color indexed="81"/>
            <rFont val="Tahoma"/>
            <family val="2"/>
          </rPr>
          <t xml:space="preserve">
used same week 1994 for proportions</t>
        </r>
      </text>
    </comment>
    <comment ref="M266" authorId="0" shapeId="0" xr:uid="{00000000-0006-0000-0200-00006E020000}">
      <text>
        <r>
          <rPr>
            <b/>
            <sz val="8"/>
            <color indexed="81"/>
            <rFont val="Tahoma"/>
            <family val="2"/>
          </rPr>
          <t xml:space="preserve"> Rebecca Bernard:</t>
        </r>
        <r>
          <rPr>
            <sz val="8"/>
            <color indexed="81"/>
            <rFont val="Tahoma"/>
            <family val="2"/>
          </rPr>
          <t xml:space="preserve">
used same week 1994 for proportions</t>
        </r>
      </text>
    </comment>
    <comment ref="R266" authorId="0" shapeId="0" xr:uid="{00000000-0006-0000-0200-00006F020000}">
      <text>
        <r>
          <rPr>
            <b/>
            <sz val="8"/>
            <color indexed="81"/>
            <rFont val="Tahoma"/>
            <family val="2"/>
          </rPr>
          <t xml:space="preserve"> Rebecca Bernard:</t>
        </r>
        <r>
          <rPr>
            <sz val="8"/>
            <color indexed="81"/>
            <rFont val="Tahoma"/>
            <family val="2"/>
          </rPr>
          <t xml:space="preserve">
used same week 1994 for proportions</t>
        </r>
      </text>
    </comment>
    <comment ref="S266" authorId="0" shapeId="0" xr:uid="{00000000-0006-0000-0200-000070020000}">
      <text>
        <r>
          <rPr>
            <b/>
            <sz val="8"/>
            <color indexed="81"/>
            <rFont val="Tahoma"/>
            <family val="2"/>
          </rPr>
          <t xml:space="preserve"> Rebecca Bernard:</t>
        </r>
        <r>
          <rPr>
            <sz val="8"/>
            <color indexed="81"/>
            <rFont val="Tahoma"/>
            <family val="2"/>
          </rPr>
          <t xml:space="preserve">
used same week 1994 for proportions</t>
        </r>
      </text>
    </comment>
    <comment ref="AV266" authorId="0" shapeId="0" xr:uid="{00000000-0006-0000-0200-000071020000}">
      <text>
        <r>
          <rPr>
            <b/>
            <sz val="8"/>
            <color indexed="81"/>
            <rFont val="Tahoma"/>
            <family val="2"/>
          </rPr>
          <t xml:space="preserve"> Rebecca Bernard:</t>
        </r>
        <r>
          <rPr>
            <sz val="8"/>
            <color indexed="81"/>
            <rFont val="Tahoma"/>
            <family val="2"/>
          </rPr>
          <t xml:space="preserve">
used 2008 same week proportions</t>
        </r>
      </text>
    </comment>
    <comment ref="AW266" authorId="0" shapeId="0" xr:uid="{00000000-0006-0000-0200-000072020000}">
      <text>
        <r>
          <rPr>
            <b/>
            <sz val="8"/>
            <color indexed="81"/>
            <rFont val="Tahoma"/>
            <family val="2"/>
          </rPr>
          <t xml:space="preserve"> Rebecca Bernard:</t>
        </r>
        <r>
          <rPr>
            <sz val="8"/>
            <color indexed="81"/>
            <rFont val="Tahoma"/>
            <family val="2"/>
          </rPr>
          <t xml:space="preserve">
used 2008 same week proportions</t>
        </r>
      </text>
    </comment>
    <comment ref="BF266" authorId="2" shapeId="0" xr:uid="{00000000-0006-0000-0200-000073020000}">
      <text>
        <r>
          <rPr>
            <b/>
            <sz val="9"/>
            <color indexed="81"/>
            <rFont val="Tahoma"/>
            <family val="2"/>
          </rPr>
          <t>Pete Kairis:</t>
        </r>
        <r>
          <rPr>
            <sz val="9"/>
            <color indexed="81"/>
            <rFont val="Tahoma"/>
            <family val="2"/>
          </rPr>
          <t xml:space="preserve">
The hatchery fish was unknown kelt/prespawn, and no no other hatchery fish in sample, so using previous week's ratio.</t>
        </r>
      </text>
    </comment>
    <comment ref="BG266" authorId="2" shapeId="0" xr:uid="{00000000-0006-0000-0200-000074020000}">
      <text>
        <r>
          <rPr>
            <b/>
            <sz val="9"/>
            <color indexed="81"/>
            <rFont val="Tahoma"/>
            <family val="2"/>
          </rPr>
          <t>Pete Kairis:</t>
        </r>
        <r>
          <rPr>
            <sz val="9"/>
            <color indexed="81"/>
            <rFont val="Tahoma"/>
            <family val="2"/>
          </rPr>
          <t xml:space="preserve">
The hatchery fish was unknown kelt/prespawn, and no no other hatchery fish in sample, so using previous week's ratio.</t>
        </r>
      </text>
    </comment>
    <comment ref="BX266" authorId="2" shapeId="0" xr:uid="{00000000-0006-0000-0200-00007502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Sum is Swin A8 + Swin A78C + SSIT + USIT</t>
        </r>
      </text>
    </comment>
    <comment ref="BY266" authorId="2" shapeId="0" xr:uid="{00000000-0006-0000-0200-00007602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Sum is Swin A8 + Swin A78C + SSIT + USIT</t>
        </r>
      </text>
    </comment>
    <comment ref="CA266" authorId="2" shapeId="0" xr:uid="{00000000-0006-0000-0200-00007702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Sum is Swin A8 + Swin A78C + SSIT + USIT</t>
        </r>
      </text>
    </comment>
    <comment ref="CB266" authorId="2" shapeId="0" xr:uid="{00000000-0006-0000-0200-00007802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Sum is Swin A8 + Swin A78C + SSIT + USIT</t>
        </r>
      </text>
    </comment>
    <comment ref="CD266" authorId="2" shapeId="0" xr:uid="{00000000-0006-0000-0200-00007902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CE266" authorId="2" shapeId="0" xr:uid="{00000000-0006-0000-0200-00007A02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CG266" authorId="2" shapeId="0" xr:uid="{00000000-0006-0000-0200-00007B02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CH266" authorId="2" shapeId="0" xr:uid="{00000000-0006-0000-0200-00007C02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D267" authorId="0" shapeId="0" xr:uid="{00000000-0006-0000-0200-00007D020000}">
      <text>
        <r>
          <rPr>
            <b/>
            <sz val="8"/>
            <color indexed="81"/>
            <rFont val="Tahoma"/>
            <family val="2"/>
          </rPr>
          <t xml:space="preserve"> Rebecca Bernard:</t>
        </r>
        <r>
          <rPr>
            <sz val="8"/>
            <color indexed="81"/>
            <rFont val="Tahoma"/>
            <family val="2"/>
          </rPr>
          <t xml:space="preserve">
used week 27 in 1993 for proportions</t>
        </r>
      </text>
    </comment>
    <comment ref="E267" authorId="0" shapeId="0" xr:uid="{00000000-0006-0000-0200-00007E020000}">
      <text>
        <r>
          <rPr>
            <b/>
            <sz val="8"/>
            <color indexed="81"/>
            <rFont val="Tahoma"/>
            <family val="2"/>
          </rPr>
          <t xml:space="preserve"> Rebecca Bernard:</t>
        </r>
        <r>
          <rPr>
            <sz val="8"/>
            <color indexed="81"/>
            <rFont val="Tahoma"/>
            <family val="2"/>
          </rPr>
          <t xml:space="preserve">
used week 27 in 1993 for proportions</t>
        </r>
      </text>
    </comment>
    <comment ref="F267" authorId="0" shapeId="0" xr:uid="{00000000-0006-0000-0200-00007F020000}">
      <text>
        <r>
          <rPr>
            <b/>
            <sz val="8"/>
            <color indexed="81"/>
            <rFont val="Tahoma"/>
            <family val="2"/>
          </rPr>
          <t xml:space="preserve"> Rebecca Bernard:</t>
        </r>
        <r>
          <rPr>
            <sz val="8"/>
            <color indexed="81"/>
            <rFont val="Tahoma"/>
            <family val="2"/>
          </rPr>
          <t xml:space="preserve">
used week 35 for proportions</t>
        </r>
      </text>
    </comment>
    <comment ref="G267" authorId="0" shapeId="0" xr:uid="{00000000-0006-0000-0200-000080020000}">
      <text>
        <r>
          <rPr>
            <b/>
            <sz val="8"/>
            <color indexed="81"/>
            <rFont val="Tahoma"/>
            <family val="2"/>
          </rPr>
          <t xml:space="preserve"> Rebecca Bernard:</t>
        </r>
        <r>
          <rPr>
            <sz val="8"/>
            <color indexed="81"/>
            <rFont val="Tahoma"/>
            <family val="2"/>
          </rPr>
          <t xml:space="preserve">
used week 35 for proportions</t>
        </r>
      </text>
    </comment>
    <comment ref="J267" authorId="0" shapeId="0" xr:uid="{00000000-0006-0000-0200-000081020000}">
      <text>
        <r>
          <rPr>
            <b/>
            <sz val="8"/>
            <color indexed="81"/>
            <rFont val="Tahoma"/>
            <family val="2"/>
          </rPr>
          <t xml:space="preserve"> Rebecca Bernard:</t>
        </r>
        <r>
          <rPr>
            <sz val="8"/>
            <color indexed="81"/>
            <rFont val="Tahoma"/>
            <family val="2"/>
          </rPr>
          <t xml:space="preserve">
used week 34 for proportions</t>
        </r>
      </text>
    </comment>
    <comment ref="K267" authorId="0" shapeId="0" xr:uid="{00000000-0006-0000-0200-000082020000}">
      <text>
        <r>
          <rPr>
            <b/>
            <sz val="8"/>
            <color indexed="81"/>
            <rFont val="Tahoma"/>
            <family val="2"/>
          </rPr>
          <t xml:space="preserve"> Rebecca Bernard:</t>
        </r>
        <r>
          <rPr>
            <sz val="8"/>
            <color indexed="81"/>
            <rFont val="Tahoma"/>
            <family val="2"/>
          </rPr>
          <t xml:space="preserve">
used week 34 for proportions</t>
        </r>
      </text>
    </comment>
    <comment ref="L267" authorId="0" shapeId="0" xr:uid="{00000000-0006-0000-0200-000083020000}">
      <text>
        <r>
          <rPr>
            <b/>
            <sz val="8"/>
            <color indexed="81"/>
            <rFont val="Tahoma"/>
            <family val="2"/>
          </rPr>
          <t xml:space="preserve"> Rebecca Bernard:</t>
        </r>
        <r>
          <rPr>
            <sz val="8"/>
            <color indexed="81"/>
            <rFont val="Tahoma"/>
            <family val="2"/>
          </rPr>
          <t xml:space="preserve">
used week 34 in 1988 for proportions</t>
        </r>
      </text>
    </comment>
    <comment ref="M267" authorId="0" shapeId="0" xr:uid="{00000000-0006-0000-0200-000084020000}">
      <text>
        <r>
          <rPr>
            <b/>
            <sz val="8"/>
            <color indexed="81"/>
            <rFont val="Tahoma"/>
            <family val="2"/>
          </rPr>
          <t xml:space="preserve"> Rebecca Bernard:</t>
        </r>
        <r>
          <rPr>
            <sz val="8"/>
            <color indexed="81"/>
            <rFont val="Tahoma"/>
            <family val="2"/>
          </rPr>
          <t xml:space="preserve">
used week 34 in 1988 for proportions</t>
        </r>
      </text>
    </comment>
    <comment ref="N267" authorId="0" shapeId="0" xr:uid="{00000000-0006-0000-0200-000085020000}">
      <text>
        <r>
          <rPr>
            <b/>
            <sz val="8"/>
            <color indexed="81"/>
            <rFont val="Tahoma"/>
            <family val="2"/>
          </rPr>
          <t xml:space="preserve"> Rebecca Bernard:</t>
        </r>
        <r>
          <rPr>
            <sz val="8"/>
            <color indexed="81"/>
            <rFont val="Tahoma"/>
            <family val="2"/>
          </rPr>
          <t xml:space="preserve">
used week 35 proportions</t>
        </r>
      </text>
    </comment>
    <comment ref="R267" authorId="0" shapeId="0" xr:uid="{00000000-0006-0000-0200-000086020000}">
      <text>
        <r>
          <rPr>
            <b/>
            <sz val="8"/>
            <color indexed="81"/>
            <rFont val="Tahoma"/>
            <family val="2"/>
          </rPr>
          <t xml:space="preserve"> Rebecca Bernard:</t>
        </r>
        <r>
          <rPr>
            <sz val="8"/>
            <color indexed="81"/>
            <rFont val="Tahoma"/>
            <family val="2"/>
          </rPr>
          <t xml:space="preserve">
used week 34 for proportions</t>
        </r>
      </text>
    </comment>
    <comment ref="S267" authorId="0" shapeId="0" xr:uid="{00000000-0006-0000-0200-000087020000}">
      <text>
        <r>
          <rPr>
            <b/>
            <sz val="8"/>
            <color indexed="81"/>
            <rFont val="Tahoma"/>
            <family val="2"/>
          </rPr>
          <t xml:space="preserve"> Rebecca Bernard:</t>
        </r>
        <r>
          <rPr>
            <sz val="8"/>
            <color indexed="81"/>
            <rFont val="Tahoma"/>
            <family val="2"/>
          </rPr>
          <t xml:space="preserve">
used week 34 for proportions</t>
        </r>
      </text>
    </comment>
    <comment ref="AD267" authorId="0" shapeId="0" xr:uid="{00000000-0006-0000-0200-000088020000}">
      <text>
        <r>
          <rPr>
            <b/>
            <sz val="8"/>
            <color indexed="81"/>
            <rFont val="Tahoma"/>
            <family val="2"/>
          </rPr>
          <t xml:space="preserve"> Rebecca Bernard:</t>
        </r>
        <r>
          <rPr>
            <sz val="8"/>
            <color indexed="81"/>
            <rFont val="Tahoma"/>
            <family val="2"/>
          </rPr>
          <t xml:space="preserve">
used week 24 for proportions</t>
        </r>
      </text>
    </comment>
    <comment ref="AE267" authorId="0" shapeId="0" xr:uid="{00000000-0006-0000-0200-000089020000}">
      <text>
        <r>
          <rPr>
            <b/>
            <sz val="8"/>
            <color indexed="81"/>
            <rFont val="Tahoma"/>
            <family val="2"/>
          </rPr>
          <t xml:space="preserve"> Rebecca Bernard:</t>
        </r>
        <r>
          <rPr>
            <sz val="8"/>
            <color indexed="81"/>
            <rFont val="Tahoma"/>
            <family val="2"/>
          </rPr>
          <t xml:space="preserve">
used week 24 for proportions</t>
        </r>
      </text>
    </comment>
    <comment ref="CD267" authorId="2" shapeId="0" xr:uid="{00000000-0006-0000-0200-00008A02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CE267" authorId="2" shapeId="0" xr:uid="{00000000-0006-0000-0200-00008B02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CG267" authorId="2" shapeId="0" xr:uid="{00000000-0006-0000-0200-00008C02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CH267" authorId="2" shapeId="0" xr:uid="{00000000-0006-0000-0200-00008D02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DK267" authorId="2" shapeId="0" xr:uid="{A26001CD-F4B2-4A7A-A5C7-FAA200725B5F}">
      <text>
        <r>
          <rPr>
            <b/>
            <sz val="9"/>
            <color indexed="81"/>
            <rFont val="Tahoma"/>
            <family val="2"/>
          </rPr>
          <t>Pete Kairis:</t>
        </r>
        <r>
          <rPr>
            <sz val="9"/>
            <color indexed="81"/>
            <rFont val="Tahoma"/>
            <family val="2"/>
          </rPr>
          <t xml:space="preserve">
No sampling data, assuming wild
</t>
        </r>
      </text>
    </comment>
    <comment ref="D268" authorId="0" shapeId="0" xr:uid="{00000000-0006-0000-0200-00008E020000}">
      <text>
        <r>
          <rPr>
            <b/>
            <sz val="8"/>
            <color indexed="81"/>
            <rFont val="Tahoma"/>
            <family val="2"/>
          </rPr>
          <t xml:space="preserve"> Rebecca Bernard:</t>
        </r>
        <r>
          <rPr>
            <sz val="8"/>
            <color indexed="81"/>
            <rFont val="Tahoma"/>
            <family val="2"/>
          </rPr>
          <t xml:space="preserve">
used week 27 in 1993 for proportions</t>
        </r>
      </text>
    </comment>
    <comment ref="E268" authorId="0" shapeId="0" xr:uid="{00000000-0006-0000-0200-00008F020000}">
      <text>
        <r>
          <rPr>
            <b/>
            <sz val="8"/>
            <color indexed="81"/>
            <rFont val="Tahoma"/>
            <family val="2"/>
          </rPr>
          <t xml:space="preserve"> Rebecca Bernard:</t>
        </r>
        <r>
          <rPr>
            <sz val="8"/>
            <color indexed="81"/>
            <rFont val="Tahoma"/>
            <family val="2"/>
          </rPr>
          <t xml:space="preserve">
used week 27 in 1993 for proportions</t>
        </r>
      </text>
    </comment>
    <comment ref="F268" authorId="0" shapeId="0" xr:uid="{00000000-0006-0000-0200-000090020000}">
      <text>
        <r>
          <rPr>
            <b/>
            <sz val="8"/>
            <color indexed="81"/>
            <rFont val="Tahoma"/>
            <family val="2"/>
          </rPr>
          <t xml:space="preserve"> Rebecca Bernard:</t>
        </r>
        <r>
          <rPr>
            <sz val="8"/>
            <color indexed="81"/>
            <rFont val="Tahoma"/>
            <family val="2"/>
          </rPr>
          <t xml:space="preserve">
used week 35 for proportions</t>
        </r>
      </text>
    </comment>
    <comment ref="G268" authorId="0" shapeId="0" xr:uid="{00000000-0006-0000-0200-000091020000}">
      <text>
        <r>
          <rPr>
            <b/>
            <sz val="8"/>
            <color indexed="81"/>
            <rFont val="Tahoma"/>
            <family val="2"/>
          </rPr>
          <t xml:space="preserve"> Rebecca Bernard:</t>
        </r>
        <r>
          <rPr>
            <sz val="8"/>
            <color indexed="81"/>
            <rFont val="Tahoma"/>
            <family val="2"/>
          </rPr>
          <t xml:space="preserve">
used week 35 for proportions</t>
        </r>
      </text>
    </comment>
    <comment ref="J268" authorId="0" shapeId="0" xr:uid="{00000000-0006-0000-0200-000092020000}">
      <text>
        <r>
          <rPr>
            <b/>
            <sz val="8"/>
            <color indexed="81"/>
            <rFont val="Tahoma"/>
            <family val="2"/>
          </rPr>
          <t xml:space="preserve"> Rebecca Bernard:</t>
        </r>
        <r>
          <rPr>
            <sz val="8"/>
            <color indexed="81"/>
            <rFont val="Tahoma"/>
            <family val="2"/>
          </rPr>
          <t xml:space="preserve">
used week 34 for proportions</t>
        </r>
      </text>
    </comment>
    <comment ref="K268" authorId="0" shapeId="0" xr:uid="{00000000-0006-0000-0200-000093020000}">
      <text>
        <r>
          <rPr>
            <b/>
            <sz val="8"/>
            <color indexed="81"/>
            <rFont val="Tahoma"/>
            <family val="2"/>
          </rPr>
          <t xml:space="preserve"> Rebecca Bernard:</t>
        </r>
        <r>
          <rPr>
            <sz val="8"/>
            <color indexed="81"/>
            <rFont val="Tahoma"/>
            <family val="2"/>
          </rPr>
          <t xml:space="preserve">
used week 34 for proportions</t>
        </r>
      </text>
    </comment>
    <comment ref="R268" authorId="0" shapeId="0" xr:uid="{00000000-0006-0000-0200-000094020000}">
      <text>
        <r>
          <rPr>
            <b/>
            <sz val="8"/>
            <color indexed="81"/>
            <rFont val="Tahoma"/>
            <family val="2"/>
          </rPr>
          <t xml:space="preserve"> Rebecca Bernard:</t>
        </r>
        <r>
          <rPr>
            <sz val="8"/>
            <color indexed="81"/>
            <rFont val="Tahoma"/>
            <family val="2"/>
          </rPr>
          <t xml:space="preserve">
used week 34 for proportions</t>
        </r>
      </text>
    </comment>
    <comment ref="S268" authorId="0" shapeId="0" xr:uid="{00000000-0006-0000-0200-000095020000}">
      <text>
        <r>
          <rPr>
            <b/>
            <sz val="8"/>
            <color indexed="81"/>
            <rFont val="Tahoma"/>
            <family val="2"/>
          </rPr>
          <t xml:space="preserve"> Rebecca Bernard:</t>
        </r>
        <r>
          <rPr>
            <sz val="8"/>
            <color indexed="81"/>
            <rFont val="Tahoma"/>
            <family val="2"/>
          </rPr>
          <t xml:space="preserve">
used week 34 for proportions</t>
        </r>
      </text>
    </comment>
    <comment ref="AD268" authorId="0" shapeId="0" xr:uid="{00000000-0006-0000-0200-000096020000}">
      <text>
        <r>
          <rPr>
            <b/>
            <sz val="8"/>
            <color indexed="81"/>
            <rFont val="Tahoma"/>
            <family val="2"/>
          </rPr>
          <t xml:space="preserve"> Rebecca Bernard:</t>
        </r>
        <r>
          <rPr>
            <sz val="8"/>
            <color indexed="81"/>
            <rFont val="Tahoma"/>
            <family val="2"/>
          </rPr>
          <t xml:space="preserve">
used week 24 for proportions</t>
        </r>
      </text>
    </comment>
    <comment ref="AE268" authorId="0" shapeId="0" xr:uid="{00000000-0006-0000-0200-000097020000}">
      <text>
        <r>
          <rPr>
            <b/>
            <sz val="8"/>
            <color indexed="81"/>
            <rFont val="Tahoma"/>
            <family val="2"/>
          </rPr>
          <t xml:space="preserve"> Rebecca Bernard:</t>
        </r>
        <r>
          <rPr>
            <sz val="8"/>
            <color indexed="81"/>
            <rFont val="Tahoma"/>
            <family val="2"/>
          </rPr>
          <t xml:space="preserve">
used week 24 for proportions</t>
        </r>
      </text>
    </comment>
    <comment ref="DE268" authorId="2" shapeId="0" xr:uid="{6BFF3166-7D76-4A8F-BE1A-DB745E422F2F}">
      <text>
        <r>
          <rPr>
            <b/>
            <sz val="9"/>
            <color indexed="81"/>
            <rFont val="Tahoma"/>
            <family val="2"/>
          </rPr>
          <t>Pete Kairis:</t>
        </r>
        <r>
          <rPr>
            <sz val="9"/>
            <color indexed="81"/>
            <rFont val="Tahoma"/>
            <family val="2"/>
          </rPr>
          <t xml:space="preserve">
Includes 1 unknown, currently assumed wild prespawn</t>
        </r>
      </text>
    </comment>
    <comment ref="J269" authorId="0" shapeId="0" xr:uid="{00000000-0006-0000-0200-000098020000}">
      <text>
        <r>
          <rPr>
            <b/>
            <sz val="8"/>
            <color indexed="81"/>
            <rFont val="Tahoma"/>
            <family val="2"/>
          </rPr>
          <t xml:space="preserve"> Rebecca Bernard:</t>
        </r>
        <r>
          <rPr>
            <sz val="8"/>
            <color indexed="81"/>
            <rFont val="Tahoma"/>
            <family val="2"/>
          </rPr>
          <t xml:space="preserve">
used week 34 for proportions</t>
        </r>
      </text>
    </comment>
    <comment ref="K269" authorId="0" shapeId="0" xr:uid="{00000000-0006-0000-0200-000099020000}">
      <text>
        <r>
          <rPr>
            <b/>
            <sz val="8"/>
            <color indexed="81"/>
            <rFont val="Tahoma"/>
            <family val="2"/>
          </rPr>
          <t xml:space="preserve"> Rebecca Bernard:</t>
        </r>
        <r>
          <rPr>
            <sz val="8"/>
            <color indexed="81"/>
            <rFont val="Tahoma"/>
            <family val="2"/>
          </rPr>
          <t xml:space="preserve">
used week 34 for proportions</t>
        </r>
      </text>
    </comment>
    <comment ref="L269" authorId="0" shapeId="0" xr:uid="{00000000-0006-0000-0200-00009A020000}">
      <text>
        <r>
          <rPr>
            <b/>
            <sz val="8"/>
            <color indexed="81"/>
            <rFont val="Tahoma"/>
            <family val="2"/>
          </rPr>
          <t xml:space="preserve"> Rebecca Bernard:</t>
        </r>
        <r>
          <rPr>
            <sz val="8"/>
            <color indexed="81"/>
            <rFont val="Tahoma"/>
            <family val="2"/>
          </rPr>
          <t xml:space="preserve">
used week 34 in 1988 for proportions</t>
        </r>
      </text>
    </comment>
    <comment ref="M269" authorId="0" shapeId="0" xr:uid="{00000000-0006-0000-0200-00009B020000}">
      <text>
        <r>
          <rPr>
            <b/>
            <sz val="8"/>
            <color indexed="81"/>
            <rFont val="Tahoma"/>
            <family val="2"/>
          </rPr>
          <t xml:space="preserve"> Rebecca Bernard:</t>
        </r>
        <r>
          <rPr>
            <sz val="8"/>
            <color indexed="81"/>
            <rFont val="Tahoma"/>
            <family val="2"/>
          </rPr>
          <t xml:space="preserve">
used week 34 in 1988 for proportions</t>
        </r>
      </text>
    </comment>
    <comment ref="L270" authorId="0" shapeId="0" xr:uid="{00000000-0006-0000-0200-00009C020000}">
      <text>
        <r>
          <rPr>
            <b/>
            <sz val="8"/>
            <color indexed="81"/>
            <rFont val="Tahoma"/>
            <family val="2"/>
          </rPr>
          <t xml:space="preserve"> Rebecca Bernard:</t>
        </r>
        <r>
          <rPr>
            <sz val="8"/>
            <color indexed="81"/>
            <rFont val="Tahoma"/>
            <family val="2"/>
          </rPr>
          <t xml:space="preserve">
used week 34 in 1988 for proportions</t>
        </r>
      </text>
    </comment>
    <comment ref="M270" authorId="0" shapeId="0" xr:uid="{00000000-0006-0000-0200-00009D020000}">
      <text>
        <r>
          <rPr>
            <b/>
            <sz val="8"/>
            <color indexed="81"/>
            <rFont val="Tahoma"/>
            <family val="2"/>
          </rPr>
          <t xml:space="preserve"> Rebecca Bernard:</t>
        </r>
        <r>
          <rPr>
            <sz val="8"/>
            <color indexed="81"/>
            <rFont val="Tahoma"/>
            <family val="2"/>
          </rPr>
          <t xml:space="preserve">
used week 34 in 1988 for proportions</t>
        </r>
      </text>
    </comment>
    <comment ref="D272" authorId="0" shapeId="0" xr:uid="{00000000-0006-0000-0200-00009E020000}">
      <text>
        <r>
          <rPr>
            <b/>
            <sz val="8"/>
            <color indexed="81"/>
            <rFont val="Tahoma"/>
            <family val="2"/>
          </rPr>
          <t xml:space="preserve"> Rebecca Bernard:</t>
        </r>
        <r>
          <rPr>
            <sz val="8"/>
            <color indexed="81"/>
            <rFont val="Tahoma"/>
            <family val="2"/>
          </rPr>
          <t xml:space="preserve">
used same week 1988--pretty good sample size for proportions</t>
        </r>
      </text>
    </comment>
    <comment ref="E272" authorId="0" shapeId="0" xr:uid="{00000000-0006-0000-0200-00009F020000}">
      <text>
        <r>
          <rPr>
            <b/>
            <sz val="8"/>
            <color indexed="81"/>
            <rFont val="Tahoma"/>
            <family val="2"/>
          </rPr>
          <t xml:space="preserve"> Rebecca Bernard:</t>
        </r>
        <r>
          <rPr>
            <sz val="8"/>
            <color indexed="81"/>
            <rFont val="Tahoma"/>
            <family val="2"/>
          </rPr>
          <t xml:space="preserve">
used same week 1988--pretty good sample size for proportions</t>
        </r>
      </text>
    </comment>
    <comment ref="H272" authorId="0" shapeId="0" xr:uid="{00000000-0006-0000-0200-0000A0020000}">
      <text>
        <r>
          <rPr>
            <b/>
            <sz val="8"/>
            <color indexed="81"/>
            <rFont val="Tahoma"/>
            <family val="2"/>
          </rPr>
          <t xml:space="preserve"> Rebecca Bernard:</t>
        </r>
        <r>
          <rPr>
            <sz val="8"/>
            <color indexed="81"/>
            <rFont val="Tahoma"/>
            <family val="2"/>
          </rPr>
          <t xml:space="preserve">
used 1988 same weeks proportions</t>
        </r>
      </text>
    </comment>
    <comment ref="I272" authorId="0" shapeId="0" xr:uid="{00000000-0006-0000-0200-0000A1020000}">
      <text>
        <r>
          <rPr>
            <b/>
            <sz val="8"/>
            <color indexed="81"/>
            <rFont val="Tahoma"/>
            <family val="2"/>
          </rPr>
          <t xml:space="preserve"> Rebecca Bernard:</t>
        </r>
        <r>
          <rPr>
            <sz val="8"/>
            <color indexed="81"/>
            <rFont val="Tahoma"/>
            <family val="2"/>
          </rPr>
          <t xml:space="preserve">
used 1988 same weeks proportions</t>
        </r>
      </text>
    </comment>
    <comment ref="L272" authorId="0" shapeId="0" xr:uid="{00000000-0006-0000-0200-0000A2020000}">
      <text>
        <r>
          <rPr>
            <b/>
            <sz val="8"/>
            <color indexed="81"/>
            <rFont val="Tahoma"/>
            <family val="2"/>
          </rPr>
          <t xml:space="preserve"> Rebecca Bernard:</t>
        </r>
        <r>
          <rPr>
            <sz val="8"/>
            <color indexed="81"/>
            <rFont val="Tahoma"/>
            <family val="2"/>
          </rPr>
          <t xml:space="preserve">
used 1988 same weeks proportions</t>
        </r>
      </text>
    </comment>
    <comment ref="M272" authorId="0" shapeId="0" xr:uid="{00000000-0006-0000-0200-0000A3020000}">
      <text>
        <r>
          <rPr>
            <b/>
            <sz val="8"/>
            <color indexed="81"/>
            <rFont val="Tahoma"/>
            <family val="2"/>
          </rPr>
          <t xml:space="preserve"> Rebecca Bernard:</t>
        </r>
        <r>
          <rPr>
            <sz val="8"/>
            <color indexed="81"/>
            <rFont val="Tahoma"/>
            <family val="2"/>
          </rPr>
          <t xml:space="preserve">
used 1988 same weeks proportions</t>
        </r>
      </text>
    </comment>
    <comment ref="P272" authorId="0" shapeId="0" xr:uid="{00000000-0006-0000-0200-0000A4020000}">
      <text>
        <r>
          <rPr>
            <b/>
            <sz val="8"/>
            <color indexed="81"/>
            <rFont val="Tahoma"/>
            <family val="2"/>
          </rPr>
          <t xml:space="preserve"> Rebecca Bernard:</t>
        </r>
        <r>
          <rPr>
            <sz val="8"/>
            <color indexed="81"/>
            <rFont val="Tahoma"/>
            <family val="2"/>
          </rPr>
          <t xml:space="preserve">
used 1992 same week proportions</t>
        </r>
      </text>
    </comment>
    <comment ref="Q272" authorId="0" shapeId="0" xr:uid="{00000000-0006-0000-0200-0000A5020000}">
      <text>
        <r>
          <rPr>
            <b/>
            <sz val="8"/>
            <color indexed="81"/>
            <rFont val="Tahoma"/>
            <family val="2"/>
          </rPr>
          <t xml:space="preserve"> Rebecca Bernard:</t>
        </r>
        <r>
          <rPr>
            <sz val="8"/>
            <color indexed="81"/>
            <rFont val="Tahoma"/>
            <family val="2"/>
          </rPr>
          <t xml:space="preserve">
used 1992 same week proportions</t>
        </r>
      </text>
    </comment>
    <comment ref="X272" authorId="0" shapeId="0" xr:uid="{00000000-0006-0000-0200-0000A6020000}">
      <text>
        <r>
          <rPr>
            <b/>
            <sz val="8"/>
            <color indexed="81"/>
            <rFont val="Tahoma"/>
            <family val="2"/>
          </rPr>
          <t xml:space="preserve"> Rebecca Bernard:</t>
        </r>
        <r>
          <rPr>
            <sz val="8"/>
            <color indexed="81"/>
            <rFont val="Tahoma"/>
            <family val="2"/>
          </rPr>
          <t xml:space="preserve">
used same weeks in 1994 for proportions</t>
        </r>
      </text>
    </comment>
    <comment ref="Y272" authorId="0" shapeId="0" xr:uid="{00000000-0006-0000-0200-0000A7020000}">
      <text>
        <r>
          <rPr>
            <b/>
            <sz val="8"/>
            <color indexed="81"/>
            <rFont val="Tahoma"/>
            <family val="2"/>
          </rPr>
          <t xml:space="preserve"> Rebecca Bernard:</t>
        </r>
        <r>
          <rPr>
            <sz val="8"/>
            <color indexed="81"/>
            <rFont val="Tahoma"/>
            <family val="2"/>
          </rPr>
          <t xml:space="preserve">
used same weeks in 1994 for proportions</t>
        </r>
      </text>
    </comment>
    <comment ref="D273" authorId="0" shapeId="0" xr:uid="{00000000-0006-0000-0200-0000A8020000}">
      <text>
        <r>
          <rPr>
            <b/>
            <sz val="8"/>
            <color indexed="81"/>
            <rFont val="Tahoma"/>
            <family val="2"/>
          </rPr>
          <t xml:space="preserve"> Rebecca Bernard:</t>
        </r>
        <r>
          <rPr>
            <sz val="8"/>
            <color indexed="81"/>
            <rFont val="Tahoma"/>
            <family val="2"/>
          </rPr>
          <t xml:space="preserve">
used same week 1988--pretty good sample size for proportions</t>
        </r>
      </text>
    </comment>
    <comment ref="E273" authorId="0" shapeId="0" xr:uid="{00000000-0006-0000-0200-0000A9020000}">
      <text>
        <r>
          <rPr>
            <b/>
            <sz val="8"/>
            <color indexed="81"/>
            <rFont val="Tahoma"/>
            <family val="2"/>
          </rPr>
          <t xml:space="preserve"> Rebecca Bernard:</t>
        </r>
        <r>
          <rPr>
            <sz val="8"/>
            <color indexed="81"/>
            <rFont val="Tahoma"/>
            <family val="2"/>
          </rPr>
          <t xml:space="preserve">
used same week 1988--pretty good sample size for proportions</t>
        </r>
      </text>
    </comment>
    <comment ref="H273" authorId="0" shapeId="0" xr:uid="{00000000-0006-0000-0200-0000AA020000}">
      <text>
        <r>
          <rPr>
            <b/>
            <sz val="8"/>
            <color indexed="81"/>
            <rFont val="Tahoma"/>
            <family val="2"/>
          </rPr>
          <t xml:space="preserve"> Rebecca Bernard:</t>
        </r>
        <r>
          <rPr>
            <sz val="8"/>
            <color indexed="81"/>
            <rFont val="Tahoma"/>
            <family val="2"/>
          </rPr>
          <t xml:space="preserve">
used 1988 same weeks proportions</t>
        </r>
      </text>
    </comment>
    <comment ref="I273" authorId="0" shapeId="0" xr:uid="{00000000-0006-0000-0200-0000AB020000}">
      <text>
        <r>
          <rPr>
            <b/>
            <sz val="8"/>
            <color indexed="81"/>
            <rFont val="Tahoma"/>
            <family val="2"/>
          </rPr>
          <t xml:space="preserve"> Rebecca Bernard:</t>
        </r>
        <r>
          <rPr>
            <sz val="8"/>
            <color indexed="81"/>
            <rFont val="Tahoma"/>
            <family val="2"/>
          </rPr>
          <t xml:space="preserve">
used 1988 same weeks proportions</t>
        </r>
      </text>
    </comment>
    <comment ref="L273" authorId="0" shapeId="0" xr:uid="{00000000-0006-0000-0200-0000AC020000}">
      <text>
        <r>
          <rPr>
            <b/>
            <sz val="8"/>
            <color indexed="81"/>
            <rFont val="Tahoma"/>
            <family val="2"/>
          </rPr>
          <t xml:space="preserve"> Rebecca Bernard:</t>
        </r>
        <r>
          <rPr>
            <sz val="8"/>
            <color indexed="81"/>
            <rFont val="Tahoma"/>
            <family val="2"/>
          </rPr>
          <t xml:space="preserve">
used 1988 same weeks proportions</t>
        </r>
      </text>
    </comment>
    <comment ref="M273" authorId="0" shapeId="0" xr:uid="{00000000-0006-0000-0200-0000AD020000}">
      <text>
        <r>
          <rPr>
            <b/>
            <sz val="8"/>
            <color indexed="81"/>
            <rFont val="Tahoma"/>
            <family val="2"/>
          </rPr>
          <t xml:space="preserve"> Rebecca Bernard:</t>
        </r>
        <r>
          <rPr>
            <sz val="8"/>
            <color indexed="81"/>
            <rFont val="Tahoma"/>
            <family val="2"/>
          </rPr>
          <t xml:space="preserve">
used 1988 same weeks proportions</t>
        </r>
      </text>
    </comment>
    <comment ref="P273" authorId="0" shapeId="0" xr:uid="{00000000-0006-0000-0200-0000AE020000}">
      <text>
        <r>
          <rPr>
            <b/>
            <sz val="8"/>
            <color indexed="81"/>
            <rFont val="Tahoma"/>
            <family val="2"/>
          </rPr>
          <t xml:space="preserve"> Rebecca Bernard:</t>
        </r>
        <r>
          <rPr>
            <sz val="8"/>
            <color indexed="81"/>
            <rFont val="Tahoma"/>
            <family val="2"/>
          </rPr>
          <t xml:space="preserve">
used 1992 same week proportions</t>
        </r>
      </text>
    </comment>
    <comment ref="Q273" authorId="0" shapeId="0" xr:uid="{00000000-0006-0000-0200-0000AF020000}">
      <text>
        <r>
          <rPr>
            <b/>
            <sz val="8"/>
            <color indexed="81"/>
            <rFont val="Tahoma"/>
            <family val="2"/>
          </rPr>
          <t xml:space="preserve"> Rebecca Bernard:</t>
        </r>
        <r>
          <rPr>
            <sz val="8"/>
            <color indexed="81"/>
            <rFont val="Tahoma"/>
            <family val="2"/>
          </rPr>
          <t xml:space="preserve">
used 1992 same week proportions</t>
        </r>
      </text>
    </comment>
    <comment ref="X273" authorId="0" shapeId="0" xr:uid="{00000000-0006-0000-0200-0000B0020000}">
      <text>
        <r>
          <rPr>
            <b/>
            <sz val="8"/>
            <color indexed="81"/>
            <rFont val="Tahoma"/>
            <family val="2"/>
          </rPr>
          <t xml:space="preserve"> Rebecca Bernard:</t>
        </r>
        <r>
          <rPr>
            <sz val="8"/>
            <color indexed="81"/>
            <rFont val="Tahoma"/>
            <family val="2"/>
          </rPr>
          <t xml:space="preserve">
used same weeks in 1994 for proportions</t>
        </r>
      </text>
    </comment>
    <comment ref="Y273" authorId="0" shapeId="0" xr:uid="{00000000-0006-0000-0200-0000B1020000}">
      <text>
        <r>
          <rPr>
            <b/>
            <sz val="8"/>
            <color indexed="81"/>
            <rFont val="Tahoma"/>
            <family val="2"/>
          </rPr>
          <t xml:space="preserve"> Rebecca Bernard:</t>
        </r>
        <r>
          <rPr>
            <sz val="8"/>
            <color indexed="81"/>
            <rFont val="Tahoma"/>
            <family val="2"/>
          </rPr>
          <t xml:space="preserve">
used same weeks in 1994 for proportions</t>
        </r>
      </text>
    </comment>
    <comment ref="AB273" authorId="0" shapeId="0" xr:uid="{00000000-0006-0000-0200-0000B2020000}">
      <text>
        <r>
          <rPr>
            <b/>
            <sz val="8"/>
            <color indexed="81"/>
            <rFont val="Tahoma"/>
            <family val="2"/>
          </rPr>
          <t xml:space="preserve"> Rebecca Bernard:</t>
        </r>
        <r>
          <rPr>
            <sz val="8"/>
            <color indexed="81"/>
            <rFont val="Tahoma"/>
            <family val="2"/>
          </rPr>
          <t xml:space="preserve">
used same weeks in 1996 for proportions</t>
        </r>
      </text>
    </comment>
    <comment ref="AC273" authorId="0" shapeId="0" xr:uid="{00000000-0006-0000-0200-0000B3020000}">
      <text>
        <r>
          <rPr>
            <b/>
            <sz val="8"/>
            <color indexed="81"/>
            <rFont val="Tahoma"/>
            <family val="2"/>
          </rPr>
          <t xml:space="preserve"> Rebecca Bernard:</t>
        </r>
        <r>
          <rPr>
            <sz val="8"/>
            <color indexed="81"/>
            <rFont val="Tahoma"/>
            <family val="2"/>
          </rPr>
          <t xml:space="preserve">
used same weeks in 1996 for proportions</t>
        </r>
      </text>
    </comment>
    <comment ref="AJ273" authorId="0" shapeId="0" xr:uid="{00000000-0006-0000-0200-0000B4020000}">
      <text>
        <r>
          <rPr>
            <b/>
            <sz val="8"/>
            <color indexed="81"/>
            <rFont val="Tahoma"/>
            <family val="2"/>
          </rPr>
          <t xml:space="preserve"> Rebecca Bernard:</t>
        </r>
        <r>
          <rPr>
            <sz val="8"/>
            <color indexed="81"/>
            <rFont val="Tahoma"/>
            <family val="2"/>
          </rPr>
          <t xml:space="preserve">
used same weeks in 2000</t>
        </r>
      </text>
    </comment>
    <comment ref="AK273" authorId="0" shapeId="0" xr:uid="{00000000-0006-0000-0200-0000B5020000}">
      <text>
        <r>
          <rPr>
            <b/>
            <sz val="8"/>
            <color indexed="81"/>
            <rFont val="Tahoma"/>
            <family val="2"/>
          </rPr>
          <t xml:space="preserve"> Rebecca Bernard:</t>
        </r>
        <r>
          <rPr>
            <sz val="8"/>
            <color indexed="81"/>
            <rFont val="Tahoma"/>
            <family val="2"/>
          </rPr>
          <t xml:space="preserve">
used same weeks in 2000</t>
        </r>
      </text>
    </comment>
    <comment ref="AN273" authorId="0" shapeId="0" xr:uid="{00000000-0006-0000-0200-0000B6020000}">
      <text>
        <r>
          <rPr>
            <b/>
            <sz val="8"/>
            <color indexed="81"/>
            <rFont val="Tahoma"/>
            <family val="2"/>
          </rPr>
          <t xml:space="preserve"> Rebecca Bernard:</t>
        </r>
        <r>
          <rPr>
            <sz val="8"/>
            <color indexed="81"/>
            <rFont val="Tahoma"/>
            <family val="2"/>
          </rPr>
          <t xml:space="preserve">
used week 37 proportions</t>
        </r>
      </text>
    </comment>
    <comment ref="AO273" authorId="0" shapeId="0" xr:uid="{00000000-0006-0000-0200-0000B7020000}">
      <text>
        <r>
          <rPr>
            <b/>
            <sz val="8"/>
            <color indexed="81"/>
            <rFont val="Tahoma"/>
            <family val="2"/>
          </rPr>
          <t xml:space="preserve"> Rebecca Bernard:</t>
        </r>
        <r>
          <rPr>
            <sz val="8"/>
            <color indexed="81"/>
            <rFont val="Tahoma"/>
            <family val="2"/>
          </rPr>
          <t xml:space="preserve">
used week 37 proportions</t>
        </r>
      </text>
    </comment>
    <comment ref="AR273" authorId="0" shapeId="0" xr:uid="{00000000-0006-0000-0200-0000B8020000}">
      <text>
        <r>
          <rPr>
            <b/>
            <sz val="8"/>
            <color indexed="81"/>
            <rFont val="Tahoma"/>
            <family val="2"/>
          </rPr>
          <t xml:space="preserve"> Rebecca Bernard:</t>
        </r>
        <r>
          <rPr>
            <sz val="8"/>
            <color indexed="81"/>
            <rFont val="Tahoma"/>
            <family val="2"/>
          </rPr>
          <t xml:space="preserve">
used same weeks in 2006 more samples in 2006 than 2004</t>
        </r>
      </text>
    </comment>
    <comment ref="AS273" authorId="0" shapeId="0" xr:uid="{00000000-0006-0000-0200-0000B9020000}">
      <text>
        <r>
          <rPr>
            <b/>
            <sz val="8"/>
            <color indexed="81"/>
            <rFont val="Tahoma"/>
            <family val="2"/>
          </rPr>
          <t xml:space="preserve"> Rebecca Bernard:</t>
        </r>
        <r>
          <rPr>
            <sz val="8"/>
            <color indexed="81"/>
            <rFont val="Tahoma"/>
            <family val="2"/>
          </rPr>
          <t xml:space="preserve">
used same weeks in 2006 more samples in 2006 than 2004</t>
        </r>
      </text>
    </comment>
    <comment ref="D274" authorId="0" shapeId="0" xr:uid="{00000000-0006-0000-0200-0000BA020000}">
      <text>
        <r>
          <rPr>
            <b/>
            <sz val="8"/>
            <color indexed="81"/>
            <rFont val="Tahoma"/>
            <family val="2"/>
          </rPr>
          <t xml:space="preserve"> Rebecca Bernard:</t>
        </r>
        <r>
          <rPr>
            <sz val="8"/>
            <color indexed="81"/>
            <rFont val="Tahoma"/>
            <family val="2"/>
          </rPr>
          <t xml:space="preserve">
used week 38 proportions</t>
        </r>
      </text>
    </comment>
    <comment ref="E274" authorId="0" shapeId="0" xr:uid="{00000000-0006-0000-0200-0000BB020000}">
      <text>
        <r>
          <rPr>
            <b/>
            <sz val="8"/>
            <color indexed="81"/>
            <rFont val="Tahoma"/>
            <family val="2"/>
          </rPr>
          <t xml:space="preserve"> Rebecca Bernard:</t>
        </r>
        <r>
          <rPr>
            <sz val="8"/>
            <color indexed="81"/>
            <rFont val="Tahoma"/>
            <family val="2"/>
          </rPr>
          <t xml:space="preserve">
used week 38 proportions</t>
        </r>
      </text>
    </comment>
    <comment ref="H274" authorId="0" shapeId="0" xr:uid="{00000000-0006-0000-0200-0000BC020000}">
      <text>
        <r>
          <rPr>
            <b/>
            <sz val="8"/>
            <color indexed="81"/>
            <rFont val="Tahoma"/>
            <family val="2"/>
          </rPr>
          <t xml:space="preserve"> Rebecca Bernard:</t>
        </r>
        <r>
          <rPr>
            <sz val="8"/>
            <color indexed="81"/>
            <rFont val="Tahoma"/>
            <family val="2"/>
          </rPr>
          <t xml:space="preserve">
used 1988 same weeks proportions</t>
        </r>
      </text>
    </comment>
    <comment ref="I274" authorId="0" shapeId="0" xr:uid="{00000000-0006-0000-0200-0000BD020000}">
      <text>
        <r>
          <rPr>
            <b/>
            <sz val="8"/>
            <color indexed="81"/>
            <rFont val="Tahoma"/>
            <family val="2"/>
          </rPr>
          <t xml:space="preserve"> Rebecca Bernard:</t>
        </r>
        <r>
          <rPr>
            <sz val="8"/>
            <color indexed="81"/>
            <rFont val="Tahoma"/>
            <family val="2"/>
          </rPr>
          <t xml:space="preserve">
used 1988 same weeks proportions</t>
        </r>
      </text>
    </comment>
    <comment ref="L274" authorId="0" shapeId="0" xr:uid="{00000000-0006-0000-0200-0000BE020000}">
      <text>
        <r>
          <rPr>
            <b/>
            <sz val="8"/>
            <color indexed="81"/>
            <rFont val="Tahoma"/>
            <family val="2"/>
          </rPr>
          <t xml:space="preserve"> Rebecca Bernard:</t>
        </r>
        <r>
          <rPr>
            <sz val="8"/>
            <color indexed="81"/>
            <rFont val="Tahoma"/>
            <family val="2"/>
          </rPr>
          <t xml:space="preserve">
used 1988 same weeks proportions</t>
        </r>
      </text>
    </comment>
    <comment ref="M274" authorId="0" shapeId="0" xr:uid="{00000000-0006-0000-0200-0000BF020000}">
      <text>
        <r>
          <rPr>
            <b/>
            <sz val="8"/>
            <color indexed="81"/>
            <rFont val="Tahoma"/>
            <family val="2"/>
          </rPr>
          <t xml:space="preserve"> Rebecca Bernard:</t>
        </r>
        <r>
          <rPr>
            <sz val="8"/>
            <color indexed="81"/>
            <rFont val="Tahoma"/>
            <family val="2"/>
          </rPr>
          <t xml:space="preserve">
used 1988 same weeks proportions</t>
        </r>
      </text>
    </comment>
    <comment ref="P274" authorId="0" shapeId="0" xr:uid="{00000000-0006-0000-0200-0000C0020000}">
      <text>
        <r>
          <rPr>
            <b/>
            <sz val="8"/>
            <color indexed="81"/>
            <rFont val="Tahoma"/>
            <family val="2"/>
          </rPr>
          <t xml:space="preserve"> Rebecca Bernard:</t>
        </r>
        <r>
          <rPr>
            <sz val="8"/>
            <color indexed="81"/>
            <rFont val="Tahoma"/>
            <family val="2"/>
          </rPr>
          <t xml:space="preserve">
used week 35 1992 proportions</t>
        </r>
      </text>
    </comment>
    <comment ref="Q274" authorId="0" shapeId="0" xr:uid="{00000000-0006-0000-0200-0000C1020000}">
      <text>
        <r>
          <rPr>
            <b/>
            <sz val="8"/>
            <color indexed="81"/>
            <rFont val="Tahoma"/>
            <family val="2"/>
          </rPr>
          <t xml:space="preserve"> Rebecca Bernard:</t>
        </r>
        <r>
          <rPr>
            <sz val="8"/>
            <color indexed="81"/>
            <rFont val="Tahoma"/>
            <family val="2"/>
          </rPr>
          <t xml:space="preserve">
used week 35 1992 proportions</t>
        </r>
      </text>
    </comment>
    <comment ref="T274" authorId="0" shapeId="0" xr:uid="{00000000-0006-0000-0200-0000C2020000}">
      <text>
        <r>
          <rPr>
            <b/>
            <sz val="8"/>
            <color indexed="81"/>
            <rFont val="Tahoma"/>
            <family val="2"/>
          </rPr>
          <t xml:space="preserve"> Rebecca Bernard:</t>
        </r>
        <r>
          <rPr>
            <sz val="8"/>
            <color indexed="81"/>
            <rFont val="Tahoma"/>
            <family val="2"/>
          </rPr>
          <t xml:space="preserve">
used week before's proportions</t>
        </r>
      </text>
    </comment>
    <comment ref="U274" authorId="0" shapeId="0" xr:uid="{00000000-0006-0000-0200-0000C3020000}">
      <text>
        <r>
          <rPr>
            <b/>
            <sz val="8"/>
            <color indexed="81"/>
            <rFont val="Tahoma"/>
            <family val="2"/>
          </rPr>
          <t xml:space="preserve"> Rebecca Bernard:</t>
        </r>
        <r>
          <rPr>
            <sz val="8"/>
            <color indexed="81"/>
            <rFont val="Tahoma"/>
            <family val="2"/>
          </rPr>
          <t xml:space="preserve">
used week before's proportions</t>
        </r>
      </text>
    </comment>
    <comment ref="X274" authorId="0" shapeId="0" xr:uid="{00000000-0006-0000-0200-0000C4020000}">
      <text>
        <r>
          <rPr>
            <b/>
            <sz val="8"/>
            <color indexed="81"/>
            <rFont val="Tahoma"/>
            <family val="2"/>
          </rPr>
          <t xml:space="preserve"> Rebecca Bernard:</t>
        </r>
        <r>
          <rPr>
            <sz val="8"/>
            <color indexed="81"/>
            <rFont val="Tahoma"/>
            <family val="2"/>
          </rPr>
          <t xml:space="preserve">
used same weeks in 1994 for proportions</t>
        </r>
      </text>
    </comment>
    <comment ref="Y274" authorId="0" shapeId="0" xr:uid="{00000000-0006-0000-0200-0000C5020000}">
      <text>
        <r>
          <rPr>
            <b/>
            <sz val="8"/>
            <color indexed="81"/>
            <rFont val="Tahoma"/>
            <family val="2"/>
          </rPr>
          <t xml:space="preserve"> Rebecca Bernard:</t>
        </r>
        <r>
          <rPr>
            <sz val="8"/>
            <color indexed="81"/>
            <rFont val="Tahoma"/>
            <family val="2"/>
          </rPr>
          <t xml:space="preserve">
used same weeks in 1994 for proportions</t>
        </r>
      </text>
    </comment>
    <comment ref="AB274" authorId="0" shapeId="0" xr:uid="{00000000-0006-0000-0200-0000C6020000}">
      <text>
        <r>
          <rPr>
            <b/>
            <sz val="8"/>
            <color indexed="81"/>
            <rFont val="Tahoma"/>
            <family val="2"/>
          </rPr>
          <t xml:space="preserve"> Rebecca Bernard:</t>
        </r>
        <r>
          <rPr>
            <sz val="8"/>
            <color indexed="81"/>
            <rFont val="Tahoma"/>
            <family val="2"/>
          </rPr>
          <t xml:space="preserve">
used same weeks in 1996 for proportions</t>
        </r>
      </text>
    </comment>
    <comment ref="AC274" authorId="0" shapeId="0" xr:uid="{00000000-0006-0000-0200-0000C7020000}">
      <text>
        <r>
          <rPr>
            <b/>
            <sz val="8"/>
            <color indexed="81"/>
            <rFont val="Tahoma"/>
            <family val="2"/>
          </rPr>
          <t xml:space="preserve"> Rebecca Bernard:</t>
        </r>
        <r>
          <rPr>
            <sz val="8"/>
            <color indexed="81"/>
            <rFont val="Tahoma"/>
            <family val="2"/>
          </rPr>
          <t xml:space="preserve">
used same weeks in 1996 for proportions</t>
        </r>
      </text>
    </comment>
    <comment ref="D275" authorId="0" shapeId="0" xr:uid="{00000000-0006-0000-0200-0000C8020000}">
      <text>
        <r>
          <rPr>
            <b/>
            <sz val="8"/>
            <color indexed="81"/>
            <rFont val="Tahoma"/>
            <family val="2"/>
          </rPr>
          <t xml:space="preserve"> Rebecca Bernard:</t>
        </r>
        <r>
          <rPr>
            <sz val="8"/>
            <color indexed="81"/>
            <rFont val="Tahoma"/>
            <family val="2"/>
          </rPr>
          <t xml:space="preserve">
used week 38 proportions</t>
        </r>
      </text>
    </comment>
    <comment ref="E275" authorId="0" shapeId="0" xr:uid="{00000000-0006-0000-0200-0000C9020000}">
      <text>
        <r>
          <rPr>
            <b/>
            <sz val="8"/>
            <color indexed="81"/>
            <rFont val="Tahoma"/>
            <family val="2"/>
          </rPr>
          <t xml:space="preserve"> Rebecca Bernard:</t>
        </r>
        <r>
          <rPr>
            <sz val="8"/>
            <color indexed="81"/>
            <rFont val="Tahoma"/>
            <family val="2"/>
          </rPr>
          <t xml:space="preserve">
used week 38 proportions</t>
        </r>
      </text>
    </comment>
    <comment ref="F275" authorId="0" shapeId="0" xr:uid="{00000000-0006-0000-0200-0000CA020000}">
      <text>
        <r>
          <rPr>
            <b/>
            <sz val="8"/>
            <color indexed="81"/>
            <rFont val="Tahoma"/>
            <family val="2"/>
          </rPr>
          <t xml:space="preserve"> Rebecca Bernard:</t>
        </r>
        <r>
          <rPr>
            <sz val="8"/>
            <color indexed="81"/>
            <rFont val="Tahoma"/>
            <family val="2"/>
          </rPr>
          <t xml:space="preserve">
used week before's proportions</t>
        </r>
      </text>
    </comment>
    <comment ref="G275" authorId="0" shapeId="0" xr:uid="{00000000-0006-0000-0200-0000CB020000}">
      <text>
        <r>
          <rPr>
            <b/>
            <sz val="8"/>
            <color indexed="81"/>
            <rFont val="Tahoma"/>
            <family val="2"/>
          </rPr>
          <t xml:space="preserve"> Rebecca Bernard:</t>
        </r>
        <r>
          <rPr>
            <sz val="8"/>
            <color indexed="81"/>
            <rFont val="Tahoma"/>
            <family val="2"/>
          </rPr>
          <t xml:space="preserve">
used week before's proportions</t>
        </r>
      </text>
    </comment>
    <comment ref="H275" authorId="0" shapeId="0" xr:uid="{00000000-0006-0000-0200-0000CC020000}">
      <text>
        <r>
          <rPr>
            <b/>
            <sz val="8"/>
            <color indexed="81"/>
            <rFont val="Tahoma"/>
            <family val="2"/>
          </rPr>
          <t xml:space="preserve"> Rebecca Bernard:</t>
        </r>
        <r>
          <rPr>
            <sz val="8"/>
            <color indexed="81"/>
            <rFont val="Tahoma"/>
            <family val="2"/>
          </rPr>
          <t xml:space="preserve">
used 1988 same weeks proportions</t>
        </r>
      </text>
    </comment>
    <comment ref="I275" authorId="0" shapeId="0" xr:uid="{00000000-0006-0000-0200-0000CD020000}">
      <text>
        <r>
          <rPr>
            <b/>
            <sz val="8"/>
            <color indexed="81"/>
            <rFont val="Tahoma"/>
            <family val="2"/>
          </rPr>
          <t xml:space="preserve"> Rebecca Bernard:</t>
        </r>
        <r>
          <rPr>
            <sz val="8"/>
            <color indexed="81"/>
            <rFont val="Tahoma"/>
            <family val="2"/>
          </rPr>
          <t xml:space="preserve">
used 1988 same weeks proportions</t>
        </r>
      </text>
    </comment>
    <comment ref="L275" authorId="0" shapeId="0" xr:uid="{00000000-0006-0000-0200-0000CE020000}">
      <text>
        <r>
          <rPr>
            <b/>
            <sz val="8"/>
            <color indexed="81"/>
            <rFont val="Tahoma"/>
            <family val="2"/>
          </rPr>
          <t xml:space="preserve"> Rebecca Bernard:</t>
        </r>
        <r>
          <rPr>
            <sz val="8"/>
            <color indexed="81"/>
            <rFont val="Tahoma"/>
            <family val="2"/>
          </rPr>
          <t xml:space="preserve">
used 1988 same weeks proportions</t>
        </r>
      </text>
    </comment>
    <comment ref="M275" authorId="0" shapeId="0" xr:uid="{00000000-0006-0000-0200-0000CF020000}">
      <text>
        <r>
          <rPr>
            <b/>
            <sz val="8"/>
            <color indexed="81"/>
            <rFont val="Tahoma"/>
            <family val="2"/>
          </rPr>
          <t xml:space="preserve"> Rebecca Bernard:</t>
        </r>
        <r>
          <rPr>
            <sz val="8"/>
            <color indexed="81"/>
            <rFont val="Tahoma"/>
            <family val="2"/>
          </rPr>
          <t xml:space="preserve">
used 1988 same weeks proportions</t>
        </r>
      </text>
    </comment>
    <comment ref="N275" authorId="0" shapeId="0" xr:uid="{00000000-0006-0000-0200-0000D0020000}">
      <text>
        <r>
          <rPr>
            <b/>
            <sz val="8"/>
            <color indexed="81"/>
            <rFont val="Tahoma"/>
            <family val="2"/>
          </rPr>
          <t xml:space="preserve"> Rebecca Bernard:</t>
        </r>
        <r>
          <rPr>
            <sz val="8"/>
            <color indexed="81"/>
            <rFont val="Tahoma"/>
            <family val="2"/>
          </rPr>
          <t xml:space="preserve">
used following week's proportions</t>
        </r>
      </text>
    </comment>
    <comment ref="O275" authorId="0" shapeId="0" xr:uid="{00000000-0006-0000-0200-0000D1020000}">
      <text>
        <r>
          <rPr>
            <b/>
            <sz val="8"/>
            <color indexed="81"/>
            <rFont val="Tahoma"/>
            <family val="2"/>
          </rPr>
          <t xml:space="preserve"> Rebecca Bernard:</t>
        </r>
        <r>
          <rPr>
            <sz val="8"/>
            <color indexed="81"/>
            <rFont val="Tahoma"/>
            <family val="2"/>
          </rPr>
          <t xml:space="preserve">
used following week's proportions</t>
        </r>
      </text>
    </comment>
    <comment ref="P275" authorId="0" shapeId="0" xr:uid="{00000000-0006-0000-0200-0000D2020000}">
      <text>
        <r>
          <rPr>
            <b/>
            <sz val="8"/>
            <color indexed="81"/>
            <rFont val="Tahoma"/>
            <family val="2"/>
          </rPr>
          <t xml:space="preserve"> Rebecca Bernard:</t>
        </r>
        <r>
          <rPr>
            <sz val="8"/>
            <color indexed="81"/>
            <rFont val="Tahoma"/>
            <family val="2"/>
          </rPr>
          <t xml:space="preserve">
used 1992 same week proportions</t>
        </r>
      </text>
    </comment>
    <comment ref="Q275" authorId="0" shapeId="0" xr:uid="{00000000-0006-0000-0200-0000D3020000}">
      <text>
        <r>
          <rPr>
            <b/>
            <sz val="8"/>
            <color indexed="81"/>
            <rFont val="Tahoma"/>
            <family val="2"/>
          </rPr>
          <t xml:space="preserve"> Rebecca Bernard:</t>
        </r>
        <r>
          <rPr>
            <sz val="8"/>
            <color indexed="81"/>
            <rFont val="Tahoma"/>
            <family val="2"/>
          </rPr>
          <t xml:space="preserve">
used 1992 same week proportions</t>
        </r>
      </text>
    </comment>
    <comment ref="T275" authorId="0" shapeId="0" xr:uid="{00000000-0006-0000-0200-0000D4020000}">
      <text>
        <r>
          <rPr>
            <b/>
            <sz val="8"/>
            <color indexed="81"/>
            <rFont val="Tahoma"/>
            <family val="2"/>
          </rPr>
          <t xml:space="preserve"> Rebecca Bernard:</t>
        </r>
        <r>
          <rPr>
            <sz val="8"/>
            <color indexed="81"/>
            <rFont val="Tahoma"/>
            <family val="2"/>
          </rPr>
          <t xml:space="preserve">
used week 35 proportions</t>
        </r>
      </text>
    </comment>
    <comment ref="U275" authorId="0" shapeId="0" xr:uid="{00000000-0006-0000-0200-0000D5020000}">
      <text>
        <r>
          <rPr>
            <b/>
            <sz val="8"/>
            <color indexed="81"/>
            <rFont val="Tahoma"/>
            <family val="2"/>
          </rPr>
          <t xml:space="preserve"> Rebecca Bernard:</t>
        </r>
        <r>
          <rPr>
            <sz val="8"/>
            <color indexed="81"/>
            <rFont val="Tahoma"/>
            <family val="2"/>
          </rPr>
          <t xml:space="preserve">
used week 35 proportions</t>
        </r>
      </text>
    </comment>
    <comment ref="V275" authorId="0" shapeId="0" xr:uid="{00000000-0006-0000-0200-0000D6020000}">
      <text>
        <r>
          <rPr>
            <b/>
            <sz val="8"/>
            <color indexed="81"/>
            <rFont val="Tahoma"/>
            <family val="2"/>
          </rPr>
          <t xml:space="preserve"> Rebecca Bernard:</t>
        </r>
        <r>
          <rPr>
            <sz val="8"/>
            <color indexed="81"/>
            <rFont val="Tahoma"/>
            <family val="2"/>
          </rPr>
          <t xml:space="preserve">
used week before's proportions</t>
        </r>
      </text>
    </comment>
    <comment ref="W275" authorId="0" shapeId="0" xr:uid="{00000000-0006-0000-0200-0000D7020000}">
      <text>
        <r>
          <rPr>
            <b/>
            <sz val="8"/>
            <color indexed="81"/>
            <rFont val="Tahoma"/>
            <family val="2"/>
          </rPr>
          <t xml:space="preserve"> Rebecca Bernard:</t>
        </r>
        <r>
          <rPr>
            <sz val="8"/>
            <color indexed="81"/>
            <rFont val="Tahoma"/>
            <family val="2"/>
          </rPr>
          <t xml:space="preserve">
used week before's proportions</t>
        </r>
      </text>
    </comment>
    <comment ref="X275" authorId="0" shapeId="0" xr:uid="{00000000-0006-0000-0200-0000D8020000}">
      <text>
        <r>
          <rPr>
            <b/>
            <sz val="8"/>
            <color indexed="81"/>
            <rFont val="Tahoma"/>
            <family val="2"/>
          </rPr>
          <t xml:space="preserve"> Rebecca Bernard:</t>
        </r>
        <r>
          <rPr>
            <sz val="8"/>
            <color indexed="81"/>
            <rFont val="Tahoma"/>
            <family val="2"/>
          </rPr>
          <t xml:space="preserve">
used same weeks in 1994 for proportions</t>
        </r>
      </text>
    </comment>
    <comment ref="Y275" authorId="0" shapeId="0" xr:uid="{00000000-0006-0000-0200-0000D9020000}">
      <text>
        <r>
          <rPr>
            <b/>
            <sz val="8"/>
            <color indexed="81"/>
            <rFont val="Tahoma"/>
            <family val="2"/>
          </rPr>
          <t xml:space="preserve"> Rebecca Bernard:</t>
        </r>
        <r>
          <rPr>
            <sz val="8"/>
            <color indexed="81"/>
            <rFont val="Tahoma"/>
            <family val="2"/>
          </rPr>
          <t xml:space="preserve">
used same weeks in 1994 for proportions</t>
        </r>
      </text>
    </comment>
    <comment ref="Z275" authorId="0" shapeId="0" xr:uid="{00000000-0006-0000-0200-0000DA020000}">
      <text>
        <r>
          <rPr>
            <b/>
            <sz val="8"/>
            <color indexed="81"/>
            <rFont val="Tahoma"/>
            <family val="2"/>
          </rPr>
          <t xml:space="preserve"> Rebecca Bernard:</t>
        </r>
        <r>
          <rPr>
            <sz val="8"/>
            <color indexed="81"/>
            <rFont val="Tahoma"/>
            <family val="2"/>
          </rPr>
          <t xml:space="preserve">
used week before's proportions</t>
        </r>
      </text>
    </comment>
    <comment ref="AA275" authorId="0" shapeId="0" xr:uid="{00000000-0006-0000-0200-0000DB020000}">
      <text>
        <r>
          <rPr>
            <b/>
            <sz val="8"/>
            <color indexed="81"/>
            <rFont val="Tahoma"/>
            <family val="2"/>
          </rPr>
          <t xml:space="preserve"> Rebecca Bernard:</t>
        </r>
        <r>
          <rPr>
            <sz val="8"/>
            <color indexed="81"/>
            <rFont val="Tahoma"/>
            <family val="2"/>
          </rPr>
          <t xml:space="preserve">
used week before's proportions</t>
        </r>
      </text>
    </comment>
    <comment ref="AF275" authorId="0" shapeId="0" xr:uid="{00000000-0006-0000-0200-0000DC020000}">
      <text>
        <r>
          <rPr>
            <b/>
            <sz val="8"/>
            <color indexed="81"/>
            <rFont val="Tahoma"/>
            <family val="2"/>
          </rPr>
          <t xml:space="preserve"> Rebecca Bernard:</t>
        </r>
        <r>
          <rPr>
            <sz val="8"/>
            <color indexed="81"/>
            <rFont val="Tahoma"/>
            <family val="2"/>
          </rPr>
          <t xml:space="preserve">
used same weeks in 2000, 2000 had more samples than 1999</t>
        </r>
      </text>
    </comment>
    <comment ref="AG275" authorId="0" shapeId="0" xr:uid="{00000000-0006-0000-0200-0000DD020000}">
      <text>
        <r>
          <rPr>
            <b/>
            <sz val="8"/>
            <color indexed="81"/>
            <rFont val="Tahoma"/>
            <family val="2"/>
          </rPr>
          <t xml:space="preserve"> Rebecca Bernard:</t>
        </r>
        <r>
          <rPr>
            <sz val="8"/>
            <color indexed="81"/>
            <rFont val="Tahoma"/>
            <family val="2"/>
          </rPr>
          <t xml:space="preserve">
used same weeks in 2000, 2000 had more samples than 1999</t>
        </r>
      </text>
    </comment>
    <comment ref="AN275" authorId="0" shapeId="0" xr:uid="{00000000-0006-0000-0200-0000DE020000}">
      <text>
        <r>
          <rPr>
            <b/>
            <sz val="8"/>
            <color indexed="81"/>
            <rFont val="Tahoma"/>
            <family val="2"/>
          </rPr>
          <t xml:space="preserve"> Rebecca Bernard:</t>
        </r>
        <r>
          <rPr>
            <sz val="8"/>
            <color indexed="81"/>
            <rFont val="Tahoma"/>
            <family val="2"/>
          </rPr>
          <t xml:space="preserve">
used following week's proportions</t>
        </r>
      </text>
    </comment>
    <comment ref="AO275" authorId="0" shapeId="0" xr:uid="{00000000-0006-0000-0200-0000DF020000}">
      <text>
        <r>
          <rPr>
            <b/>
            <sz val="8"/>
            <color indexed="81"/>
            <rFont val="Tahoma"/>
            <family val="2"/>
          </rPr>
          <t xml:space="preserve"> Rebecca Bernard:</t>
        </r>
        <r>
          <rPr>
            <sz val="8"/>
            <color indexed="81"/>
            <rFont val="Tahoma"/>
            <family val="2"/>
          </rPr>
          <t xml:space="preserve">
used following week's proportions</t>
        </r>
      </text>
    </comment>
    <comment ref="AR275" authorId="0" shapeId="0" xr:uid="{00000000-0006-0000-0200-0000E0020000}">
      <text>
        <r>
          <rPr>
            <b/>
            <sz val="8"/>
            <color indexed="81"/>
            <rFont val="Tahoma"/>
            <family val="2"/>
          </rPr>
          <t xml:space="preserve"> Rebecca Bernard:</t>
        </r>
        <r>
          <rPr>
            <sz val="8"/>
            <color indexed="81"/>
            <rFont val="Tahoma"/>
            <family val="2"/>
          </rPr>
          <t xml:space="preserve">
used same weeks in 2006 more samples in 2006 than 2004</t>
        </r>
      </text>
    </comment>
    <comment ref="AS275" authorId="0" shapeId="0" xr:uid="{00000000-0006-0000-0200-0000E1020000}">
      <text>
        <r>
          <rPr>
            <b/>
            <sz val="8"/>
            <color indexed="81"/>
            <rFont val="Tahoma"/>
            <family val="2"/>
          </rPr>
          <t xml:space="preserve"> Rebecca Bernard:</t>
        </r>
        <r>
          <rPr>
            <sz val="8"/>
            <color indexed="81"/>
            <rFont val="Tahoma"/>
            <family val="2"/>
          </rPr>
          <t xml:space="preserve">
used same weeks in 2006 more samples in 2006 than 2004</t>
        </r>
      </text>
    </comment>
    <comment ref="D276" authorId="0" shapeId="0" xr:uid="{00000000-0006-0000-0200-0000E2020000}">
      <text>
        <r>
          <rPr>
            <b/>
            <sz val="8"/>
            <color indexed="81"/>
            <rFont val="Tahoma"/>
            <family val="2"/>
          </rPr>
          <t xml:space="preserve"> Rebecca Bernard:</t>
        </r>
        <r>
          <rPr>
            <sz val="8"/>
            <color indexed="81"/>
            <rFont val="Tahoma"/>
            <family val="2"/>
          </rPr>
          <t xml:space="preserve">
used following week's proportions</t>
        </r>
      </text>
    </comment>
    <comment ref="E276" authorId="0" shapeId="0" xr:uid="{00000000-0006-0000-0200-0000E3020000}">
      <text>
        <r>
          <rPr>
            <b/>
            <sz val="8"/>
            <color indexed="81"/>
            <rFont val="Tahoma"/>
            <family val="2"/>
          </rPr>
          <t xml:space="preserve"> Rebecca Bernard:</t>
        </r>
        <r>
          <rPr>
            <sz val="8"/>
            <color indexed="81"/>
            <rFont val="Tahoma"/>
            <family val="2"/>
          </rPr>
          <t xml:space="preserve">
used following week's proportions</t>
        </r>
      </text>
    </comment>
    <comment ref="H276" authorId="0" shapeId="0" xr:uid="{00000000-0006-0000-0200-0000E4020000}">
      <text>
        <r>
          <rPr>
            <b/>
            <sz val="8"/>
            <color indexed="81"/>
            <rFont val="Tahoma"/>
            <family val="2"/>
          </rPr>
          <t xml:space="preserve"> Rebecca Bernard:</t>
        </r>
        <r>
          <rPr>
            <sz val="8"/>
            <color indexed="81"/>
            <rFont val="Tahoma"/>
            <family val="2"/>
          </rPr>
          <t xml:space="preserve">
used 1988 same weeks proportions</t>
        </r>
      </text>
    </comment>
    <comment ref="I276" authorId="0" shapeId="0" xr:uid="{00000000-0006-0000-0200-0000E5020000}">
      <text>
        <r>
          <rPr>
            <b/>
            <sz val="8"/>
            <color indexed="81"/>
            <rFont val="Tahoma"/>
            <family val="2"/>
          </rPr>
          <t xml:space="preserve"> Rebecca Bernard:</t>
        </r>
        <r>
          <rPr>
            <sz val="8"/>
            <color indexed="81"/>
            <rFont val="Tahoma"/>
            <family val="2"/>
          </rPr>
          <t xml:space="preserve">
used 1988 same weeks proportions</t>
        </r>
      </text>
    </comment>
    <comment ref="L276" authorId="0" shapeId="0" xr:uid="{00000000-0006-0000-0200-0000E6020000}">
      <text>
        <r>
          <rPr>
            <b/>
            <sz val="8"/>
            <color indexed="81"/>
            <rFont val="Tahoma"/>
            <family val="2"/>
          </rPr>
          <t xml:space="preserve"> Rebecca Bernard:</t>
        </r>
        <r>
          <rPr>
            <sz val="8"/>
            <color indexed="81"/>
            <rFont val="Tahoma"/>
            <family val="2"/>
          </rPr>
          <t xml:space="preserve">
used 1988 same weeks proportions</t>
        </r>
      </text>
    </comment>
    <comment ref="M276" authorId="0" shapeId="0" xr:uid="{00000000-0006-0000-0200-0000E7020000}">
      <text>
        <r>
          <rPr>
            <b/>
            <sz val="8"/>
            <color indexed="81"/>
            <rFont val="Tahoma"/>
            <family val="2"/>
          </rPr>
          <t xml:space="preserve"> Rebecca Bernard:</t>
        </r>
        <r>
          <rPr>
            <sz val="8"/>
            <color indexed="81"/>
            <rFont val="Tahoma"/>
            <family val="2"/>
          </rPr>
          <t xml:space="preserve">
used 1988 same weeks proportions</t>
        </r>
      </text>
    </comment>
    <comment ref="P276" authorId="0" shapeId="0" xr:uid="{00000000-0006-0000-0200-0000E8020000}">
      <text>
        <r>
          <rPr>
            <b/>
            <sz val="8"/>
            <color indexed="81"/>
            <rFont val="Tahoma"/>
            <family val="2"/>
          </rPr>
          <t xml:space="preserve"> Rebecca Bernard:</t>
        </r>
        <r>
          <rPr>
            <sz val="8"/>
            <color indexed="81"/>
            <rFont val="Tahoma"/>
            <family val="2"/>
          </rPr>
          <t xml:space="preserve">
used same week 1990</t>
        </r>
      </text>
    </comment>
    <comment ref="Q276" authorId="0" shapeId="0" xr:uid="{00000000-0006-0000-0200-0000E9020000}">
      <text>
        <r>
          <rPr>
            <b/>
            <sz val="8"/>
            <color indexed="81"/>
            <rFont val="Tahoma"/>
            <family val="2"/>
          </rPr>
          <t xml:space="preserve"> Rebecca Bernard:</t>
        </r>
        <r>
          <rPr>
            <sz val="8"/>
            <color indexed="81"/>
            <rFont val="Tahoma"/>
            <family val="2"/>
          </rPr>
          <t xml:space="preserve">
used same week 1990</t>
        </r>
      </text>
    </comment>
    <comment ref="T276" authorId="0" shapeId="0" xr:uid="{00000000-0006-0000-0200-0000EA020000}">
      <text>
        <r>
          <rPr>
            <b/>
            <sz val="8"/>
            <color indexed="81"/>
            <rFont val="Tahoma"/>
            <family val="2"/>
          </rPr>
          <t xml:space="preserve"> Rebecca Bernard:</t>
        </r>
        <r>
          <rPr>
            <sz val="8"/>
            <color indexed="81"/>
            <rFont val="Tahoma"/>
            <family val="2"/>
          </rPr>
          <t xml:space="preserve">
used week 40 proportions</t>
        </r>
      </text>
    </comment>
    <comment ref="U276" authorId="0" shapeId="0" xr:uid="{00000000-0006-0000-0200-0000EB020000}">
      <text>
        <r>
          <rPr>
            <b/>
            <sz val="8"/>
            <color indexed="81"/>
            <rFont val="Tahoma"/>
            <family val="2"/>
          </rPr>
          <t xml:space="preserve"> Rebecca Bernard:</t>
        </r>
        <r>
          <rPr>
            <sz val="8"/>
            <color indexed="81"/>
            <rFont val="Tahoma"/>
            <family val="2"/>
          </rPr>
          <t xml:space="preserve">
used week 40 proportions</t>
        </r>
      </text>
    </comment>
    <comment ref="X276" authorId="0" shapeId="0" xr:uid="{00000000-0006-0000-0200-0000EC020000}">
      <text>
        <r>
          <rPr>
            <b/>
            <sz val="8"/>
            <color indexed="81"/>
            <rFont val="Tahoma"/>
            <family val="2"/>
          </rPr>
          <t xml:space="preserve"> Rebecca Bernard:</t>
        </r>
        <r>
          <rPr>
            <sz val="8"/>
            <color indexed="81"/>
            <rFont val="Tahoma"/>
            <family val="2"/>
          </rPr>
          <t xml:space="preserve">
used same weeks in 1994 for proportions</t>
        </r>
      </text>
    </comment>
    <comment ref="Y276" authorId="0" shapeId="0" xr:uid="{00000000-0006-0000-0200-0000ED020000}">
      <text>
        <r>
          <rPr>
            <b/>
            <sz val="8"/>
            <color indexed="81"/>
            <rFont val="Tahoma"/>
            <family val="2"/>
          </rPr>
          <t xml:space="preserve"> Rebecca Bernard:</t>
        </r>
        <r>
          <rPr>
            <sz val="8"/>
            <color indexed="81"/>
            <rFont val="Tahoma"/>
            <family val="2"/>
          </rPr>
          <t xml:space="preserve">
used same weeks in 1994 for proportions</t>
        </r>
      </text>
    </comment>
    <comment ref="BR276" authorId="2" shapeId="0" xr:uid="{00000000-0006-0000-0200-0000EE020000}">
      <text>
        <r>
          <rPr>
            <b/>
            <sz val="9"/>
            <color indexed="81"/>
            <rFont val="Tahoma"/>
            <family val="2"/>
          </rPr>
          <t>Pete Kairis:</t>
        </r>
        <r>
          <rPr>
            <sz val="9"/>
            <color indexed="81"/>
            <rFont val="Tahoma"/>
            <family val="2"/>
          </rPr>
          <t xml:space="preserve">
No samples this week, so using following week.</t>
        </r>
      </text>
    </comment>
    <comment ref="BS276" authorId="2" shapeId="0" xr:uid="{00000000-0006-0000-0200-0000EF020000}">
      <text>
        <r>
          <rPr>
            <b/>
            <sz val="9"/>
            <color indexed="81"/>
            <rFont val="Tahoma"/>
            <family val="2"/>
          </rPr>
          <t>Pete Kairis:</t>
        </r>
        <r>
          <rPr>
            <sz val="9"/>
            <color indexed="81"/>
            <rFont val="Tahoma"/>
            <family val="2"/>
          </rPr>
          <t xml:space="preserve">
No samples this week, so using following week.</t>
        </r>
      </text>
    </comment>
    <comment ref="BT276" authorId="2" shapeId="0" xr:uid="{00000000-0006-0000-0200-0000F0020000}">
      <text>
        <r>
          <rPr>
            <b/>
            <sz val="9"/>
            <color indexed="81"/>
            <rFont val="Tahoma"/>
            <family val="2"/>
          </rPr>
          <t>Pete Kairis:</t>
        </r>
        <r>
          <rPr>
            <sz val="9"/>
            <color indexed="81"/>
            <rFont val="Tahoma"/>
            <family val="2"/>
          </rPr>
          <t xml:space="preserve">
No samples this week, so using following week.</t>
        </r>
      </text>
    </comment>
    <comment ref="BU276" authorId="2" shapeId="0" xr:uid="{00000000-0006-0000-0200-0000F1020000}">
      <text>
        <r>
          <rPr>
            <b/>
            <sz val="9"/>
            <color indexed="81"/>
            <rFont val="Tahoma"/>
            <family val="2"/>
          </rPr>
          <t>Pete Kairis:</t>
        </r>
        <r>
          <rPr>
            <sz val="9"/>
            <color indexed="81"/>
            <rFont val="Tahoma"/>
            <family val="2"/>
          </rPr>
          <t xml:space="preserve">
No samples this week, so using following week.</t>
        </r>
      </text>
    </comment>
    <comment ref="BV276" authorId="2" shapeId="0" xr:uid="{00000000-0006-0000-0200-0000F2020000}">
      <text>
        <r>
          <rPr>
            <b/>
            <sz val="9"/>
            <color indexed="81"/>
            <rFont val="Tahoma"/>
            <family val="2"/>
          </rPr>
          <t>Pete Kairis:</t>
        </r>
        <r>
          <rPr>
            <sz val="9"/>
            <color indexed="81"/>
            <rFont val="Tahoma"/>
            <family val="2"/>
          </rPr>
          <t xml:space="preserve">
No samples this week, so using following week.</t>
        </r>
      </text>
    </comment>
    <comment ref="BW276" authorId="2" shapeId="0" xr:uid="{00000000-0006-0000-0200-0000F3020000}">
      <text>
        <r>
          <rPr>
            <b/>
            <sz val="9"/>
            <color indexed="81"/>
            <rFont val="Tahoma"/>
            <family val="2"/>
          </rPr>
          <t>Pete Kairis:</t>
        </r>
        <r>
          <rPr>
            <sz val="9"/>
            <color indexed="81"/>
            <rFont val="Tahoma"/>
            <family val="2"/>
          </rPr>
          <t xml:space="preserve">
No samples this week, so using following week.</t>
        </r>
      </text>
    </comment>
    <comment ref="R277" authorId="0" shapeId="0" xr:uid="{00000000-0006-0000-0200-0000F4020000}">
      <text>
        <r>
          <rPr>
            <b/>
            <sz val="8"/>
            <color indexed="81"/>
            <rFont val="Tahoma"/>
            <family val="2"/>
          </rPr>
          <t xml:space="preserve"> Rebecca Bernard:</t>
        </r>
        <r>
          <rPr>
            <sz val="8"/>
            <color indexed="81"/>
            <rFont val="Tahoma"/>
            <family val="2"/>
          </rPr>
          <t xml:space="preserve">
used following week's proportions</t>
        </r>
      </text>
    </comment>
    <comment ref="S277" authorId="0" shapeId="0" xr:uid="{00000000-0006-0000-0200-0000F5020000}">
      <text>
        <r>
          <rPr>
            <b/>
            <sz val="8"/>
            <color indexed="81"/>
            <rFont val="Tahoma"/>
            <family val="2"/>
          </rPr>
          <t xml:space="preserve"> Rebecca Bernard:</t>
        </r>
        <r>
          <rPr>
            <sz val="8"/>
            <color indexed="81"/>
            <rFont val="Tahoma"/>
            <family val="2"/>
          </rPr>
          <t xml:space="preserve">
used following week's proportions</t>
        </r>
      </text>
    </comment>
    <comment ref="AF277" authorId="0" shapeId="0" xr:uid="{00000000-0006-0000-0200-0000F6020000}">
      <text>
        <r>
          <rPr>
            <b/>
            <sz val="8"/>
            <color indexed="81"/>
            <rFont val="Tahoma"/>
            <family val="2"/>
          </rPr>
          <t xml:space="preserve"> Rebecca Bernard:</t>
        </r>
        <r>
          <rPr>
            <sz val="8"/>
            <color indexed="81"/>
            <rFont val="Tahoma"/>
            <family val="2"/>
          </rPr>
          <t xml:space="preserve">
used same weeks in 2000, 2000 had more samples than 1999</t>
        </r>
      </text>
    </comment>
    <comment ref="AG277" authorId="0" shapeId="0" xr:uid="{00000000-0006-0000-0200-0000F7020000}">
      <text>
        <r>
          <rPr>
            <b/>
            <sz val="8"/>
            <color indexed="81"/>
            <rFont val="Tahoma"/>
            <family val="2"/>
          </rPr>
          <t xml:space="preserve"> Rebecca Bernard:</t>
        </r>
        <r>
          <rPr>
            <sz val="8"/>
            <color indexed="81"/>
            <rFont val="Tahoma"/>
            <family val="2"/>
          </rPr>
          <t xml:space="preserve">
used same weeks in 2000, 2000 had more samples than 1999</t>
        </r>
      </text>
    </comment>
    <comment ref="AX277" authorId="0" shapeId="0" xr:uid="{00000000-0006-0000-0200-0000F8020000}">
      <text>
        <r>
          <rPr>
            <b/>
            <sz val="8"/>
            <color indexed="81"/>
            <rFont val="Tahoma"/>
            <family val="2"/>
          </rPr>
          <t xml:space="preserve"> Rebecca Bernard:</t>
        </r>
        <r>
          <rPr>
            <sz val="8"/>
            <color indexed="81"/>
            <rFont val="Tahoma"/>
            <family val="2"/>
          </rPr>
          <t xml:space="preserve">
used same week in 2006</t>
        </r>
      </text>
    </comment>
    <comment ref="AY277" authorId="0" shapeId="0" xr:uid="{00000000-0006-0000-0200-0000F9020000}">
      <text>
        <r>
          <rPr>
            <b/>
            <sz val="8"/>
            <color indexed="81"/>
            <rFont val="Tahoma"/>
            <family val="2"/>
          </rPr>
          <t xml:space="preserve"> Rebecca Bernard:</t>
        </r>
        <r>
          <rPr>
            <sz val="8"/>
            <color indexed="81"/>
            <rFont val="Tahoma"/>
            <family val="2"/>
          </rPr>
          <t xml:space="preserve">
used same week in 2006</t>
        </r>
      </text>
    </comment>
    <comment ref="BF277" authorId="2" shapeId="0" xr:uid="{00000000-0006-0000-0200-0000FA02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G277" authorId="2" shapeId="0" xr:uid="{00000000-0006-0000-0200-0000FB02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H277" authorId="1" shapeId="0" xr:uid="{00000000-0006-0000-0200-0000FC020000}">
      <text>
        <r>
          <rPr>
            <b/>
            <sz val="9"/>
            <color indexed="81"/>
            <rFont val="Tahoma"/>
            <family val="2"/>
          </rPr>
          <t>pkairis:</t>
        </r>
        <r>
          <rPr>
            <sz val="9"/>
            <color indexed="81"/>
            <rFont val="Tahoma"/>
            <family val="2"/>
          </rPr>
          <t xml:space="preserve">
For 2013-14 forecast, used 2006-2011 average H/W percentages for this week because no samples in 2012.
</t>
        </r>
      </text>
    </comment>
    <comment ref="BI277" authorId="2" shapeId="0" xr:uid="{00000000-0006-0000-0200-0000FD02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J277" authorId="2" shapeId="0" xr:uid="{00000000-0006-0000-0200-0000FE02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K277" authorId="1" shapeId="0" xr:uid="{00000000-0006-0000-0200-0000FF020000}">
      <text>
        <r>
          <rPr>
            <b/>
            <sz val="9"/>
            <color indexed="81"/>
            <rFont val="Tahoma"/>
            <family val="2"/>
          </rPr>
          <t>pkairis:</t>
        </r>
        <r>
          <rPr>
            <sz val="9"/>
            <color indexed="81"/>
            <rFont val="Tahoma"/>
            <family val="2"/>
          </rPr>
          <t xml:space="preserve">
For 2013-14 forecast, used 2006-2011 average H/W percentages for this week because no samples in 2012.
</t>
        </r>
      </text>
    </comment>
    <comment ref="BX277" authorId="2" shapeId="0" xr:uid="{00000000-0006-0000-0200-000000030000}">
      <text>
        <r>
          <rPr>
            <b/>
            <sz val="9"/>
            <color indexed="81"/>
            <rFont val="Tahoma"/>
            <family val="2"/>
          </rPr>
          <t>Pete Kairis:</t>
        </r>
        <r>
          <rPr>
            <sz val="9"/>
            <color indexed="81"/>
            <rFont val="Tahoma"/>
            <family val="2"/>
          </rPr>
          <t xml:space="preserve">
No samples, so use week 42</t>
        </r>
      </text>
    </comment>
    <comment ref="BY277" authorId="2" shapeId="0" xr:uid="{00000000-0006-0000-0200-000001030000}">
      <text>
        <r>
          <rPr>
            <b/>
            <sz val="9"/>
            <color indexed="81"/>
            <rFont val="Tahoma"/>
            <family val="2"/>
          </rPr>
          <t>Pete Kairis:</t>
        </r>
        <r>
          <rPr>
            <sz val="9"/>
            <color indexed="81"/>
            <rFont val="Tahoma"/>
            <family val="2"/>
          </rPr>
          <t xml:space="preserve">
No samples, so use week 42</t>
        </r>
      </text>
    </comment>
    <comment ref="BZ277" authorId="2" shapeId="0" xr:uid="{00000000-0006-0000-0200-000002030000}">
      <text>
        <r>
          <rPr>
            <b/>
            <sz val="9"/>
            <color indexed="81"/>
            <rFont val="Tahoma"/>
            <family val="2"/>
          </rPr>
          <t>Pete Kairis:</t>
        </r>
        <r>
          <rPr>
            <sz val="9"/>
            <color indexed="81"/>
            <rFont val="Tahoma"/>
            <family val="2"/>
          </rPr>
          <t xml:space="preserve">
No samples, so use week 42</t>
        </r>
      </text>
    </comment>
    <comment ref="CA277" authorId="2" shapeId="0" xr:uid="{00000000-0006-0000-0200-000003030000}">
      <text>
        <r>
          <rPr>
            <b/>
            <sz val="9"/>
            <color indexed="81"/>
            <rFont val="Tahoma"/>
            <family val="2"/>
          </rPr>
          <t>Pete Kairis:</t>
        </r>
        <r>
          <rPr>
            <sz val="9"/>
            <color indexed="81"/>
            <rFont val="Tahoma"/>
            <family val="2"/>
          </rPr>
          <t xml:space="preserve">
No samples, so use week 42</t>
        </r>
      </text>
    </comment>
    <comment ref="CB277" authorId="2" shapeId="0" xr:uid="{00000000-0006-0000-0200-000004030000}">
      <text>
        <r>
          <rPr>
            <b/>
            <sz val="9"/>
            <color indexed="81"/>
            <rFont val="Tahoma"/>
            <family val="2"/>
          </rPr>
          <t>Pete Kairis:</t>
        </r>
        <r>
          <rPr>
            <sz val="9"/>
            <color indexed="81"/>
            <rFont val="Tahoma"/>
            <family val="2"/>
          </rPr>
          <t xml:space="preserve">
No samples, so use week 42</t>
        </r>
      </text>
    </comment>
    <comment ref="CC277" authorId="2" shapeId="0" xr:uid="{00000000-0006-0000-0200-000005030000}">
      <text>
        <r>
          <rPr>
            <b/>
            <sz val="9"/>
            <color indexed="81"/>
            <rFont val="Tahoma"/>
            <family val="2"/>
          </rPr>
          <t>Pete Kairis:</t>
        </r>
        <r>
          <rPr>
            <sz val="9"/>
            <color indexed="81"/>
            <rFont val="Tahoma"/>
            <family val="2"/>
          </rPr>
          <t xml:space="preserve">
No samples, so use week 42</t>
        </r>
      </text>
    </comment>
    <comment ref="DE277" authorId="2" shapeId="0" xr:uid="{63E57F31-1D40-4D80-9486-76803C3603F8}">
      <text>
        <r>
          <rPr>
            <b/>
            <sz val="9"/>
            <color indexed="81"/>
            <rFont val="Tahoma"/>
            <family val="2"/>
          </rPr>
          <t>Pete Kairis:</t>
        </r>
        <r>
          <rPr>
            <sz val="9"/>
            <color indexed="81"/>
            <rFont val="Tahoma"/>
            <family val="2"/>
          </rPr>
          <t xml:space="preserve">
Includes 1 unknown, currently assumed wild prespawn</t>
        </r>
      </text>
    </comment>
    <comment ref="J278" authorId="0" shapeId="0" xr:uid="{00000000-0006-0000-0200-000006030000}">
      <text>
        <r>
          <rPr>
            <b/>
            <sz val="8"/>
            <color indexed="81"/>
            <rFont val="Tahoma"/>
            <family val="2"/>
          </rPr>
          <t xml:space="preserve"> Rebecca Bernard:</t>
        </r>
        <r>
          <rPr>
            <sz val="8"/>
            <color indexed="81"/>
            <rFont val="Tahoma"/>
            <family val="2"/>
          </rPr>
          <t xml:space="preserve">
used week before's proportions</t>
        </r>
      </text>
    </comment>
    <comment ref="K278" authorId="0" shapeId="0" xr:uid="{00000000-0006-0000-0200-000007030000}">
      <text>
        <r>
          <rPr>
            <b/>
            <sz val="8"/>
            <color indexed="81"/>
            <rFont val="Tahoma"/>
            <family val="2"/>
          </rPr>
          <t xml:space="preserve"> Rebecca Bernard:</t>
        </r>
        <r>
          <rPr>
            <sz val="8"/>
            <color indexed="81"/>
            <rFont val="Tahoma"/>
            <family val="2"/>
          </rPr>
          <t xml:space="preserve">
used week before's proportions</t>
        </r>
      </text>
    </comment>
    <comment ref="N278" authorId="0" shapeId="0" xr:uid="{00000000-0006-0000-0200-000008030000}">
      <text>
        <r>
          <rPr>
            <b/>
            <sz val="8"/>
            <color indexed="81"/>
            <rFont val="Tahoma"/>
            <family val="2"/>
          </rPr>
          <t xml:space="preserve"> Rebecca Bernard:</t>
        </r>
        <r>
          <rPr>
            <sz val="8"/>
            <color indexed="81"/>
            <rFont val="Tahoma"/>
            <family val="2"/>
          </rPr>
          <t xml:space="preserve">
used week before's proportions</t>
        </r>
      </text>
    </comment>
    <comment ref="O278" authorId="0" shapeId="0" xr:uid="{00000000-0006-0000-0200-000009030000}">
      <text>
        <r>
          <rPr>
            <b/>
            <sz val="8"/>
            <color indexed="81"/>
            <rFont val="Tahoma"/>
            <family val="2"/>
          </rPr>
          <t xml:space="preserve"> Rebecca Bernard:</t>
        </r>
        <r>
          <rPr>
            <sz val="8"/>
            <color indexed="81"/>
            <rFont val="Tahoma"/>
            <family val="2"/>
          </rPr>
          <t xml:space="preserve">
used week before's proportions</t>
        </r>
      </text>
    </comment>
    <comment ref="AF278" authorId="0" shapeId="0" xr:uid="{00000000-0006-0000-0200-00000A030000}">
      <text>
        <r>
          <rPr>
            <b/>
            <sz val="8"/>
            <color indexed="81"/>
            <rFont val="Tahoma"/>
            <family val="2"/>
          </rPr>
          <t xml:space="preserve"> Rebecca Bernard:</t>
        </r>
        <r>
          <rPr>
            <sz val="8"/>
            <color indexed="81"/>
            <rFont val="Tahoma"/>
            <family val="2"/>
          </rPr>
          <t xml:space="preserve">
used same weeks in 2000, 2000 had more samples than 1999</t>
        </r>
      </text>
    </comment>
    <comment ref="AG278" authorId="0" shapeId="0" xr:uid="{00000000-0006-0000-0200-00000B030000}">
      <text>
        <r>
          <rPr>
            <b/>
            <sz val="8"/>
            <color indexed="81"/>
            <rFont val="Tahoma"/>
            <family val="2"/>
          </rPr>
          <t xml:space="preserve"> Rebecca Bernard:</t>
        </r>
        <r>
          <rPr>
            <sz val="8"/>
            <color indexed="81"/>
            <rFont val="Tahoma"/>
            <family val="2"/>
          </rPr>
          <t xml:space="preserve">
used same weeks in 2000, 2000 had more samples than 1999</t>
        </r>
      </text>
    </comment>
    <comment ref="AJ278" authorId="0" shapeId="0" xr:uid="{00000000-0006-0000-0200-00000C030000}">
      <text>
        <r>
          <rPr>
            <b/>
            <sz val="8"/>
            <color indexed="81"/>
            <rFont val="Tahoma"/>
            <family val="2"/>
          </rPr>
          <t xml:space="preserve"> Rebecca Bernard:</t>
        </r>
        <r>
          <rPr>
            <sz val="8"/>
            <color indexed="81"/>
            <rFont val="Tahoma"/>
            <family val="2"/>
          </rPr>
          <t xml:space="preserve">
used same weeks in 2000</t>
        </r>
      </text>
    </comment>
    <comment ref="AK278" authorId="0" shapeId="0" xr:uid="{00000000-0006-0000-0200-00000D030000}">
      <text>
        <r>
          <rPr>
            <b/>
            <sz val="8"/>
            <color indexed="81"/>
            <rFont val="Tahoma"/>
            <family val="2"/>
          </rPr>
          <t xml:space="preserve"> Rebecca Bernard:</t>
        </r>
        <r>
          <rPr>
            <sz val="8"/>
            <color indexed="81"/>
            <rFont val="Tahoma"/>
            <family val="2"/>
          </rPr>
          <t xml:space="preserve">
used same weeks in 2000</t>
        </r>
      </text>
    </comment>
    <comment ref="BB278" authorId="1" shapeId="0" xr:uid="{00000000-0006-0000-0200-00000E030000}">
      <text>
        <r>
          <rPr>
            <b/>
            <sz val="9"/>
            <color indexed="81"/>
            <rFont val="Tahoma"/>
            <family val="2"/>
          </rPr>
          <t>rbernard:</t>
        </r>
        <r>
          <rPr>
            <sz val="9"/>
            <color indexed="81"/>
            <rFont val="Tahoma"/>
            <family val="2"/>
          </rPr>
          <t xml:space="preserve">
used week 39</t>
        </r>
      </text>
    </comment>
    <comment ref="BC278" authorId="1" shapeId="0" xr:uid="{00000000-0006-0000-0200-00000F030000}">
      <text>
        <r>
          <rPr>
            <b/>
            <sz val="9"/>
            <color indexed="81"/>
            <rFont val="Tahoma"/>
            <family val="2"/>
          </rPr>
          <t>rbernard:</t>
        </r>
        <r>
          <rPr>
            <sz val="9"/>
            <color indexed="81"/>
            <rFont val="Tahoma"/>
            <family val="2"/>
          </rPr>
          <t xml:space="preserve">
used week 39</t>
        </r>
      </text>
    </comment>
    <comment ref="BF278" authorId="2" shapeId="0" xr:uid="{00000000-0006-0000-0200-00001003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G278" authorId="2" shapeId="0" xr:uid="{00000000-0006-0000-0200-00001103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H278" authorId="1" shapeId="0" xr:uid="{00000000-0006-0000-0200-000012030000}">
      <text>
        <r>
          <rPr>
            <b/>
            <sz val="9"/>
            <color indexed="81"/>
            <rFont val="Tahoma"/>
            <family val="2"/>
          </rPr>
          <t>pkairis:</t>
        </r>
        <r>
          <rPr>
            <sz val="9"/>
            <color indexed="81"/>
            <rFont val="Tahoma"/>
            <family val="2"/>
          </rPr>
          <t xml:space="preserve">
For 2013-14 forecast, used 2006-2011 average H/W percentages for this week because no samples in 2012.
</t>
        </r>
      </text>
    </comment>
    <comment ref="BI278" authorId="2" shapeId="0" xr:uid="{00000000-0006-0000-0200-00001303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J278" authorId="2" shapeId="0" xr:uid="{00000000-0006-0000-0200-00001403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K278" authorId="1" shapeId="0" xr:uid="{00000000-0006-0000-0200-000015030000}">
      <text>
        <r>
          <rPr>
            <b/>
            <sz val="9"/>
            <color indexed="81"/>
            <rFont val="Tahoma"/>
            <family val="2"/>
          </rPr>
          <t>pkairis:</t>
        </r>
        <r>
          <rPr>
            <sz val="9"/>
            <color indexed="81"/>
            <rFont val="Tahoma"/>
            <family val="2"/>
          </rPr>
          <t xml:space="preserve">
For 2013-14 forecast, used 2006-2011 average H/W percentages for this week because no samples in 2012.
</t>
        </r>
      </text>
    </comment>
    <comment ref="BR278" authorId="2" shapeId="0" xr:uid="{00000000-0006-0000-0200-000016030000}">
      <text>
        <r>
          <rPr>
            <b/>
            <sz val="9"/>
            <color indexed="81"/>
            <rFont val="Tahoma"/>
            <family val="2"/>
          </rPr>
          <t>Pete Kairis:</t>
        </r>
        <r>
          <rPr>
            <sz val="9"/>
            <color indexed="81"/>
            <rFont val="Tahoma"/>
            <family val="2"/>
          </rPr>
          <t xml:space="preserve">
No samples this week, so using week 39</t>
        </r>
      </text>
    </comment>
    <comment ref="BS278" authorId="2" shapeId="0" xr:uid="{00000000-0006-0000-0200-000017030000}">
      <text>
        <r>
          <rPr>
            <b/>
            <sz val="9"/>
            <color indexed="81"/>
            <rFont val="Tahoma"/>
            <family val="2"/>
          </rPr>
          <t>Pete Kairis:</t>
        </r>
        <r>
          <rPr>
            <sz val="9"/>
            <color indexed="81"/>
            <rFont val="Tahoma"/>
            <family val="2"/>
          </rPr>
          <t xml:space="preserve">
No samples this week, so using week 39</t>
        </r>
      </text>
    </comment>
    <comment ref="BT278" authorId="2" shapeId="0" xr:uid="{00000000-0006-0000-0200-000018030000}">
      <text>
        <r>
          <rPr>
            <b/>
            <sz val="9"/>
            <color indexed="81"/>
            <rFont val="Tahoma"/>
            <family val="2"/>
          </rPr>
          <t>Pete Kairis:</t>
        </r>
        <r>
          <rPr>
            <sz val="9"/>
            <color indexed="81"/>
            <rFont val="Tahoma"/>
            <family val="2"/>
          </rPr>
          <t xml:space="preserve">
No samples this week, so using week 39</t>
        </r>
      </text>
    </comment>
    <comment ref="BU278" authorId="2" shapeId="0" xr:uid="{00000000-0006-0000-0200-000019030000}">
      <text>
        <r>
          <rPr>
            <b/>
            <sz val="9"/>
            <color indexed="81"/>
            <rFont val="Tahoma"/>
            <family val="2"/>
          </rPr>
          <t>Pete Kairis:</t>
        </r>
        <r>
          <rPr>
            <sz val="9"/>
            <color indexed="81"/>
            <rFont val="Tahoma"/>
            <family val="2"/>
          </rPr>
          <t xml:space="preserve">
No samples this week, so using week 39</t>
        </r>
      </text>
    </comment>
    <comment ref="BV278" authorId="2" shapeId="0" xr:uid="{00000000-0006-0000-0200-00001A030000}">
      <text>
        <r>
          <rPr>
            <b/>
            <sz val="9"/>
            <color indexed="81"/>
            <rFont val="Tahoma"/>
            <family val="2"/>
          </rPr>
          <t>Pete Kairis:</t>
        </r>
        <r>
          <rPr>
            <sz val="9"/>
            <color indexed="81"/>
            <rFont val="Tahoma"/>
            <family val="2"/>
          </rPr>
          <t xml:space="preserve">
No samples this week, so using week 39</t>
        </r>
      </text>
    </comment>
    <comment ref="BW278" authorId="2" shapeId="0" xr:uid="{00000000-0006-0000-0200-00001B030000}">
      <text>
        <r>
          <rPr>
            <b/>
            <sz val="9"/>
            <color indexed="81"/>
            <rFont val="Tahoma"/>
            <family val="2"/>
          </rPr>
          <t>Pete Kairis:</t>
        </r>
        <r>
          <rPr>
            <sz val="9"/>
            <color indexed="81"/>
            <rFont val="Tahoma"/>
            <family val="2"/>
          </rPr>
          <t xml:space="preserve">
No samples this week, so using week 39</t>
        </r>
      </text>
    </comment>
    <comment ref="BX278" authorId="2" shapeId="0" xr:uid="{00000000-0006-0000-0200-00001C030000}">
      <text>
        <r>
          <rPr>
            <b/>
            <sz val="9"/>
            <color indexed="81"/>
            <rFont val="Tahoma"/>
            <family val="2"/>
          </rPr>
          <t>Pete Kairis:</t>
        </r>
        <r>
          <rPr>
            <sz val="9"/>
            <color indexed="81"/>
            <rFont val="Tahoma"/>
            <family val="2"/>
          </rPr>
          <t xml:space="preserve">
No samples, so use week 42</t>
        </r>
      </text>
    </comment>
    <comment ref="BY278" authorId="2" shapeId="0" xr:uid="{00000000-0006-0000-0200-00001D030000}">
      <text>
        <r>
          <rPr>
            <b/>
            <sz val="9"/>
            <color indexed="81"/>
            <rFont val="Tahoma"/>
            <family val="2"/>
          </rPr>
          <t>Pete Kairis:</t>
        </r>
        <r>
          <rPr>
            <sz val="9"/>
            <color indexed="81"/>
            <rFont val="Tahoma"/>
            <family val="2"/>
          </rPr>
          <t xml:space="preserve">
No samples, so use week 42</t>
        </r>
      </text>
    </comment>
    <comment ref="BZ278" authorId="2" shapeId="0" xr:uid="{00000000-0006-0000-0200-00001E030000}">
      <text>
        <r>
          <rPr>
            <b/>
            <sz val="9"/>
            <color indexed="81"/>
            <rFont val="Tahoma"/>
            <family val="2"/>
          </rPr>
          <t>Pete Kairis:</t>
        </r>
        <r>
          <rPr>
            <sz val="9"/>
            <color indexed="81"/>
            <rFont val="Tahoma"/>
            <family val="2"/>
          </rPr>
          <t xml:space="preserve">
No samples, so use week 42</t>
        </r>
      </text>
    </comment>
    <comment ref="CA278" authorId="2" shapeId="0" xr:uid="{00000000-0006-0000-0200-00001F030000}">
      <text>
        <r>
          <rPr>
            <b/>
            <sz val="9"/>
            <color indexed="81"/>
            <rFont val="Tahoma"/>
            <family val="2"/>
          </rPr>
          <t>Pete Kairis:</t>
        </r>
        <r>
          <rPr>
            <sz val="9"/>
            <color indexed="81"/>
            <rFont val="Tahoma"/>
            <family val="2"/>
          </rPr>
          <t xml:space="preserve">
No samples, so use week 42</t>
        </r>
      </text>
    </comment>
    <comment ref="CB278" authorId="2" shapeId="0" xr:uid="{00000000-0006-0000-0200-000020030000}">
      <text>
        <r>
          <rPr>
            <b/>
            <sz val="9"/>
            <color indexed="81"/>
            <rFont val="Tahoma"/>
            <family val="2"/>
          </rPr>
          <t>Pete Kairis:</t>
        </r>
        <r>
          <rPr>
            <sz val="9"/>
            <color indexed="81"/>
            <rFont val="Tahoma"/>
            <family val="2"/>
          </rPr>
          <t xml:space="preserve">
No samples, so use week 42</t>
        </r>
      </text>
    </comment>
    <comment ref="CC278" authorId="2" shapeId="0" xr:uid="{00000000-0006-0000-0200-000021030000}">
      <text>
        <r>
          <rPr>
            <b/>
            <sz val="9"/>
            <color indexed="81"/>
            <rFont val="Tahoma"/>
            <family val="2"/>
          </rPr>
          <t>Pete Kairis:</t>
        </r>
        <r>
          <rPr>
            <sz val="9"/>
            <color indexed="81"/>
            <rFont val="Tahoma"/>
            <family val="2"/>
          </rPr>
          <t xml:space="preserve">
No samples, so use week 42</t>
        </r>
      </text>
    </comment>
    <comment ref="F279" authorId="0" shapeId="0" xr:uid="{00000000-0006-0000-0200-000022030000}">
      <text>
        <r>
          <rPr>
            <b/>
            <sz val="8"/>
            <color indexed="81"/>
            <rFont val="Tahoma"/>
            <family val="2"/>
          </rPr>
          <t xml:space="preserve"> Rebecca Bernard:</t>
        </r>
        <r>
          <rPr>
            <sz val="8"/>
            <color indexed="81"/>
            <rFont val="Tahoma"/>
            <family val="2"/>
          </rPr>
          <t xml:space="preserve">
used week before's proportions</t>
        </r>
      </text>
    </comment>
    <comment ref="G279" authorId="0" shapeId="0" xr:uid="{00000000-0006-0000-0200-000023030000}">
      <text>
        <r>
          <rPr>
            <b/>
            <sz val="8"/>
            <color indexed="81"/>
            <rFont val="Tahoma"/>
            <family val="2"/>
          </rPr>
          <t xml:space="preserve"> Rebecca Bernard:</t>
        </r>
        <r>
          <rPr>
            <sz val="8"/>
            <color indexed="81"/>
            <rFont val="Tahoma"/>
            <family val="2"/>
          </rPr>
          <t xml:space="preserve">
used week before's proportions</t>
        </r>
      </text>
    </comment>
    <comment ref="N279" authorId="0" shapeId="0" xr:uid="{00000000-0006-0000-0200-000024030000}">
      <text>
        <r>
          <rPr>
            <b/>
            <sz val="8"/>
            <color indexed="81"/>
            <rFont val="Tahoma"/>
            <family val="2"/>
          </rPr>
          <t xml:space="preserve"> Rebecca Bernard:</t>
        </r>
        <r>
          <rPr>
            <sz val="8"/>
            <color indexed="81"/>
            <rFont val="Tahoma"/>
            <family val="2"/>
          </rPr>
          <t xml:space="preserve">
used week 39 proportions</t>
        </r>
      </text>
    </comment>
    <comment ref="O279" authorId="0" shapeId="0" xr:uid="{00000000-0006-0000-0200-000025030000}">
      <text>
        <r>
          <rPr>
            <b/>
            <sz val="8"/>
            <color indexed="81"/>
            <rFont val="Tahoma"/>
            <family val="2"/>
          </rPr>
          <t xml:space="preserve"> Rebecca Bernard:</t>
        </r>
        <r>
          <rPr>
            <sz val="8"/>
            <color indexed="81"/>
            <rFont val="Tahoma"/>
            <family val="2"/>
          </rPr>
          <t xml:space="preserve">
used week 39 proportions</t>
        </r>
      </text>
    </comment>
    <comment ref="BF279" authorId="2" shapeId="0" xr:uid="{00000000-0006-0000-0200-000026030000}">
      <text>
        <r>
          <rPr>
            <b/>
            <sz val="9"/>
            <color indexed="81"/>
            <rFont val="Tahoma"/>
            <family val="2"/>
          </rPr>
          <t>Pete Kairis:</t>
        </r>
        <r>
          <rPr>
            <sz val="9"/>
            <color indexed="81"/>
            <rFont val="Tahoma"/>
            <family val="2"/>
          </rPr>
          <t xml:space="preserve">
Sample were hatchery but unknown kelt/prespawn, so using average ratio of previous and following week.</t>
        </r>
      </text>
    </comment>
    <comment ref="BG279" authorId="2" shapeId="0" xr:uid="{00000000-0006-0000-0200-000027030000}">
      <text>
        <r>
          <rPr>
            <b/>
            <sz val="9"/>
            <color indexed="81"/>
            <rFont val="Tahoma"/>
            <family val="2"/>
          </rPr>
          <t>Pete Kairis:</t>
        </r>
        <r>
          <rPr>
            <sz val="9"/>
            <color indexed="81"/>
            <rFont val="Tahoma"/>
            <family val="2"/>
          </rPr>
          <t xml:space="preserve">
Sample were hatchery but unknown kelt/prespawn, so using average ratio of previous and following week.</t>
        </r>
      </text>
    </comment>
    <comment ref="BR279" authorId="2" shapeId="0" xr:uid="{00000000-0006-0000-0200-000028030000}">
      <text>
        <r>
          <rPr>
            <b/>
            <sz val="9"/>
            <color indexed="81"/>
            <rFont val="Tahoma"/>
            <family val="2"/>
          </rPr>
          <t>Pete Kairis:</t>
        </r>
        <r>
          <rPr>
            <sz val="9"/>
            <color indexed="81"/>
            <rFont val="Tahoma"/>
            <family val="2"/>
          </rPr>
          <t xml:space="preserve">
No samples this week, so using week 39</t>
        </r>
      </text>
    </comment>
    <comment ref="BS279" authorId="2" shapeId="0" xr:uid="{00000000-0006-0000-0200-000029030000}">
      <text>
        <r>
          <rPr>
            <b/>
            <sz val="9"/>
            <color indexed="81"/>
            <rFont val="Tahoma"/>
            <family val="2"/>
          </rPr>
          <t>Pete Kairis:</t>
        </r>
        <r>
          <rPr>
            <sz val="9"/>
            <color indexed="81"/>
            <rFont val="Tahoma"/>
            <family val="2"/>
          </rPr>
          <t xml:space="preserve">
No samples this week, so using week 39</t>
        </r>
      </text>
    </comment>
    <comment ref="BT279" authorId="2" shapeId="0" xr:uid="{00000000-0006-0000-0200-00002A030000}">
      <text>
        <r>
          <rPr>
            <b/>
            <sz val="9"/>
            <color indexed="81"/>
            <rFont val="Tahoma"/>
            <family val="2"/>
          </rPr>
          <t>Pete Kairis:</t>
        </r>
        <r>
          <rPr>
            <sz val="9"/>
            <color indexed="81"/>
            <rFont val="Tahoma"/>
            <family val="2"/>
          </rPr>
          <t xml:space="preserve">
No samples this week, so using week 39</t>
        </r>
      </text>
    </comment>
    <comment ref="BU279" authorId="2" shapeId="0" xr:uid="{00000000-0006-0000-0200-00002B030000}">
      <text>
        <r>
          <rPr>
            <b/>
            <sz val="9"/>
            <color indexed="81"/>
            <rFont val="Tahoma"/>
            <family val="2"/>
          </rPr>
          <t>Pete Kairis:</t>
        </r>
        <r>
          <rPr>
            <sz val="9"/>
            <color indexed="81"/>
            <rFont val="Tahoma"/>
            <family val="2"/>
          </rPr>
          <t xml:space="preserve">
No samples this week, so using week 39</t>
        </r>
      </text>
    </comment>
    <comment ref="BV279" authorId="2" shapeId="0" xr:uid="{00000000-0006-0000-0200-00002C030000}">
      <text>
        <r>
          <rPr>
            <b/>
            <sz val="9"/>
            <color indexed="81"/>
            <rFont val="Tahoma"/>
            <family val="2"/>
          </rPr>
          <t>Pete Kairis:</t>
        </r>
        <r>
          <rPr>
            <sz val="9"/>
            <color indexed="81"/>
            <rFont val="Tahoma"/>
            <family val="2"/>
          </rPr>
          <t xml:space="preserve">
No samples this week, so using week 39</t>
        </r>
      </text>
    </comment>
    <comment ref="BW279" authorId="2" shapeId="0" xr:uid="{00000000-0006-0000-0200-00002D030000}">
      <text>
        <r>
          <rPr>
            <b/>
            <sz val="9"/>
            <color indexed="81"/>
            <rFont val="Tahoma"/>
            <family val="2"/>
          </rPr>
          <t>Pete Kairis:</t>
        </r>
        <r>
          <rPr>
            <sz val="9"/>
            <color indexed="81"/>
            <rFont val="Tahoma"/>
            <family val="2"/>
          </rPr>
          <t xml:space="preserve">
No samples this week, so using week 39</t>
        </r>
      </text>
    </comment>
    <comment ref="DE279" authorId="2" shapeId="0" xr:uid="{75406017-DF5A-48AD-BC09-678B2AE1354F}">
      <text>
        <r>
          <rPr>
            <b/>
            <sz val="9"/>
            <color indexed="81"/>
            <rFont val="Tahoma"/>
            <family val="2"/>
          </rPr>
          <t>Pete Kairis:</t>
        </r>
        <r>
          <rPr>
            <sz val="9"/>
            <color indexed="81"/>
            <rFont val="Tahoma"/>
            <family val="2"/>
          </rPr>
          <t xml:space="preserve">
Includes 4 unknown, currently assumed wild prespawn</t>
        </r>
      </text>
    </comment>
    <comment ref="F280" authorId="0" shapeId="0" xr:uid="{00000000-0006-0000-0200-00002E030000}">
      <text>
        <r>
          <rPr>
            <b/>
            <sz val="8"/>
            <color indexed="81"/>
            <rFont val="Tahoma"/>
            <family val="2"/>
          </rPr>
          <t xml:space="preserve"> Rebecca Bernard:</t>
        </r>
        <r>
          <rPr>
            <sz val="8"/>
            <color indexed="81"/>
            <rFont val="Tahoma"/>
            <family val="2"/>
          </rPr>
          <t xml:space="preserve">
used following week's proportions</t>
        </r>
      </text>
    </comment>
    <comment ref="G280" authorId="0" shapeId="0" xr:uid="{00000000-0006-0000-0200-00002F030000}">
      <text>
        <r>
          <rPr>
            <b/>
            <sz val="8"/>
            <color indexed="81"/>
            <rFont val="Tahoma"/>
            <family val="2"/>
          </rPr>
          <t xml:space="preserve"> Rebecca Bernard:</t>
        </r>
        <r>
          <rPr>
            <sz val="8"/>
            <color indexed="81"/>
            <rFont val="Tahoma"/>
            <family val="2"/>
          </rPr>
          <t xml:space="preserve">
used following week's proportions</t>
        </r>
      </text>
    </comment>
    <comment ref="N280" authorId="0" shapeId="0" xr:uid="{00000000-0006-0000-0200-000030030000}">
      <text>
        <r>
          <rPr>
            <b/>
            <sz val="8"/>
            <color indexed="81"/>
            <rFont val="Tahoma"/>
            <family val="2"/>
          </rPr>
          <t xml:space="preserve"> Rebecca Bernard:</t>
        </r>
        <r>
          <rPr>
            <sz val="8"/>
            <color indexed="81"/>
            <rFont val="Tahoma"/>
            <family val="2"/>
          </rPr>
          <t xml:space="preserve">
used week 39 proportions</t>
        </r>
      </text>
    </comment>
    <comment ref="O280" authorId="0" shapeId="0" xr:uid="{00000000-0006-0000-0200-000031030000}">
      <text>
        <r>
          <rPr>
            <b/>
            <sz val="8"/>
            <color indexed="81"/>
            <rFont val="Tahoma"/>
            <family val="2"/>
          </rPr>
          <t xml:space="preserve"> Rebecca Bernard:</t>
        </r>
        <r>
          <rPr>
            <sz val="8"/>
            <color indexed="81"/>
            <rFont val="Tahoma"/>
            <family val="2"/>
          </rPr>
          <t xml:space="preserve">
used week 39 proportions</t>
        </r>
      </text>
    </comment>
    <comment ref="AF280" authorId="0" shapeId="0" xr:uid="{00000000-0006-0000-0200-000032030000}">
      <text>
        <r>
          <rPr>
            <b/>
            <sz val="8"/>
            <color indexed="81"/>
            <rFont val="Tahoma"/>
            <family val="2"/>
          </rPr>
          <t xml:space="preserve"> Rebecca Bernard:</t>
        </r>
        <r>
          <rPr>
            <sz val="8"/>
            <color indexed="81"/>
            <rFont val="Tahoma"/>
            <family val="2"/>
          </rPr>
          <t xml:space="preserve">
used same weeks in 2000, 2000 had more samples than 1999</t>
        </r>
      </text>
    </comment>
    <comment ref="AG280" authorId="0" shapeId="0" xr:uid="{00000000-0006-0000-0200-000033030000}">
      <text>
        <r>
          <rPr>
            <b/>
            <sz val="8"/>
            <color indexed="81"/>
            <rFont val="Tahoma"/>
            <family val="2"/>
          </rPr>
          <t xml:space="preserve"> Rebecca Bernard:</t>
        </r>
        <r>
          <rPr>
            <sz val="8"/>
            <color indexed="81"/>
            <rFont val="Tahoma"/>
            <family val="2"/>
          </rPr>
          <t xml:space="preserve">
used same weeks in 2000, 2000 had more samples than 1999</t>
        </r>
      </text>
    </comment>
    <comment ref="AV280" authorId="0" shapeId="0" xr:uid="{00000000-0006-0000-0200-000034030000}">
      <text>
        <r>
          <rPr>
            <b/>
            <sz val="8"/>
            <color indexed="81"/>
            <rFont val="Tahoma"/>
            <family val="2"/>
          </rPr>
          <t xml:space="preserve"> Rebecca Bernard:</t>
        </r>
        <r>
          <rPr>
            <sz val="8"/>
            <color indexed="81"/>
            <rFont val="Tahoma"/>
            <family val="2"/>
          </rPr>
          <t xml:space="preserve">
used 2006 week 42 proportions</t>
        </r>
      </text>
    </comment>
    <comment ref="AW280" authorId="0" shapeId="0" xr:uid="{00000000-0006-0000-0200-000035030000}">
      <text>
        <r>
          <rPr>
            <b/>
            <sz val="8"/>
            <color indexed="81"/>
            <rFont val="Tahoma"/>
            <family val="2"/>
          </rPr>
          <t xml:space="preserve"> Rebecca Bernard:</t>
        </r>
        <r>
          <rPr>
            <sz val="8"/>
            <color indexed="81"/>
            <rFont val="Tahoma"/>
            <family val="2"/>
          </rPr>
          <t xml:space="preserve">
used 2006 week 42 proportions</t>
        </r>
      </text>
    </comment>
    <comment ref="BF280" authorId="2" shapeId="0" xr:uid="{00000000-0006-0000-0200-00003603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G280" authorId="2" shapeId="0" xr:uid="{00000000-0006-0000-0200-00003703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H280" authorId="1" shapeId="0" xr:uid="{00000000-0006-0000-0200-000038030000}">
      <text>
        <r>
          <rPr>
            <b/>
            <sz val="9"/>
            <color indexed="81"/>
            <rFont val="Tahoma"/>
            <family val="2"/>
          </rPr>
          <t>pkairis:</t>
        </r>
        <r>
          <rPr>
            <sz val="9"/>
            <color indexed="81"/>
            <rFont val="Tahoma"/>
            <family val="2"/>
          </rPr>
          <t xml:space="preserve">
For 2013-14 forecast, used 2006-2011 average H/W percentages for this week because no samples in 2012.
</t>
        </r>
      </text>
    </comment>
    <comment ref="BI280" authorId="2" shapeId="0" xr:uid="{00000000-0006-0000-0200-00003903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J280" authorId="2" shapeId="0" xr:uid="{00000000-0006-0000-0200-00003A03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K280" authorId="1" shapeId="0" xr:uid="{00000000-0006-0000-0200-00003B030000}">
      <text>
        <r>
          <rPr>
            <b/>
            <sz val="9"/>
            <color indexed="81"/>
            <rFont val="Tahoma"/>
            <family val="2"/>
          </rPr>
          <t>pkairis:</t>
        </r>
        <r>
          <rPr>
            <sz val="9"/>
            <color indexed="81"/>
            <rFont val="Tahoma"/>
            <family val="2"/>
          </rPr>
          <t xml:space="preserve">
For 2013-14 forecast, used 2006-2011 average H/W percentages for this week because no samples in 2012.
</t>
        </r>
      </text>
    </comment>
    <comment ref="BR280" authorId="2" shapeId="0" xr:uid="{00000000-0006-0000-0200-00003C030000}">
      <text>
        <r>
          <rPr>
            <b/>
            <sz val="9"/>
            <color indexed="81"/>
            <rFont val="Tahoma"/>
            <family val="2"/>
          </rPr>
          <t>Pete Kairis:</t>
        </r>
        <r>
          <rPr>
            <sz val="9"/>
            <color indexed="81"/>
            <rFont val="Tahoma"/>
            <family val="2"/>
          </rPr>
          <t xml:space="preserve">
No samples this week, so using week 39</t>
        </r>
      </text>
    </comment>
    <comment ref="BS280" authorId="2" shapeId="0" xr:uid="{00000000-0006-0000-0200-00003D030000}">
      <text>
        <r>
          <rPr>
            <b/>
            <sz val="9"/>
            <color indexed="81"/>
            <rFont val="Tahoma"/>
            <family val="2"/>
          </rPr>
          <t>Pete Kairis:</t>
        </r>
        <r>
          <rPr>
            <sz val="9"/>
            <color indexed="81"/>
            <rFont val="Tahoma"/>
            <family val="2"/>
          </rPr>
          <t xml:space="preserve">
No samples this week, so using week 39</t>
        </r>
      </text>
    </comment>
    <comment ref="BT280" authorId="2" shapeId="0" xr:uid="{00000000-0006-0000-0200-00003E030000}">
      <text>
        <r>
          <rPr>
            <b/>
            <sz val="9"/>
            <color indexed="81"/>
            <rFont val="Tahoma"/>
            <family val="2"/>
          </rPr>
          <t>Pete Kairis:</t>
        </r>
        <r>
          <rPr>
            <sz val="9"/>
            <color indexed="81"/>
            <rFont val="Tahoma"/>
            <family val="2"/>
          </rPr>
          <t xml:space="preserve">
No samples this week, so using week 39</t>
        </r>
      </text>
    </comment>
    <comment ref="BU280" authorId="2" shapeId="0" xr:uid="{00000000-0006-0000-0200-00003F030000}">
      <text>
        <r>
          <rPr>
            <b/>
            <sz val="9"/>
            <color indexed="81"/>
            <rFont val="Tahoma"/>
            <family val="2"/>
          </rPr>
          <t>Pete Kairis:</t>
        </r>
        <r>
          <rPr>
            <sz val="9"/>
            <color indexed="81"/>
            <rFont val="Tahoma"/>
            <family val="2"/>
          </rPr>
          <t xml:space="preserve">
No samples this week, so using week 39</t>
        </r>
      </text>
    </comment>
    <comment ref="BV280" authorId="2" shapeId="0" xr:uid="{00000000-0006-0000-0200-000040030000}">
      <text>
        <r>
          <rPr>
            <b/>
            <sz val="9"/>
            <color indexed="81"/>
            <rFont val="Tahoma"/>
            <family val="2"/>
          </rPr>
          <t>Pete Kairis:</t>
        </r>
        <r>
          <rPr>
            <sz val="9"/>
            <color indexed="81"/>
            <rFont val="Tahoma"/>
            <family val="2"/>
          </rPr>
          <t xml:space="preserve">
No samples this week, so using week 39</t>
        </r>
      </text>
    </comment>
    <comment ref="BW280" authorId="2" shapeId="0" xr:uid="{00000000-0006-0000-0200-000041030000}">
      <text>
        <r>
          <rPr>
            <b/>
            <sz val="9"/>
            <color indexed="81"/>
            <rFont val="Tahoma"/>
            <family val="2"/>
          </rPr>
          <t>Pete Kairis:</t>
        </r>
        <r>
          <rPr>
            <sz val="9"/>
            <color indexed="81"/>
            <rFont val="Tahoma"/>
            <family val="2"/>
          </rPr>
          <t xml:space="preserve">
No samples this week, so using week 39</t>
        </r>
      </text>
    </comment>
    <comment ref="DE280" authorId="2" shapeId="0" xr:uid="{279741D6-AC40-4179-BE9B-4ABECB6C502A}">
      <text>
        <r>
          <rPr>
            <b/>
            <sz val="9"/>
            <color indexed="81"/>
            <rFont val="Tahoma"/>
            <family val="2"/>
          </rPr>
          <t>Pete Kairis:</t>
        </r>
        <r>
          <rPr>
            <sz val="9"/>
            <color indexed="81"/>
            <rFont val="Tahoma"/>
            <family val="2"/>
          </rPr>
          <t xml:space="preserve">
Includes 1 unknown, currently assumed wild prespawn</t>
        </r>
      </text>
    </comment>
    <comment ref="J281" authorId="0" shapeId="0" xr:uid="{00000000-0006-0000-0200-000042030000}">
      <text>
        <r>
          <rPr>
            <b/>
            <sz val="8"/>
            <color indexed="81"/>
            <rFont val="Tahoma"/>
            <family val="2"/>
          </rPr>
          <t xml:space="preserve"> Rebecca Bernard:</t>
        </r>
        <r>
          <rPr>
            <sz val="8"/>
            <color indexed="81"/>
            <rFont val="Tahoma"/>
            <family val="2"/>
          </rPr>
          <t xml:space="preserve">
used week 41 for proportions</t>
        </r>
      </text>
    </comment>
    <comment ref="K281" authorId="0" shapeId="0" xr:uid="{00000000-0006-0000-0200-000043030000}">
      <text>
        <r>
          <rPr>
            <b/>
            <sz val="8"/>
            <color indexed="81"/>
            <rFont val="Tahoma"/>
            <family val="2"/>
          </rPr>
          <t xml:space="preserve"> Rebecca Bernard:</t>
        </r>
        <r>
          <rPr>
            <sz val="8"/>
            <color indexed="81"/>
            <rFont val="Tahoma"/>
            <family val="2"/>
          </rPr>
          <t xml:space="preserve">
used week 41 for proportions</t>
        </r>
      </text>
    </comment>
    <comment ref="N281" authorId="0" shapeId="0" xr:uid="{00000000-0006-0000-0200-000044030000}">
      <text>
        <r>
          <rPr>
            <b/>
            <sz val="8"/>
            <color indexed="81"/>
            <rFont val="Tahoma"/>
            <family val="2"/>
          </rPr>
          <t xml:space="preserve"> Rebecca Bernard:</t>
        </r>
        <r>
          <rPr>
            <sz val="8"/>
            <color indexed="81"/>
            <rFont val="Tahoma"/>
            <family val="2"/>
          </rPr>
          <t xml:space="preserve">
used same week in 1986 for proportions</t>
        </r>
      </text>
    </comment>
    <comment ref="O281" authorId="0" shapeId="0" xr:uid="{00000000-0006-0000-0200-000045030000}">
      <text>
        <r>
          <rPr>
            <b/>
            <sz val="8"/>
            <color indexed="81"/>
            <rFont val="Tahoma"/>
            <family val="2"/>
          </rPr>
          <t xml:space="preserve"> Rebecca Bernard:</t>
        </r>
        <r>
          <rPr>
            <sz val="8"/>
            <color indexed="81"/>
            <rFont val="Tahoma"/>
            <family val="2"/>
          </rPr>
          <t xml:space="preserve">
used same week in 1986 for proportions</t>
        </r>
      </text>
    </comment>
    <comment ref="AF281" authorId="0" shapeId="0" xr:uid="{00000000-0006-0000-0200-000046030000}">
      <text>
        <r>
          <rPr>
            <b/>
            <sz val="8"/>
            <color indexed="81"/>
            <rFont val="Tahoma"/>
            <family val="2"/>
          </rPr>
          <t xml:space="preserve"> Rebecca Bernard:</t>
        </r>
        <r>
          <rPr>
            <sz val="8"/>
            <color indexed="81"/>
            <rFont val="Tahoma"/>
            <family val="2"/>
          </rPr>
          <t xml:space="preserve">
used same weeks in 1999 proportions</t>
        </r>
      </text>
    </comment>
    <comment ref="AG281" authorId="0" shapeId="0" xr:uid="{00000000-0006-0000-0200-000047030000}">
      <text>
        <r>
          <rPr>
            <b/>
            <sz val="8"/>
            <color indexed="81"/>
            <rFont val="Tahoma"/>
            <family val="2"/>
          </rPr>
          <t xml:space="preserve"> Rebecca Bernard:</t>
        </r>
        <r>
          <rPr>
            <sz val="8"/>
            <color indexed="81"/>
            <rFont val="Tahoma"/>
            <family val="2"/>
          </rPr>
          <t xml:space="preserve">
used same weeks in 1999 proportions</t>
        </r>
      </text>
    </comment>
    <comment ref="A282" authorId="0" shapeId="0" xr:uid="{00000000-0006-0000-0200-000048030000}">
      <text>
        <r>
          <rPr>
            <b/>
            <sz val="8"/>
            <color indexed="81"/>
            <rFont val="Tahoma"/>
            <family val="2"/>
          </rPr>
          <t xml:space="preserve"> Rebecca Bernard:</t>
        </r>
        <r>
          <rPr>
            <sz val="8"/>
            <color indexed="81"/>
            <rFont val="Tahoma"/>
            <family val="2"/>
          </rPr>
          <t xml:space="preserve">
end of summer run hatchery fish management season</t>
        </r>
      </text>
    </comment>
    <comment ref="N282" authorId="0" shapeId="0" xr:uid="{00000000-0006-0000-0200-000049030000}">
      <text>
        <r>
          <rPr>
            <b/>
            <sz val="8"/>
            <color indexed="81"/>
            <rFont val="Tahoma"/>
            <family val="2"/>
          </rPr>
          <t xml:space="preserve"> Rebecca Bernard:</t>
        </r>
        <r>
          <rPr>
            <sz val="8"/>
            <color indexed="81"/>
            <rFont val="Tahoma"/>
            <family val="2"/>
          </rPr>
          <t xml:space="preserve">
used same week in 1986 for proportions</t>
        </r>
      </text>
    </comment>
    <comment ref="O282" authorId="0" shapeId="0" xr:uid="{00000000-0006-0000-0200-00004A030000}">
      <text>
        <r>
          <rPr>
            <b/>
            <sz val="8"/>
            <color indexed="81"/>
            <rFont val="Tahoma"/>
            <family val="2"/>
          </rPr>
          <t xml:space="preserve"> Rebecca Bernard:</t>
        </r>
        <r>
          <rPr>
            <sz val="8"/>
            <color indexed="81"/>
            <rFont val="Tahoma"/>
            <family val="2"/>
          </rPr>
          <t xml:space="preserve">
used same week in 1986 for proportions</t>
        </r>
      </text>
    </comment>
    <comment ref="P282" authorId="0" shapeId="0" xr:uid="{00000000-0006-0000-0200-00004B030000}">
      <text>
        <r>
          <rPr>
            <b/>
            <sz val="8"/>
            <color indexed="81"/>
            <rFont val="Tahoma"/>
            <family val="2"/>
          </rPr>
          <t xml:space="preserve"> Rebecca Bernard:</t>
        </r>
        <r>
          <rPr>
            <sz val="8"/>
            <color indexed="81"/>
            <rFont val="Tahoma"/>
            <family val="2"/>
          </rPr>
          <t xml:space="preserve">
used same week in 1986 for proportions</t>
        </r>
      </text>
    </comment>
    <comment ref="Q282" authorId="0" shapeId="0" xr:uid="{00000000-0006-0000-0200-00004C030000}">
      <text>
        <r>
          <rPr>
            <b/>
            <sz val="8"/>
            <color indexed="81"/>
            <rFont val="Tahoma"/>
            <family val="2"/>
          </rPr>
          <t xml:space="preserve"> Rebecca Bernard:</t>
        </r>
        <r>
          <rPr>
            <sz val="8"/>
            <color indexed="81"/>
            <rFont val="Tahoma"/>
            <family val="2"/>
          </rPr>
          <t xml:space="preserve">
used same week in 1986 for proportions</t>
        </r>
      </text>
    </comment>
    <comment ref="R282" authorId="0" shapeId="0" xr:uid="{00000000-0006-0000-0200-00004D030000}">
      <text>
        <r>
          <rPr>
            <b/>
            <sz val="8"/>
            <color indexed="81"/>
            <rFont val="Tahoma"/>
            <family val="2"/>
          </rPr>
          <t xml:space="preserve"> Rebecca Bernard:</t>
        </r>
        <r>
          <rPr>
            <sz val="8"/>
            <color indexed="81"/>
            <rFont val="Tahoma"/>
            <family val="2"/>
          </rPr>
          <t xml:space="preserve">
used week before's proportions</t>
        </r>
      </text>
    </comment>
    <comment ref="S282" authorId="0" shapeId="0" xr:uid="{00000000-0006-0000-0200-00004E030000}">
      <text>
        <r>
          <rPr>
            <b/>
            <sz val="8"/>
            <color indexed="81"/>
            <rFont val="Tahoma"/>
            <family val="2"/>
          </rPr>
          <t xml:space="preserve"> Rebecca Bernard:</t>
        </r>
        <r>
          <rPr>
            <sz val="8"/>
            <color indexed="81"/>
            <rFont val="Tahoma"/>
            <family val="2"/>
          </rPr>
          <t xml:space="preserve">
used week before's proportions</t>
        </r>
      </text>
    </comment>
    <comment ref="V282" authorId="0" shapeId="0" xr:uid="{00000000-0006-0000-0200-00004F030000}">
      <text>
        <r>
          <rPr>
            <b/>
            <sz val="8"/>
            <color indexed="81"/>
            <rFont val="Tahoma"/>
            <family val="2"/>
          </rPr>
          <t xml:space="preserve"> Rebecca Bernard:</t>
        </r>
        <r>
          <rPr>
            <sz val="8"/>
            <color indexed="81"/>
            <rFont val="Tahoma"/>
            <family val="2"/>
          </rPr>
          <t xml:space="preserve">
used week before's proportions</t>
        </r>
      </text>
    </comment>
    <comment ref="W282" authorId="0" shapeId="0" xr:uid="{00000000-0006-0000-0200-000050030000}">
      <text>
        <r>
          <rPr>
            <b/>
            <sz val="8"/>
            <color indexed="81"/>
            <rFont val="Tahoma"/>
            <family val="2"/>
          </rPr>
          <t xml:space="preserve"> Rebecca Bernard:</t>
        </r>
        <r>
          <rPr>
            <sz val="8"/>
            <color indexed="81"/>
            <rFont val="Tahoma"/>
            <family val="2"/>
          </rPr>
          <t xml:space="preserve">
used week before's proportions</t>
        </r>
      </text>
    </comment>
    <comment ref="AD282" authorId="0" shapeId="0" xr:uid="{00000000-0006-0000-0200-000051030000}">
      <text>
        <r>
          <rPr>
            <b/>
            <sz val="8"/>
            <color indexed="81"/>
            <rFont val="Tahoma"/>
            <family val="2"/>
          </rPr>
          <t xml:space="preserve"> Rebecca Bernard:</t>
        </r>
        <r>
          <rPr>
            <sz val="8"/>
            <color indexed="81"/>
            <rFont val="Tahoma"/>
            <family val="2"/>
          </rPr>
          <t xml:space="preserve">
used week before's proportions</t>
        </r>
      </text>
    </comment>
    <comment ref="AE282" authorId="0" shapeId="0" xr:uid="{00000000-0006-0000-0200-000052030000}">
      <text>
        <r>
          <rPr>
            <b/>
            <sz val="8"/>
            <color indexed="81"/>
            <rFont val="Tahoma"/>
            <family val="2"/>
          </rPr>
          <t xml:space="preserve"> Rebecca Bernard:</t>
        </r>
        <r>
          <rPr>
            <sz val="8"/>
            <color indexed="81"/>
            <rFont val="Tahoma"/>
            <family val="2"/>
          </rPr>
          <t xml:space="preserve">
used week before's proportions</t>
        </r>
      </text>
    </comment>
    <comment ref="AH282" authorId="0" shapeId="0" xr:uid="{00000000-0006-0000-0200-000053030000}">
      <text>
        <r>
          <rPr>
            <b/>
            <sz val="8"/>
            <color indexed="81"/>
            <rFont val="Tahoma"/>
            <family val="2"/>
          </rPr>
          <t xml:space="preserve"> Rebecca Bernard:</t>
        </r>
        <r>
          <rPr>
            <sz val="8"/>
            <color indexed="81"/>
            <rFont val="Tahoma"/>
            <family val="2"/>
          </rPr>
          <t xml:space="preserve">
used week 42 proportions
</t>
        </r>
      </text>
    </comment>
    <comment ref="AI282" authorId="0" shapeId="0" xr:uid="{00000000-0006-0000-0200-000054030000}">
      <text>
        <r>
          <rPr>
            <b/>
            <sz val="8"/>
            <color indexed="81"/>
            <rFont val="Tahoma"/>
            <family val="2"/>
          </rPr>
          <t xml:space="preserve"> Rebecca Bernard:</t>
        </r>
        <r>
          <rPr>
            <sz val="8"/>
            <color indexed="81"/>
            <rFont val="Tahoma"/>
            <family val="2"/>
          </rPr>
          <t xml:space="preserve">
used week 42 proportions
</t>
        </r>
      </text>
    </comment>
    <comment ref="AT282" authorId="0" shapeId="0" xr:uid="{00000000-0006-0000-0200-000055030000}">
      <text>
        <r>
          <rPr>
            <b/>
            <sz val="8"/>
            <color indexed="81"/>
            <rFont val="Tahoma"/>
            <family val="2"/>
          </rPr>
          <t xml:space="preserve"> Rebecca Bernard:</t>
        </r>
        <r>
          <rPr>
            <sz val="8"/>
            <color indexed="81"/>
            <rFont val="Tahoma"/>
            <family val="2"/>
          </rPr>
          <t xml:space="preserve">
used week before's proportions</t>
        </r>
      </text>
    </comment>
    <comment ref="AU282" authorId="0" shapeId="0" xr:uid="{00000000-0006-0000-0200-000056030000}">
      <text>
        <r>
          <rPr>
            <b/>
            <sz val="8"/>
            <color indexed="81"/>
            <rFont val="Tahoma"/>
            <family val="2"/>
          </rPr>
          <t xml:space="preserve"> Rebecca Bernard:</t>
        </r>
        <r>
          <rPr>
            <sz val="8"/>
            <color indexed="81"/>
            <rFont val="Tahoma"/>
            <family val="2"/>
          </rPr>
          <t xml:space="preserve">
used week before's proportions</t>
        </r>
      </text>
    </comment>
    <comment ref="AX282" authorId="0" shapeId="0" xr:uid="{00000000-0006-0000-0200-000057030000}">
      <text>
        <r>
          <rPr>
            <b/>
            <sz val="8"/>
            <color indexed="81"/>
            <rFont val="Tahoma"/>
            <family val="2"/>
          </rPr>
          <t xml:space="preserve"> Rebecca Bernard:</t>
        </r>
        <r>
          <rPr>
            <sz val="8"/>
            <color indexed="81"/>
            <rFont val="Tahoma"/>
            <family val="2"/>
          </rPr>
          <t xml:space="preserve">
used week 48 for proportions</t>
        </r>
      </text>
    </comment>
    <comment ref="AY282" authorId="0" shapeId="0" xr:uid="{00000000-0006-0000-0200-000058030000}">
      <text>
        <r>
          <rPr>
            <b/>
            <sz val="8"/>
            <color indexed="81"/>
            <rFont val="Tahoma"/>
            <family val="2"/>
          </rPr>
          <t xml:space="preserve"> Rebecca Bernard:</t>
        </r>
        <r>
          <rPr>
            <sz val="8"/>
            <color indexed="81"/>
            <rFont val="Tahoma"/>
            <family val="2"/>
          </rPr>
          <t xml:space="preserve">
used week 48 for proportions</t>
        </r>
      </text>
    </comment>
    <comment ref="A283" authorId="0" shapeId="0" xr:uid="{00000000-0006-0000-0200-000059030000}">
      <text>
        <r>
          <rPr>
            <b/>
            <sz val="8"/>
            <color indexed="81"/>
            <rFont val="Tahoma"/>
            <family val="2"/>
          </rPr>
          <t xml:space="preserve"> Rebecca Bernard:</t>
        </r>
        <r>
          <rPr>
            <sz val="8"/>
            <color indexed="81"/>
            <rFont val="Tahoma"/>
            <family val="2"/>
          </rPr>
          <t xml:space="preserve">
beginning of winter run hatchery fish season</t>
        </r>
      </text>
    </comment>
    <comment ref="F283" authorId="0" shapeId="0" xr:uid="{00000000-0006-0000-0200-00005A030000}">
      <text>
        <r>
          <rPr>
            <b/>
            <sz val="8"/>
            <color indexed="81"/>
            <rFont val="Tahoma"/>
            <family val="2"/>
          </rPr>
          <t xml:space="preserve"> Rebecca Bernard:</t>
        </r>
        <r>
          <rPr>
            <sz val="8"/>
            <color indexed="81"/>
            <rFont val="Tahoma"/>
            <family val="2"/>
          </rPr>
          <t xml:space="preserve">
used week before's proportions</t>
        </r>
      </text>
    </comment>
    <comment ref="G283" authorId="0" shapeId="0" xr:uid="{00000000-0006-0000-0200-00005B030000}">
      <text>
        <r>
          <rPr>
            <b/>
            <sz val="8"/>
            <color indexed="81"/>
            <rFont val="Tahoma"/>
            <family val="2"/>
          </rPr>
          <t xml:space="preserve"> Rebecca Bernard:</t>
        </r>
        <r>
          <rPr>
            <sz val="8"/>
            <color indexed="81"/>
            <rFont val="Tahoma"/>
            <family val="2"/>
          </rPr>
          <t xml:space="preserve">
used week before's proportions</t>
        </r>
      </text>
    </comment>
    <comment ref="J283" authorId="0" shapeId="0" xr:uid="{00000000-0006-0000-0200-00005C030000}">
      <text>
        <r>
          <rPr>
            <b/>
            <sz val="8"/>
            <color indexed="81"/>
            <rFont val="Tahoma"/>
            <family val="2"/>
          </rPr>
          <t xml:space="preserve"> Rebecca Bernard:</t>
        </r>
        <r>
          <rPr>
            <sz val="8"/>
            <color indexed="81"/>
            <rFont val="Tahoma"/>
            <family val="2"/>
          </rPr>
          <t xml:space="preserve">
used same week in 1985 for proportions</t>
        </r>
      </text>
    </comment>
    <comment ref="K283" authorId="0" shapeId="0" xr:uid="{00000000-0006-0000-0200-00005D030000}">
      <text>
        <r>
          <rPr>
            <b/>
            <sz val="8"/>
            <color indexed="81"/>
            <rFont val="Tahoma"/>
            <family val="2"/>
          </rPr>
          <t xml:space="preserve"> Rebecca Bernard:</t>
        </r>
        <r>
          <rPr>
            <sz val="8"/>
            <color indexed="81"/>
            <rFont val="Tahoma"/>
            <family val="2"/>
          </rPr>
          <t xml:space="preserve">
used same week in 1985 for proportions</t>
        </r>
      </text>
    </comment>
    <comment ref="R283" authorId="0" shapeId="0" xr:uid="{00000000-0006-0000-0200-00005E030000}">
      <text>
        <r>
          <rPr>
            <b/>
            <sz val="8"/>
            <color indexed="81"/>
            <rFont val="Tahoma"/>
            <family val="2"/>
          </rPr>
          <t xml:space="preserve"> Rebecca Bernard:</t>
        </r>
        <r>
          <rPr>
            <sz val="8"/>
            <color indexed="81"/>
            <rFont val="Tahoma"/>
            <family val="2"/>
          </rPr>
          <t xml:space="preserve">
used week 43 proportions</t>
        </r>
      </text>
    </comment>
    <comment ref="S283" authorId="0" shapeId="0" xr:uid="{00000000-0006-0000-0200-00005F030000}">
      <text>
        <r>
          <rPr>
            <b/>
            <sz val="8"/>
            <color indexed="81"/>
            <rFont val="Tahoma"/>
            <family val="2"/>
          </rPr>
          <t xml:space="preserve"> Rebecca Bernard:</t>
        </r>
        <r>
          <rPr>
            <sz val="8"/>
            <color indexed="81"/>
            <rFont val="Tahoma"/>
            <family val="2"/>
          </rPr>
          <t xml:space="preserve">
used week 43 proportions</t>
        </r>
      </text>
    </comment>
    <comment ref="AV283" authorId="0" shapeId="0" xr:uid="{00000000-0006-0000-0200-000060030000}">
      <text>
        <r>
          <rPr>
            <b/>
            <sz val="8"/>
            <color indexed="81"/>
            <rFont val="Tahoma"/>
            <family val="2"/>
          </rPr>
          <t xml:space="preserve"> Rebecca Bernard:</t>
        </r>
        <r>
          <rPr>
            <sz val="8"/>
            <color indexed="81"/>
            <rFont val="Tahoma"/>
            <family val="2"/>
          </rPr>
          <t xml:space="preserve">
used following week's proportions</t>
        </r>
      </text>
    </comment>
    <comment ref="AW283" authorId="0" shapeId="0" xr:uid="{00000000-0006-0000-0200-000061030000}">
      <text>
        <r>
          <rPr>
            <b/>
            <sz val="8"/>
            <color indexed="81"/>
            <rFont val="Tahoma"/>
            <family val="2"/>
          </rPr>
          <t xml:space="preserve"> Rebecca Bernard:</t>
        </r>
        <r>
          <rPr>
            <sz val="8"/>
            <color indexed="81"/>
            <rFont val="Tahoma"/>
            <family val="2"/>
          </rPr>
          <t xml:space="preserve">
used following week's proportions</t>
        </r>
      </text>
    </comment>
    <comment ref="D284" authorId="0" shapeId="0" xr:uid="{00000000-0006-0000-0200-000062030000}">
      <text>
        <r>
          <rPr>
            <b/>
            <sz val="8"/>
            <color indexed="81"/>
            <rFont val="Tahoma"/>
            <family val="2"/>
          </rPr>
          <t xml:space="preserve"> Rebecca Bernard:</t>
        </r>
        <r>
          <rPr>
            <sz val="8"/>
            <color indexed="81"/>
            <rFont val="Tahoma"/>
            <family val="2"/>
          </rPr>
          <t xml:space="preserve">
used week before's proportions</t>
        </r>
      </text>
    </comment>
    <comment ref="E284" authorId="0" shapeId="0" xr:uid="{00000000-0006-0000-0200-000063030000}">
      <text>
        <r>
          <rPr>
            <b/>
            <sz val="8"/>
            <color indexed="81"/>
            <rFont val="Tahoma"/>
            <family val="2"/>
          </rPr>
          <t xml:space="preserve"> Rebecca Bernard:</t>
        </r>
        <r>
          <rPr>
            <sz val="8"/>
            <color indexed="81"/>
            <rFont val="Tahoma"/>
            <family val="2"/>
          </rPr>
          <t xml:space="preserve">
used week before's proportions</t>
        </r>
      </text>
    </comment>
    <comment ref="L284" authorId="0" shapeId="0" xr:uid="{00000000-0006-0000-0200-000064030000}">
      <text>
        <r>
          <rPr>
            <b/>
            <sz val="8"/>
            <color indexed="81"/>
            <rFont val="Tahoma"/>
            <family val="2"/>
          </rPr>
          <t xml:space="preserve"> Rebecca Bernard:</t>
        </r>
        <r>
          <rPr>
            <sz val="8"/>
            <color indexed="81"/>
            <rFont val="Tahoma"/>
            <family val="2"/>
          </rPr>
          <t xml:space="preserve">
used week 49 for proportions</t>
        </r>
      </text>
    </comment>
    <comment ref="M284" authorId="0" shapeId="0" xr:uid="{00000000-0006-0000-0200-000065030000}">
      <text>
        <r>
          <rPr>
            <b/>
            <sz val="8"/>
            <color indexed="81"/>
            <rFont val="Tahoma"/>
            <family val="2"/>
          </rPr>
          <t xml:space="preserve"> Rebecca Bernard:</t>
        </r>
        <r>
          <rPr>
            <sz val="8"/>
            <color indexed="81"/>
            <rFont val="Tahoma"/>
            <family val="2"/>
          </rPr>
          <t xml:space="preserve">
used week 49 for proportions</t>
        </r>
      </text>
    </comment>
    <comment ref="N284" authorId="0" shapeId="0" xr:uid="{00000000-0006-0000-0200-000066030000}">
      <text>
        <r>
          <rPr>
            <b/>
            <sz val="8"/>
            <color indexed="81"/>
            <rFont val="Tahoma"/>
            <family val="2"/>
          </rPr>
          <t xml:space="preserve"> Rebecca Bernard:</t>
        </r>
        <r>
          <rPr>
            <sz val="8"/>
            <color indexed="81"/>
            <rFont val="Tahoma"/>
            <family val="2"/>
          </rPr>
          <t xml:space="preserve">
used week 49 proportions</t>
        </r>
      </text>
    </comment>
    <comment ref="O284" authorId="0" shapeId="0" xr:uid="{00000000-0006-0000-0200-000067030000}">
      <text>
        <r>
          <rPr>
            <b/>
            <sz val="8"/>
            <color indexed="81"/>
            <rFont val="Tahoma"/>
            <family val="2"/>
          </rPr>
          <t xml:space="preserve"> Rebecca Bernard:</t>
        </r>
        <r>
          <rPr>
            <sz val="8"/>
            <color indexed="81"/>
            <rFont val="Tahoma"/>
            <family val="2"/>
          </rPr>
          <t xml:space="preserve">
used week 49 proportions</t>
        </r>
      </text>
    </comment>
    <comment ref="P284" authorId="0" shapeId="0" xr:uid="{00000000-0006-0000-0200-000068030000}">
      <text>
        <r>
          <rPr>
            <b/>
            <sz val="8"/>
            <color indexed="81"/>
            <rFont val="Tahoma"/>
            <family val="2"/>
          </rPr>
          <t xml:space="preserve"> Rebecca Bernard:</t>
        </r>
        <r>
          <rPr>
            <sz val="8"/>
            <color indexed="81"/>
            <rFont val="Tahoma"/>
            <family val="2"/>
          </rPr>
          <t xml:space="preserve">
used same week in 1986 for proportions</t>
        </r>
      </text>
    </comment>
    <comment ref="Q284" authorId="0" shapeId="0" xr:uid="{00000000-0006-0000-0200-000069030000}">
      <text>
        <r>
          <rPr>
            <b/>
            <sz val="8"/>
            <color indexed="81"/>
            <rFont val="Tahoma"/>
            <family val="2"/>
          </rPr>
          <t xml:space="preserve"> Rebecca Bernard:</t>
        </r>
        <r>
          <rPr>
            <sz val="8"/>
            <color indexed="81"/>
            <rFont val="Tahoma"/>
            <family val="2"/>
          </rPr>
          <t xml:space="preserve">
used same week in 1986 for proportions</t>
        </r>
      </text>
    </comment>
    <comment ref="R284" authorId="0" shapeId="0" xr:uid="{00000000-0006-0000-0200-00006A030000}">
      <text>
        <r>
          <rPr>
            <b/>
            <sz val="8"/>
            <color indexed="81"/>
            <rFont val="Tahoma"/>
            <family val="2"/>
          </rPr>
          <t xml:space="preserve"> Rebecca Bernard:</t>
        </r>
        <r>
          <rPr>
            <sz val="8"/>
            <color indexed="81"/>
            <rFont val="Tahoma"/>
            <family val="2"/>
          </rPr>
          <t xml:space="preserve">
used week 43 proportions</t>
        </r>
      </text>
    </comment>
    <comment ref="S284" authorId="0" shapeId="0" xr:uid="{00000000-0006-0000-0200-00006B030000}">
      <text>
        <r>
          <rPr>
            <b/>
            <sz val="8"/>
            <color indexed="81"/>
            <rFont val="Tahoma"/>
            <family val="2"/>
          </rPr>
          <t xml:space="preserve"> Rebecca Bernard:</t>
        </r>
        <r>
          <rPr>
            <sz val="8"/>
            <color indexed="81"/>
            <rFont val="Tahoma"/>
            <family val="2"/>
          </rPr>
          <t xml:space="preserve">
used week 43 proportions</t>
        </r>
      </text>
    </comment>
    <comment ref="V284" authorId="0" shapeId="0" xr:uid="{00000000-0006-0000-0200-00006C030000}">
      <text>
        <r>
          <rPr>
            <b/>
            <sz val="8"/>
            <color indexed="81"/>
            <rFont val="Tahoma"/>
            <family val="2"/>
          </rPr>
          <t xml:space="preserve"> Rebecca Bernard:</t>
        </r>
        <r>
          <rPr>
            <sz val="8"/>
            <color indexed="81"/>
            <rFont val="Tahoma"/>
            <family val="2"/>
          </rPr>
          <t xml:space="preserve">
used week before's proportions</t>
        </r>
      </text>
    </comment>
    <comment ref="W284" authorId="0" shapeId="0" xr:uid="{00000000-0006-0000-0200-00006D030000}">
      <text>
        <r>
          <rPr>
            <b/>
            <sz val="8"/>
            <color indexed="81"/>
            <rFont val="Tahoma"/>
            <family val="2"/>
          </rPr>
          <t xml:space="preserve"> Rebecca Bernard:</t>
        </r>
        <r>
          <rPr>
            <sz val="8"/>
            <color indexed="81"/>
            <rFont val="Tahoma"/>
            <family val="2"/>
          </rPr>
          <t xml:space="preserve">
used week before's proportions</t>
        </r>
      </text>
    </comment>
    <comment ref="X284" authorId="0" shapeId="0" xr:uid="{00000000-0006-0000-0200-00006E030000}">
      <text>
        <r>
          <rPr>
            <b/>
            <sz val="8"/>
            <color indexed="81"/>
            <rFont val="Tahoma"/>
            <family val="2"/>
          </rPr>
          <t xml:space="preserve"> Rebecca Bernard:</t>
        </r>
        <r>
          <rPr>
            <sz val="8"/>
            <color indexed="81"/>
            <rFont val="Tahoma"/>
            <family val="2"/>
          </rPr>
          <t xml:space="preserve">
used week 47 1994 proportions</t>
        </r>
      </text>
    </comment>
    <comment ref="Y284" authorId="0" shapeId="0" xr:uid="{00000000-0006-0000-0200-00006F030000}">
      <text>
        <r>
          <rPr>
            <b/>
            <sz val="8"/>
            <color indexed="81"/>
            <rFont val="Tahoma"/>
            <family val="2"/>
          </rPr>
          <t xml:space="preserve"> Rebecca Bernard:</t>
        </r>
        <r>
          <rPr>
            <sz val="8"/>
            <color indexed="81"/>
            <rFont val="Tahoma"/>
            <family val="2"/>
          </rPr>
          <t xml:space="preserve">
used week 47 1994 proportions</t>
        </r>
      </text>
    </comment>
    <comment ref="D285" authorId="0" shapeId="0" xr:uid="{00000000-0006-0000-0200-000070030000}">
      <text>
        <r>
          <rPr>
            <b/>
            <sz val="8"/>
            <color indexed="81"/>
            <rFont val="Tahoma"/>
            <family val="2"/>
          </rPr>
          <t xml:space="preserve"> Rebecca Bernard:</t>
        </r>
        <r>
          <rPr>
            <sz val="8"/>
            <color indexed="81"/>
            <rFont val="Tahoma"/>
            <family val="2"/>
          </rPr>
          <t xml:space="preserve">
used week 45 proportions</t>
        </r>
      </text>
    </comment>
    <comment ref="E285" authorId="0" shapeId="0" xr:uid="{00000000-0006-0000-0200-000071030000}">
      <text>
        <r>
          <rPr>
            <b/>
            <sz val="8"/>
            <color indexed="81"/>
            <rFont val="Tahoma"/>
            <family val="2"/>
          </rPr>
          <t xml:space="preserve"> Rebecca Bernard:</t>
        </r>
        <r>
          <rPr>
            <sz val="8"/>
            <color indexed="81"/>
            <rFont val="Tahoma"/>
            <family val="2"/>
          </rPr>
          <t xml:space="preserve">
used week 45 proportions</t>
        </r>
      </text>
    </comment>
    <comment ref="F285" authorId="0" shapeId="0" xr:uid="{00000000-0006-0000-0200-000072030000}">
      <text>
        <r>
          <rPr>
            <b/>
            <sz val="8"/>
            <color indexed="81"/>
            <rFont val="Tahoma"/>
            <family val="2"/>
          </rPr>
          <t xml:space="preserve"> Rebecca Bernard:</t>
        </r>
        <r>
          <rPr>
            <sz val="8"/>
            <color indexed="81"/>
            <rFont val="Tahoma"/>
            <family val="2"/>
          </rPr>
          <t xml:space="preserve">
used week before's proportions</t>
        </r>
      </text>
    </comment>
    <comment ref="G285" authorId="0" shapeId="0" xr:uid="{00000000-0006-0000-0200-000073030000}">
      <text>
        <r>
          <rPr>
            <b/>
            <sz val="8"/>
            <color indexed="81"/>
            <rFont val="Tahoma"/>
            <family val="2"/>
          </rPr>
          <t xml:space="preserve"> Rebecca Bernard:</t>
        </r>
        <r>
          <rPr>
            <sz val="8"/>
            <color indexed="81"/>
            <rFont val="Tahoma"/>
            <family val="2"/>
          </rPr>
          <t xml:space="preserve">
used week before's proportions</t>
        </r>
      </text>
    </comment>
    <comment ref="H285" authorId="0" shapeId="0" xr:uid="{00000000-0006-0000-0200-000074030000}">
      <text>
        <r>
          <rPr>
            <b/>
            <sz val="8"/>
            <color indexed="81"/>
            <rFont val="Tahoma"/>
            <family val="2"/>
          </rPr>
          <t xml:space="preserve"> Rebecca Bernard:</t>
        </r>
        <r>
          <rPr>
            <sz val="8"/>
            <color indexed="81"/>
            <rFont val="Tahoma"/>
            <family val="2"/>
          </rPr>
          <t xml:space="preserve">
used week 46 in 1986 for proportions</t>
        </r>
      </text>
    </comment>
    <comment ref="I285" authorId="0" shapeId="0" xr:uid="{00000000-0006-0000-0200-000075030000}">
      <text>
        <r>
          <rPr>
            <b/>
            <sz val="8"/>
            <color indexed="81"/>
            <rFont val="Tahoma"/>
            <family val="2"/>
          </rPr>
          <t xml:space="preserve"> Rebecca Bernard:</t>
        </r>
        <r>
          <rPr>
            <sz val="8"/>
            <color indexed="81"/>
            <rFont val="Tahoma"/>
            <family val="2"/>
          </rPr>
          <t xml:space="preserve">
used week 46 in 1986 for proportions</t>
        </r>
      </text>
    </comment>
    <comment ref="N285" authorId="0" shapeId="0" xr:uid="{00000000-0006-0000-0200-000076030000}">
      <text>
        <r>
          <rPr>
            <b/>
            <sz val="8"/>
            <color indexed="81"/>
            <rFont val="Tahoma"/>
            <family val="2"/>
          </rPr>
          <t xml:space="preserve"> Rebecca Bernard:</t>
        </r>
        <r>
          <rPr>
            <sz val="8"/>
            <color indexed="81"/>
            <rFont val="Tahoma"/>
            <family val="2"/>
          </rPr>
          <t xml:space="preserve">
used week 49 proportions</t>
        </r>
      </text>
    </comment>
    <comment ref="O285" authorId="0" shapeId="0" xr:uid="{00000000-0006-0000-0200-000077030000}">
      <text>
        <r>
          <rPr>
            <b/>
            <sz val="8"/>
            <color indexed="81"/>
            <rFont val="Tahoma"/>
            <family val="2"/>
          </rPr>
          <t xml:space="preserve"> Rebecca Bernard:</t>
        </r>
        <r>
          <rPr>
            <sz val="8"/>
            <color indexed="81"/>
            <rFont val="Tahoma"/>
            <family val="2"/>
          </rPr>
          <t xml:space="preserve">
used week 49 proportions</t>
        </r>
      </text>
    </comment>
    <comment ref="P285" authorId="0" shapeId="0" xr:uid="{00000000-0006-0000-0200-000078030000}">
      <text>
        <r>
          <rPr>
            <b/>
            <sz val="8"/>
            <color indexed="81"/>
            <rFont val="Tahoma"/>
            <family val="2"/>
          </rPr>
          <t xml:space="preserve"> Rebecca Bernard:</t>
        </r>
        <r>
          <rPr>
            <sz val="8"/>
            <color indexed="81"/>
            <rFont val="Tahoma"/>
            <family val="2"/>
          </rPr>
          <t xml:space="preserve">
used same week in 1994 for proportions</t>
        </r>
      </text>
    </comment>
    <comment ref="Q285" authorId="0" shapeId="0" xr:uid="{00000000-0006-0000-0200-000079030000}">
      <text>
        <r>
          <rPr>
            <b/>
            <sz val="8"/>
            <color indexed="81"/>
            <rFont val="Tahoma"/>
            <family val="2"/>
          </rPr>
          <t xml:space="preserve"> Rebecca Bernard:</t>
        </r>
        <r>
          <rPr>
            <sz val="8"/>
            <color indexed="81"/>
            <rFont val="Tahoma"/>
            <family val="2"/>
          </rPr>
          <t xml:space="preserve">
used same week in 1994 for proportions</t>
        </r>
      </text>
    </comment>
    <comment ref="T285" authorId="0" shapeId="0" xr:uid="{00000000-0006-0000-0200-00007A030000}">
      <text>
        <r>
          <rPr>
            <b/>
            <sz val="8"/>
            <color indexed="81"/>
            <rFont val="Tahoma"/>
            <family val="2"/>
          </rPr>
          <t xml:space="preserve"> Rebecca Bernard:</t>
        </r>
        <r>
          <rPr>
            <sz val="8"/>
            <color indexed="81"/>
            <rFont val="Tahoma"/>
            <family val="2"/>
          </rPr>
          <t xml:space="preserve">
used week 50 proportions</t>
        </r>
      </text>
    </comment>
    <comment ref="U285" authorId="0" shapeId="0" xr:uid="{00000000-0006-0000-0200-00007B030000}">
      <text>
        <r>
          <rPr>
            <b/>
            <sz val="8"/>
            <color indexed="81"/>
            <rFont val="Tahoma"/>
            <family val="2"/>
          </rPr>
          <t xml:space="preserve"> Rebecca Bernard:</t>
        </r>
        <r>
          <rPr>
            <sz val="8"/>
            <color indexed="81"/>
            <rFont val="Tahoma"/>
            <family val="2"/>
          </rPr>
          <t xml:space="preserve">
used week 50 proportions</t>
        </r>
      </text>
    </comment>
    <comment ref="X285" authorId="0" shapeId="0" xr:uid="{00000000-0006-0000-0200-00007C030000}">
      <text>
        <r>
          <rPr>
            <b/>
            <sz val="8"/>
            <color indexed="81"/>
            <rFont val="Tahoma"/>
            <family val="2"/>
          </rPr>
          <t xml:space="preserve"> Rebecca Bernard:</t>
        </r>
        <r>
          <rPr>
            <sz val="8"/>
            <color indexed="81"/>
            <rFont val="Tahoma"/>
            <family val="2"/>
          </rPr>
          <t xml:space="preserve">
used week 47 1994 proportions</t>
        </r>
      </text>
    </comment>
    <comment ref="Y285" authorId="0" shapeId="0" xr:uid="{00000000-0006-0000-0200-00007D030000}">
      <text>
        <r>
          <rPr>
            <b/>
            <sz val="8"/>
            <color indexed="81"/>
            <rFont val="Tahoma"/>
            <family val="2"/>
          </rPr>
          <t xml:space="preserve"> Rebecca Bernard:</t>
        </r>
        <r>
          <rPr>
            <sz val="8"/>
            <color indexed="81"/>
            <rFont val="Tahoma"/>
            <family val="2"/>
          </rPr>
          <t xml:space="preserve">
used week 47 1994 proportions</t>
        </r>
      </text>
    </comment>
    <comment ref="Z285" authorId="0" shapeId="0" xr:uid="{00000000-0006-0000-0200-00007E030000}">
      <text>
        <r>
          <rPr>
            <b/>
            <sz val="8"/>
            <color indexed="81"/>
            <rFont val="Tahoma"/>
            <family val="2"/>
          </rPr>
          <t xml:space="preserve"> Rebecca Bernard:</t>
        </r>
        <r>
          <rPr>
            <sz val="8"/>
            <color indexed="81"/>
            <rFont val="Tahoma"/>
            <family val="2"/>
          </rPr>
          <t xml:space="preserve">
same proportions as 1995 same week</t>
        </r>
      </text>
    </comment>
    <comment ref="AA285" authorId="0" shapeId="0" xr:uid="{00000000-0006-0000-0200-00007F030000}">
      <text>
        <r>
          <rPr>
            <b/>
            <sz val="8"/>
            <color indexed="81"/>
            <rFont val="Tahoma"/>
            <family val="2"/>
          </rPr>
          <t xml:space="preserve"> Rebecca Bernard:</t>
        </r>
        <r>
          <rPr>
            <sz val="8"/>
            <color indexed="81"/>
            <rFont val="Tahoma"/>
            <family val="2"/>
          </rPr>
          <t xml:space="preserve">
same proportions as 1995 same week</t>
        </r>
      </text>
    </comment>
    <comment ref="AR285" authorId="0" shapeId="0" xr:uid="{00000000-0006-0000-0200-000080030000}">
      <text>
        <r>
          <rPr>
            <b/>
            <sz val="8"/>
            <color indexed="81"/>
            <rFont val="Tahoma"/>
            <family val="2"/>
          </rPr>
          <t xml:space="preserve"> Rebecca Bernard:</t>
        </r>
        <r>
          <rPr>
            <sz val="8"/>
            <color indexed="81"/>
            <rFont val="Tahoma"/>
            <family val="2"/>
          </rPr>
          <t xml:space="preserve">
used week49 proportions</t>
        </r>
      </text>
    </comment>
    <comment ref="AS285" authorId="0" shapeId="0" xr:uid="{00000000-0006-0000-0200-000081030000}">
      <text>
        <r>
          <rPr>
            <b/>
            <sz val="8"/>
            <color indexed="81"/>
            <rFont val="Tahoma"/>
            <family val="2"/>
          </rPr>
          <t xml:space="preserve"> Rebecca Bernard:</t>
        </r>
        <r>
          <rPr>
            <sz val="8"/>
            <color indexed="81"/>
            <rFont val="Tahoma"/>
            <family val="2"/>
          </rPr>
          <t xml:space="preserve">
used week49 proportions</t>
        </r>
      </text>
    </comment>
    <comment ref="D286" authorId="0" shapeId="0" xr:uid="{00000000-0006-0000-0200-000082030000}">
      <text>
        <r>
          <rPr>
            <b/>
            <sz val="8"/>
            <color indexed="81"/>
            <rFont val="Tahoma"/>
            <family val="2"/>
          </rPr>
          <t xml:space="preserve"> Rebecca Bernard:</t>
        </r>
        <r>
          <rPr>
            <sz val="8"/>
            <color indexed="81"/>
            <rFont val="Tahoma"/>
            <family val="2"/>
          </rPr>
          <t xml:space="preserve">
used week 51 proportions</t>
        </r>
      </text>
    </comment>
    <comment ref="E286" authorId="0" shapeId="0" xr:uid="{00000000-0006-0000-0200-000083030000}">
      <text>
        <r>
          <rPr>
            <b/>
            <sz val="8"/>
            <color indexed="81"/>
            <rFont val="Tahoma"/>
            <family val="2"/>
          </rPr>
          <t xml:space="preserve"> Rebecca Bernard:</t>
        </r>
        <r>
          <rPr>
            <sz val="8"/>
            <color indexed="81"/>
            <rFont val="Tahoma"/>
            <family val="2"/>
          </rPr>
          <t xml:space="preserve">
used week 51 proportions</t>
        </r>
      </text>
    </comment>
    <comment ref="F286" authorId="0" shapeId="0" xr:uid="{00000000-0006-0000-0200-000084030000}">
      <text>
        <r>
          <rPr>
            <b/>
            <sz val="8"/>
            <color indexed="81"/>
            <rFont val="Tahoma"/>
            <family val="2"/>
          </rPr>
          <t xml:space="preserve"> Rebecca Bernard:</t>
        </r>
        <r>
          <rPr>
            <sz val="8"/>
            <color indexed="81"/>
            <rFont val="Tahoma"/>
            <family val="2"/>
          </rPr>
          <t xml:space="preserve">
used week 49 proportions</t>
        </r>
      </text>
    </comment>
    <comment ref="G286" authorId="0" shapeId="0" xr:uid="{00000000-0006-0000-0200-000085030000}">
      <text>
        <r>
          <rPr>
            <b/>
            <sz val="8"/>
            <color indexed="81"/>
            <rFont val="Tahoma"/>
            <family val="2"/>
          </rPr>
          <t xml:space="preserve"> Rebecca Bernard:</t>
        </r>
        <r>
          <rPr>
            <sz val="8"/>
            <color indexed="81"/>
            <rFont val="Tahoma"/>
            <family val="2"/>
          </rPr>
          <t xml:space="preserve">
used week 49 proportions</t>
        </r>
      </text>
    </comment>
    <comment ref="P286" authorId="0" shapeId="0" xr:uid="{00000000-0006-0000-0200-000086030000}">
      <text>
        <r>
          <rPr>
            <b/>
            <sz val="8"/>
            <color indexed="81"/>
            <rFont val="Tahoma"/>
            <family val="2"/>
          </rPr>
          <t xml:space="preserve"> Rebecca Bernard:</t>
        </r>
        <r>
          <rPr>
            <sz val="8"/>
            <color indexed="81"/>
            <rFont val="Tahoma"/>
            <family val="2"/>
          </rPr>
          <t xml:space="preserve">
used week 51 proportions</t>
        </r>
      </text>
    </comment>
    <comment ref="Q286" authorId="0" shapeId="0" xr:uid="{00000000-0006-0000-0200-000087030000}">
      <text>
        <r>
          <rPr>
            <b/>
            <sz val="8"/>
            <color indexed="81"/>
            <rFont val="Tahoma"/>
            <family val="2"/>
          </rPr>
          <t xml:space="preserve"> Rebecca Bernard:</t>
        </r>
        <r>
          <rPr>
            <sz val="8"/>
            <color indexed="81"/>
            <rFont val="Tahoma"/>
            <family val="2"/>
          </rPr>
          <t xml:space="preserve">
used week 51 proportions</t>
        </r>
      </text>
    </comment>
    <comment ref="T286" authorId="0" shapeId="0" xr:uid="{00000000-0006-0000-0200-000088030000}">
      <text>
        <r>
          <rPr>
            <b/>
            <sz val="8"/>
            <color indexed="81"/>
            <rFont val="Tahoma"/>
            <family val="2"/>
          </rPr>
          <t xml:space="preserve"> Rebecca Bernard:</t>
        </r>
        <r>
          <rPr>
            <sz val="8"/>
            <color indexed="81"/>
            <rFont val="Tahoma"/>
            <family val="2"/>
          </rPr>
          <t xml:space="preserve">
used week 50 proportions</t>
        </r>
      </text>
    </comment>
    <comment ref="U286" authorId="0" shapeId="0" xr:uid="{00000000-0006-0000-0200-000089030000}">
      <text>
        <r>
          <rPr>
            <b/>
            <sz val="8"/>
            <color indexed="81"/>
            <rFont val="Tahoma"/>
            <family val="2"/>
          </rPr>
          <t xml:space="preserve"> Rebecca Bernard:</t>
        </r>
        <r>
          <rPr>
            <sz val="8"/>
            <color indexed="81"/>
            <rFont val="Tahoma"/>
            <family val="2"/>
          </rPr>
          <t xml:space="preserve">
used week 50 proportions</t>
        </r>
      </text>
    </comment>
    <comment ref="V286" authorId="0" shapeId="0" xr:uid="{00000000-0006-0000-0200-00008A030000}">
      <text>
        <r>
          <rPr>
            <b/>
            <sz val="8"/>
            <color indexed="81"/>
            <rFont val="Tahoma"/>
            <family val="2"/>
          </rPr>
          <t xml:space="preserve"> Rebecca Bernard:</t>
        </r>
        <r>
          <rPr>
            <sz val="8"/>
            <color indexed="81"/>
            <rFont val="Tahoma"/>
            <family val="2"/>
          </rPr>
          <t xml:space="preserve">
used week before's proportions</t>
        </r>
      </text>
    </comment>
    <comment ref="W286" authorId="0" shapeId="0" xr:uid="{00000000-0006-0000-0200-00008B030000}">
      <text>
        <r>
          <rPr>
            <b/>
            <sz val="8"/>
            <color indexed="81"/>
            <rFont val="Tahoma"/>
            <family val="2"/>
          </rPr>
          <t xml:space="preserve"> Rebecca Bernard:</t>
        </r>
        <r>
          <rPr>
            <sz val="8"/>
            <color indexed="81"/>
            <rFont val="Tahoma"/>
            <family val="2"/>
          </rPr>
          <t xml:space="preserve">
used week before's proportions</t>
        </r>
      </text>
    </comment>
    <comment ref="AN286" authorId="0" shapeId="0" xr:uid="{00000000-0006-0000-0200-00008C030000}">
      <text>
        <r>
          <rPr>
            <b/>
            <sz val="8"/>
            <color indexed="81"/>
            <rFont val="Tahoma"/>
            <family val="2"/>
          </rPr>
          <t xml:space="preserve"> Rebecca Bernard:</t>
        </r>
        <r>
          <rPr>
            <sz val="8"/>
            <color indexed="81"/>
            <rFont val="Tahoma"/>
            <family val="2"/>
          </rPr>
          <t xml:space="preserve">
used week49 proportions</t>
        </r>
      </text>
    </comment>
    <comment ref="AO286" authorId="0" shapeId="0" xr:uid="{00000000-0006-0000-0200-00008D030000}">
      <text>
        <r>
          <rPr>
            <b/>
            <sz val="8"/>
            <color indexed="81"/>
            <rFont val="Tahoma"/>
            <family val="2"/>
          </rPr>
          <t xml:space="preserve"> Rebecca Bernard:</t>
        </r>
        <r>
          <rPr>
            <sz val="8"/>
            <color indexed="81"/>
            <rFont val="Tahoma"/>
            <family val="2"/>
          </rPr>
          <t xml:space="preserve">
used week49 proportions</t>
        </r>
      </text>
    </comment>
    <comment ref="AR286" authorId="0" shapeId="0" xr:uid="{00000000-0006-0000-0200-00008E030000}">
      <text>
        <r>
          <rPr>
            <b/>
            <sz val="8"/>
            <color indexed="81"/>
            <rFont val="Tahoma"/>
            <family val="2"/>
          </rPr>
          <t xml:space="preserve"> Rebecca Bernard:</t>
        </r>
        <r>
          <rPr>
            <sz val="8"/>
            <color indexed="81"/>
            <rFont val="Tahoma"/>
            <family val="2"/>
          </rPr>
          <t xml:space="preserve">
used following week's proportions</t>
        </r>
      </text>
    </comment>
    <comment ref="AS286" authorId="0" shapeId="0" xr:uid="{00000000-0006-0000-0200-00008F030000}">
      <text>
        <r>
          <rPr>
            <b/>
            <sz val="8"/>
            <color indexed="81"/>
            <rFont val="Tahoma"/>
            <family val="2"/>
          </rPr>
          <t xml:space="preserve"> Rebecca Bernard:</t>
        </r>
        <r>
          <rPr>
            <sz val="8"/>
            <color indexed="81"/>
            <rFont val="Tahoma"/>
            <family val="2"/>
          </rPr>
          <t xml:space="preserve">
used following week's proportions</t>
        </r>
      </text>
    </comment>
    <comment ref="AT286" authorId="0" shapeId="0" xr:uid="{00000000-0006-0000-0200-000090030000}">
      <text>
        <r>
          <rPr>
            <b/>
            <sz val="8"/>
            <color indexed="81"/>
            <rFont val="Tahoma"/>
            <family val="2"/>
          </rPr>
          <t xml:space="preserve"> Rebecca Bernard:</t>
        </r>
        <r>
          <rPr>
            <sz val="8"/>
            <color indexed="81"/>
            <rFont val="Tahoma"/>
            <family val="2"/>
          </rPr>
          <t xml:space="preserve">
used following week's proportions</t>
        </r>
      </text>
    </comment>
    <comment ref="AU286" authorId="0" shapeId="0" xr:uid="{00000000-0006-0000-0200-000091030000}">
      <text>
        <r>
          <rPr>
            <b/>
            <sz val="8"/>
            <color indexed="81"/>
            <rFont val="Tahoma"/>
            <family val="2"/>
          </rPr>
          <t xml:space="preserve"> Rebecca Bernard:</t>
        </r>
        <r>
          <rPr>
            <sz val="8"/>
            <color indexed="81"/>
            <rFont val="Tahoma"/>
            <family val="2"/>
          </rPr>
          <t xml:space="preserve">
used following week's proportions</t>
        </r>
      </text>
    </comment>
    <comment ref="B287" authorId="0" shapeId="0" xr:uid="{00000000-0006-0000-0200-000092030000}">
      <text>
        <r>
          <rPr>
            <b/>
            <sz val="8"/>
            <color indexed="81"/>
            <rFont val="Tahoma"/>
            <family val="2"/>
          </rPr>
          <t xml:space="preserve"> Rebecca Bernard:</t>
        </r>
        <r>
          <rPr>
            <sz val="8"/>
            <color indexed="81"/>
            <rFont val="Tahoma"/>
            <family val="2"/>
          </rPr>
          <t xml:space="preserve">
can't use because most of catch was "U" because hatchery fish not mass marked and very few ages available.</t>
        </r>
      </text>
    </comment>
    <comment ref="D287" authorId="0" shapeId="0" xr:uid="{00000000-0006-0000-0200-000093030000}">
      <text>
        <r>
          <rPr>
            <b/>
            <sz val="8"/>
            <color indexed="81"/>
            <rFont val="Tahoma"/>
            <family val="2"/>
          </rPr>
          <t xml:space="preserve"> Rebecca Bernard:</t>
        </r>
        <r>
          <rPr>
            <sz val="8"/>
            <color indexed="81"/>
            <rFont val="Tahoma"/>
            <family val="2"/>
          </rPr>
          <t xml:space="preserve">
used week 51 proportions</t>
        </r>
      </text>
    </comment>
    <comment ref="E287" authorId="0" shapeId="0" xr:uid="{00000000-0006-0000-0200-000094030000}">
      <text>
        <r>
          <rPr>
            <b/>
            <sz val="8"/>
            <color indexed="81"/>
            <rFont val="Tahoma"/>
            <family val="2"/>
          </rPr>
          <t xml:space="preserve"> Rebecca Bernard:</t>
        </r>
        <r>
          <rPr>
            <sz val="8"/>
            <color indexed="81"/>
            <rFont val="Tahoma"/>
            <family val="2"/>
          </rPr>
          <t xml:space="preserve">
used week 51 proportions</t>
        </r>
      </text>
    </comment>
    <comment ref="F287" authorId="0" shapeId="0" xr:uid="{00000000-0006-0000-0200-000095030000}">
      <text>
        <r>
          <rPr>
            <b/>
            <sz val="8"/>
            <color indexed="81"/>
            <rFont val="Tahoma"/>
            <family val="2"/>
          </rPr>
          <t xml:space="preserve"> Rebecca Bernard:</t>
        </r>
        <r>
          <rPr>
            <sz val="8"/>
            <color indexed="81"/>
            <rFont val="Tahoma"/>
            <family val="2"/>
          </rPr>
          <t xml:space="preserve">
used following week's proportions</t>
        </r>
      </text>
    </comment>
    <comment ref="G287" authorId="0" shapeId="0" xr:uid="{00000000-0006-0000-0200-000096030000}">
      <text>
        <r>
          <rPr>
            <b/>
            <sz val="8"/>
            <color indexed="81"/>
            <rFont val="Tahoma"/>
            <family val="2"/>
          </rPr>
          <t xml:space="preserve"> Rebecca Bernard:</t>
        </r>
        <r>
          <rPr>
            <sz val="8"/>
            <color indexed="81"/>
            <rFont val="Tahoma"/>
            <family val="2"/>
          </rPr>
          <t xml:space="preserve">
used following week's proportions</t>
        </r>
      </text>
    </comment>
    <comment ref="P287" authorId="0" shapeId="0" xr:uid="{00000000-0006-0000-0200-000097030000}">
      <text>
        <r>
          <rPr>
            <b/>
            <sz val="8"/>
            <color indexed="81"/>
            <rFont val="Tahoma"/>
            <family val="2"/>
          </rPr>
          <t xml:space="preserve"> Rebecca Bernard:</t>
        </r>
        <r>
          <rPr>
            <sz val="8"/>
            <color indexed="81"/>
            <rFont val="Tahoma"/>
            <family val="2"/>
          </rPr>
          <t xml:space="preserve">
used week 51 proportions</t>
        </r>
      </text>
    </comment>
    <comment ref="Q287" authorId="0" shapeId="0" xr:uid="{00000000-0006-0000-0200-000098030000}">
      <text>
        <r>
          <rPr>
            <b/>
            <sz val="8"/>
            <color indexed="81"/>
            <rFont val="Tahoma"/>
            <family val="2"/>
          </rPr>
          <t xml:space="preserve"> Rebecca Bernard:</t>
        </r>
        <r>
          <rPr>
            <sz val="8"/>
            <color indexed="81"/>
            <rFont val="Tahoma"/>
            <family val="2"/>
          </rPr>
          <t xml:space="preserve">
used week 51 proportions</t>
        </r>
      </text>
    </comment>
    <comment ref="T287" authorId="0" shapeId="0" xr:uid="{00000000-0006-0000-0200-000099030000}">
      <text>
        <r>
          <rPr>
            <b/>
            <sz val="8"/>
            <color indexed="81"/>
            <rFont val="Tahoma"/>
            <family val="2"/>
          </rPr>
          <t xml:space="preserve"> Rebecca Bernard:</t>
        </r>
        <r>
          <rPr>
            <sz val="8"/>
            <color indexed="81"/>
            <rFont val="Tahoma"/>
            <family val="2"/>
          </rPr>
          <t xml:space="preserve">
used following week's proportions</t>
        </r>
      </text>
    </comment>
    <comment ref="U287" authorId="0" shapeId="0" xr:uid="{00000000-0006-0000-0200-00009A030000}">
      <text>
        <r>
          <rPr>
            <b/>
            <sz val="8"/>
            <color indexed="81"/>
            <rFont val="Tahoma"/>
            <family val="2"/>
          </rPr>
          <t xml:space="preserve"> Rebecca Bernard:</t>
        </r>
        <r>
          <rPr>
            <sz val="8"/>
            <color indexed="81"/>
            <rFont val="Tahoma"/>
            <family val="2"/>
          </rPr>
          <t xml:space="preserve">
used following week's proportions</t>
        </r>
      </text>
    </comment>
    <comment ref="AL287" authorId="0" shapeId="0" xr:uid="{00000000-0006-0000-0200-00009B030000}">
      <text>
        <r>
          <rPr>
            <b/>
            <sz val="8"/>
            <color indexed="81"/>
            <rFont val="Tahoma"/>
            <family val="2"/>
          </rPr>
          <t xml:space="preserve"> Rebecca Bernard:</t>
        </r>
        <r>
          <rPr>
            <sz val="8"/>
            <color indexed="81"/>
            <rFont val="Tahoma"/>
            <family val="2"/>
          </rPr>
          <t xml:space="preserve">
used week50 proportions</t>
        </r>
      </text>
    </comment>
    <comment ref="AM287" authorId="0" shapeId="0" xr:uid="{00000000-0006-0000-0200-00009C030000}">
      <text>
        <r>
          <rPr>
            <b/>
            <sz val="8"/>
            <color indexed="81"/>
            <rFont val="Tahoma"/>
            <family val="2"/>
          </rPr>
          <t xml:space="preserve"> Rebecca Bernard:</t>
        </r>
        <r>
          <rPr>
            <sz val="8"/>
            <color indexed="81"/>
            <rFont val="Tahoma"/>
            <family val="2"/>
          </rPr>
          <t xml:space="preserve">
used week 50 proportions</t>
        </r>
      </text>
    </comment>
    <comment ref="AN287" authorId="0" shapeId="0" xr:uid="{00000000-0006-0000-0200-00009D030000}">
      <text>
        <r>
          <rPr>
            <b/>
            <sz val="8"/>
            <color indexed="81"/>
            <rFont val="Tahoma"/>
            <family val="2"/>
          </rPr>
          <t xml:space="preserve"> Rebecca Bernard:</t>
        </r>
        <r>
          <rPr>
            <sz val="8"/>
            <color indexed="81"/>
            <rFont val="Tahoma"/>
            <family val="2"/>
          </rPr>
          <t xml:space="preserve">
used following week's proportions</t>
        </r>
      </text>
    </comment>
    <comment ref="AO287" authorId="0" shapeId="0" xr:uid="{00000000-0006-0000-0200-00009E030000}">
      <text>
        <r>
          <rPr>
            <b/>
            <sz val="8"/>
            <color indexed="81"/>
            <rFont val="Tahoma"/>
            <family val="2"/>
          </rPr>
          <t xml:space="preserve"> Rebecca Bernard:</t>
        </r>
        <r>
          <rPr>
            <sz val="8"/>
            <color indexed="81"/>
            <rFont val="Tahoma"/>
            <family val="2"/>
          </rPr>
          <t xml:space="preserve">
used following week's proportions</t>
        </r>
      </text>
    </comment>
    <comment ref="H288" authorId="0" shapeId="0" xr:uid="{00000000-0006-0000-0200-00009F030000}">
      <text>
        <r>
          <rPr>
            <b/>
            <sz val="8"/>
            <color indexed="81"/>
            <rFont val="Tahoma"/>
            <family val="2"/>
          </rPr>
          <t xml:space="preserve"> Rebecca Bernard:</t>
        </r>
        <r>
          <rPr>
            <sz val="8"/>
            <color indexed="81"/>
            <rFont val="Tahoma"/>
            <family val="2"/>
          </rPr>
          <t xml:space="preserve">
used following week's proportions</t>
        </r>
      </text>
    </comment>
    <comment ref="I288" authorId="0" shapeId="0" xr:uid="{00000000-0006-0000-0200-0000A0030000}">
      <text>
        <r>
          <rPr>
            <b/>
            <sz val="8"/>
            <color indexed="81"/>
            <rFont val="Tahoma"/>
            <family val="2"/>
          </rPr>
          <t xml:space="preserve"> Rebecca Bernard:</t>
        </r>
        <r>
          <rPr>
            <sz val="8"/>
            <color indexed="81"/>
            <rFont val="Tahoma"/>
            <family val="2"/>
          </rPr>
          <t xml:space="preserve">
used following week's proportions</t>
        </r>
      </text>
    </comment>
    <comment ref="P288" authorId="0" shapeId="0" xr:uid="{00000000-0006-0000-0200-0000A1030000}">
      <text>
        <r>
          <rPr>
            <b/>
            <sz val="8"/>
            <color indexed="81"/>
            <rFont val="Tahoma"/>
            <family val="2"/>
          </rPr>
          <t xml:space="preserve"> Rebecca Bernard:</t>
        </r>
        <r>
          <rPr>
            <sz val="8"/>
            <color indexed="81"/>
            <rFont val="Tahoma"/>
            <family val="2"/>
          </rPr>
          <t xml:space="preserve">
used following week's proportions</t>
        </r>
      </text>
    </comment>
    <comment ref="Q288" authorId="0" shapeId="0" xr:uid="{00000000-0006-0000-0200-0000A2030000}">
      <text>
        <r>
          <rPr>
            <b/>
            <sz val="8"/>
            <color indexed="81"/>
            <rFont val="Tahoma"/>
            <family val="2"/>
          </rPr>
          <t xml:space="preserve"> Rebecca Bernard:</t>
        </r>
        <r>
          <rPr>
            <sz val="8"/>
            <color indexed="81"/>
            <rFont val="Tahoma"/>
            <family val="2"/>
          </rPr>
          <t xml:space="preserve">
used following week's proportions</t>
        </r>
      </text>
    </comment>
    <comment ref="AD288" authorId="0" shapeId="0" xr:uid="{00000000-0006-0000-0200-0000A3030000}">
      <text>
        <r>
          <rPr>
            <b/>
            <sz val="8"/>
            <color indexed="81"/>
            <rFont val="Tahoma"/>
            <family val="2"/>
          </rPr>
          <t xml:space="preserve"> Rebecca Bernard:</t>
        </r>
        <r>
          <rPr>
            <sz val="8"/>
            <color indexed="81"/>
            <rFont val="Tahoma"/>
            <family val="2"/>
          </rPr>
          <t xml:space="preserve">
used same week 1995 for proportions, good sample size</t>
        </r>
      </text>
    </comment>
    <comment ref="AE288" authorId="0" shapeId="0" xr:uid="{00000000-0006-0000-0200-0000A4030000}">
      <text>
        <r>
          <rPr>
            <b/>
            <sz val="8"/>
            <color indexed="81"/>
            <rFont val="Tahoma"/>
            <family val="2"/>
          </rPr>
          <t xml:space="preserve"> Rebecca Bernard:</t>
        </r>
        <r>
          <rPr>
            <sz val="8"/>
            <color indexed="81"/>
            <rFont val="Tahoma"/>
            <family val="2"/>
          </rPr>
          <t xml:space="preserve">
used same week 1995 for proportions, good sample size</t>
        </r>
      </text>
    </comment>
    <comment ref="AH288" authorId="0" shapeId="0" xr:uid="{00000000-0006-0000-0200-0000A5030000}">
      <text>
        <r>
          <rPr>
            <b/>
            <sz val="8"/>
            <color indexed="81"/>
            <rFont val="Tahoma"/>
            <family val="2"/>
          </rPr>
          <t xml:space="preserve"> Rebecca Bernard:</t>
        </r>
        <r>
          <rPr>
            <sz val="8"/>
            <color indexed="81"/>
            <rFont val="Tahoma"/>
            <family val="2"/>
          </rPr>
          <t xml:space="preserve">
used same week 1995
--good sample size for proportions</t>
        </r>
      </text>
    </comment>
    <comment ref="AI288" authorId="0" shapeId="0" xr:uid="{00000000-0006-0000-0200-0000A6030000}">
      <text>
        <r>
          <rPr>
            <b/>
            <sz val="8"/>
            <color indexed="81"/>
            <rFont val="Tahoma"/>
            <family val="2"/>
          </rPr>
          <t xml:space="preserve"> Rebecca Bernard:</t>
        </r>
        <r>
          <rPr>
            <sz val="8"/>
            <color indexed="81"/>
            <rFont val="Tahoma"/>
            <family val="2"/>
          </rPr>
          <t xml:space="preserve">
used same week 1995
--good sample size for proportions</t>
        </r>
      </text>
    </comment>
    <comment ref="AL288" authorId="0" shapeId="0" xr:uid="{00000000-0006-0000-0200-0000A7030000}">
      <text>
        <r>
          <rPr>
            <b/>
            <sz val="8"/>
            <color indexed="81"/>
            <rFont val="Tahoma"/>
            <family val="2"/>
          </rPr>
          <t xml:space="preserve"> Rebecca Bernard:</t>
        </r>
        <r>
          <rPr>
            <sz val="8"/>
            <color indexed="81"/>
            <rFont val="Tahoma"/>
            <family val="2"/>
          </rPr>
          <t xml:space="preserve">
used following week's proportions</t>
        </r>
      </text>
    </comment>
    <comment ref="AM288" authorId="0" shapeId="0" xr:uid="{00000000-0006-0000-0200-0000A8030000}">
      <text>
        <r>
          <rPr>
            <b/>
            <sz val="8"/>
            <color indexed="81"/>
            <rFont val="Tahoma"/>
            <family val="2"/>
          </rPr>
          <t xml:space="preserve"> Rebecca Bernard:</t>
        </r>
        <r>
          <rPr>
            <sz val="8"/>
            <color indexed="81"/>
            <rFont val="Tahoma"/>
            <family val="2"/>
          </rPr>
          <t xml:space="preserve">
used following week's proportions</t>
        </r>
      </text>
    </comment>
    <comment ref="AX288" authorId="0" shapeId="0" xr:uid="{00000000-0006-0000-0200-0000A9030000}">
      <text>
        <r>
          <rPr>
            <b/>
            <sz val="8"/>
            <color indexed="81"/>
            <rFont val="Tahoma"/>
            <family val="2"/>
          </rPr>
          <t xml:space="preserve"> Rebecca Bernard:</t>
        </r>
        <r>
          <rPr>
            <sz val="8"/>
            <color indexed="81"/>
            <rFont val="Tahoma"/>
            <family val="2"/>
          </rPr>
          <t xml:space="preserve">
used week 51 proportions</t>
        </r>
      </text>
    </comment>
    <comment ref="AY288" authorId="0" shapeId="0" xr:uid="{00000000-0006-0000-0200-0000AA030000}">
      <text>
        <r>
          <rPr>
            <b/>
            <sz val="8"/>
            <color indexed="81"/>
            <rFont val="Tahoma"/>
            <family val="2"/>
          </rPr>
          <t xml:space="preserve"> Rebecca Bernard:</t>
        </r>
        <r>
          <rPr>
            <sz val="8"/>
            <color indexed="81"/>
            <rFont val="Tahoma"/>
            <family val="2"/>
          </rPr>
          <t xml:space="preserve">
used week 51 proportions</t>
        </r>
      </text>
    </comment>
    <comment ref="BB288" authorId="1" shapeId="0" xr:uid="{00000000-0006-0000-0200-0000AB030000}">
      <text>
        <r>
          <rPr>
            <b/>
            <sz val="9"/>
            <color indexed="81"/>
            <rFont val="Tahoma"/>
            <family val="2"/>
          </rPr>
          <t>rbernard:</t>
        </r>
        <r>
          <rPr>
            <sz val="9"/>
            <color indexed="81"/>
            <rFont val="Tahoma"/>
            <family val="2"/>
          </rPr>
          <t xml:space="preserve">
used 2010</t>
        </r>
      </text>
    </comment>
    <comment ref="BC288" authorId="1" shapeId="0" xr:uid="{00000000-0006-0000-0200-0000AC030000}">
      <text>
        <r>
          <rPr>
            <b/>
            <sz val="9"/>
            <color indexed="81"/>
            <rFont val="Tahoma"/>
            <family val="2"/>
          </rPr>
          <t>rbernard:</t>
        </r>
        <r>
          <rPr>
            <sz val="9"/>
            <color indexed="81"/>
            <rFont val="Tahoma"/>
            <family val="2"/>
          </rPr>
          <t xml:space="preserve">
used 2010</t>
        </r>
      </text>
    </comment>
    <comment ref="BD288" authorId="1" shapeId="0" xr:uid="{00000000-0006-0000-0200-0000AD030000}">
      <text>
        <r>
          <rPr>
            <b/>
            <sz val="9"/>
            <color indexed="81"/>
            <rFont val="Tahoma"/>
            <family val="2"/>
          </rPr>
          <t>rbernard:</t>
        </r>
        <r>
          <rPr>
            <sz val="9"/>
            <color indexed="81"/>
            <rFont val="Tahoma"/>
            <family val="2"/>
          </rPr>
          <t xml:space="preserve">
used week 51 samples</t>
        </r>
      </text>
    </comment>
    <comment ref="BE288" authorId="1" shapeId="0" xr:uid="{00000000-0006-0000-0200-0000AE030000}">
      <text>
        <r>
          <rPr>
            <b/>
            <sz val="9"/>
            <color indexed="81"/>
            <rFont val="Tahoma"/>
            <family val="2"/>
          </rPr>
          <t>rbernard:</t>
        </r>
        <r>
          <rPr>
            <sz val="9"/>
            <color indexed="81"/>
            <rFont val="Tahoma"/>
            <family val="2"/>
          </rPr>
          <t xml:space="preserve">
used week 51 samples</t>
        </r>
      </text>
    </comment>
    <comment ref="BL288" authorId="2" shapeId="0" xr:uid="{00000000-0006-0000-0200-0000AF030000}">
      <text>
        <r>
          <rPr>
            <b/>
            <sz val="9"/>
            <color indexed="81"/>
            <rFont val="Tahoma"/>
            <family val="2"/>
          </rPr>
          <t>Pete Kairis:</t>
        </r>
        <r>
          <rPr>
            <sz val="9"/>
            <color indexed="81"/>
            <rFont val="Tahoma"/>
            <family val="2"/>
          </rPr>
          <t xml:space="preserve">
No sampling this week, so using previous week</t>
        </r>
      </text>
    </comment>
    <comment ref="BM288" authorId="2" shapeId="0" xr:uid="{00000000-0006-0000-0200-0000B0030000}">
      <text>
        <r>
          <rPr>
            <b/>
            <sz val="9"/>
            <color indexed="81"/>
            <rFont val="Tahoma"/>
            <family val="2"/>
          </rPr>
          <t>Pete Kairis:</t>
        </r>
        <r>
          <rPr>
            <sz val="9"/>
            <color indexed="81"/>
            <rFont val="Tahoma"/>
            <family val="2"/>
          </rPr>
          <t xml:space="preserve">
No sampling this week, so using previous week</t>
        </r>
      </text>
    </comment>
    <comment ref="BN288" authorId="2" shapeId="0" xr:uid="{00000000-0006-0000-0200-0000B1030000}">
      <text>
        <r>
          <rPr>
            <b/>
            <sz val="9"/>
            <color indexed="81"/>
            <rFont val="Tahoma"/>
            <family val="2"/>
          </rPr>
          <t>Pete Kairis:</t>
        </r>
        <r>
          <rPr>
            <sz val="9"/>
            <color indexed="81"/>
            <rFont val="Tahoma"/>
            <family val="2"/>
          </rPr>
          <t xml:space="preserve">
No sampling this week, so using previous week</t>
        </r>
      </text>
    </comment>
    <comment ref="BO288" authorId="2" shapeId="0" xr:uid="{00000000-0006-0000-0200-0000B2030000}">
      <text>
        <r>
          <rPr>
            <b/>
            <sz val="9"/>
            <color indexed="81"/>
            <rFont val="Tahoma"/>
            <family val="2"/>
          </rPr>
          <t>Pete Kairis:</t>
        </r>
        <r>
          <rPr>
            <sz val="9"/>
            <color indexed="81"/>
            <rFont val="Tahoma"/>
            <family val="2"/>
          </rPr>
          <t xml:space="preserve">
No sampling this week, so using previous week</t>
        </r>
      </text>
    </comment>
    <comment ref="BP288" authorId="2" shapeId="0" xr:uid="{00000000-0006-0000-0200-0000B3030000}">
      <text>
        <r>
          <rPr>
            <b/>
            <sz val="9"/>
            <color indexed="81"/>
            <rFont val="Tahoma"/>
            <family val="2"/>
          </rPr>
          <t>Pete Kairis:</t>
        </r>
        <r>
          <rPr>
            <sz val="9"/>
            <color indexed="81"/>
            <rFont val="Tahoma"/>
            <family val="2"/>
          </rPr>
          <t xml:space="preserve">
No sampling this week, so using previous week</t>
        </r>
      </text>
    </comment>
    <comment ref="BQ288" authorId="2" shapeId="0" xr:uid="{00000000-0006-0000-0200-0000B4030000}">
      <text>
        <r>
          <rPr>
            <b/>
            <sz val="9"/>
            <color indexed="81"/>
            <rFont val="Tahoma"/>
            <family val="2"/>
          </rPr>
          <t>Pete Kairis:</t>
        </r>
        <r>
          <rPr>
            <sz val="9"/>
            <color indexed="81"/>
            <rFont val="Tahoma"/>
            <family val="2"/>
          </rPr>
          <t xml:space="preserve">
No sampling this week, so using previous week</t>
        </r>
      </text>
    </comment>
    <comment ref="B289" authorId="0" shapeId="0" xr:uid="{00000000-0006-0000-0200-0000B5030000}">
      <text>
        <r>
          <rPr>
            <b/>
            <sz val="8"/>
            <color indexed="81"/>
            <rFont val="Tahoma"/>
            <family val="2"/>
          </rPr>
          <t xml:space="preserve"> Rebecca Bernard:</t>
        </r>
        <r>
          <rPr>
            <sz val="8"/>
            <color indexed="81"/>
            <rFont val="Tahoma"/>
            <family val="2"/>
          </rPr>
          <t xml:space="preserve">
can't use because most of catch was "U" because hatchery fish not mass marked and very few ages available.</t>
        </r>
      </text>
    </comment>
    <comment ref="AD289" authorId="0" shapeId="0" xr:uid="{00000000-0006-0000-0200-0000B6030000}">
      <text>
        <r>
          <rPr>
            <b/>
            <sz val="8"/>
            <color indexed="81"/>
            <rFont val="Tahoma"/>
            <family val="2"/>
          </rPr>
          <t xml:space="preserve"> Rebecca Bernard:</t>
        </r>
        <r>
          <rPr>
            <sz val="8"/>
            <color indexed="81"/>
            <rFont val="Tahoma"/>
            <family val="2"/>
          </rPr>
          <t xml:space="preserve">
used same week 1994--good sample size for proportions</t>
        </r>
      </text>
    </comment>
    <comment ref="AE289" authorId="0" shapeId="0" xr:uid="{00000000-0006-0000-0200-0000B7030000}">
      <text>
        <r>
          <rPr>
            <b/>
            <sz val="8"/>
            <color indexed="81"/>
            <rFont val="Tahoma"/>
            <family val="2"/>
          </rPr>
          <t xml:space="preserve"> Rebecca Bernard:</t>
        </r>
        <r>
          <rPr>
            <sz val="8"/>
            <color indexed="81"/>
            <rFont val="Tahoma"/>
            <family val="2"/>
          </rPr>
          <t xml:space="preserve">
used same week 1994--good sample size for proportions</t>
        </r>
      </text>
    </comment>
    <comment ref="AH289" authorId="0" shapeId="0" xr:uid="{00000000-0006-0000-0200-0000B8030000}">
      <text>
        <r>
          <rPr>
            <b/>
            <sz val="8"/>
            <color indexed="81"/>
            <rFont val="Tahoma"/>
            <family val="2"/>
          </rPr>
          <t xml:space="preserve"> Rebecca Bernard:</t>
        </r>
        <r>
          <rPr>
            <sz val="8"/>
            <color indexed="81"/>
            <rFont val="Tahoma"/>
            <family val="2"/>
          </rPr>
          <t xml:space="preserve">
used same week 1994--good sample size for proportions</t>
        </r>
      </text>
    </comment>
    <comment ref="AI289" authorId="0" shapeId="0" xr:uid="{00000000-0006-0000-0200-0000B9030000}">
      <text>
        <r>
          <rPr>
            <b/>
            <sz val="8"/>
            <color indexed="81"/>
            <rFont val="Tahoma"/>
            <family val="2"/>
          </rPr>
          <t xml:space="preserve"> Rebecca Bernard:</t>
        </r>
        <r>
          <rPr>
            <sz val="8"/>
            <color indexed="81"/>
            <rFont val="Tahoma"/>
            <family val="2"/>
          </rPr>
          <t xml:space="preserve">
used same week 1994--good sample size for proportions</t>
        </r>
      </text>
    </comment>
    <comment ref="AJ289" authorId="0" shapeId="0" xr:uid="{00000000-0006-0000-0200-0000BA030000}">
      <text>
        <r>
          <rPr>
            <b/>
            <sz val="8"/>
            <color indexed="81"/>
            <rFont val="Tahoma"/>
            <family val="2"/>
          </rPr>
          <t xml:space="preserve"> Rebecca Bernard:</t>
        </r>
        <r>
          <rPr>
            <sz val="8"/>
            <color indexed="81"/>
            <rFont val="Tahoma"/>
            <family val="2"/>
          </rPr>
          <t xml:space="preserve">
used week before's proportions</t>
        </r>
      </text>
    </comment>
    <comment ref="AK289" authorId="0" shapeId="0" xr:uid="{00000000-0006-0000-0200-0000BB030000}">
      <text>
        <r>
          <rPr>
            <b/>
            <sz val="8"/>
            <color indexed="81"/>
            <rFont val="Tahoma"/>
            <family val="2"/>
          </rPr>
          <t xml:space="preserve"> Rebecca Bernard:</t>
        </r>
        <r>
          <rPr>
            <sz val="8"/>
            <color indexed="81"/>
            <rFont val="Tahoma"/>
            <family val="2"/>
          </rPr>
          <t xml:space="preserve">
used week before's proportions</t>
        </r>
      </text>
    </comment>
    <comment ref="AN289" authorId="0" shapeId="0" xr:uid="{00000000-0006-0000-0200-0000BC030000}">
      <text>
        <r>
          <rPr>
            <b/>
            <sz val="8"/>
            <color indexed="81"/>
            <rFont val="Tahoma"/>
            <family val="2"/>
          </rPr>
          <t xml:space="preserve"> Rebecca Bernard:</t>
        </r>
        <r>
          <rPr>
            <sz val="8"/>
            <color indexed="81"/>
            <rFont val="Tahoma"/>
            <family val="2"/>
          </rPr>
          <t xml:space="preserve">
used week before's proportions</t>
        </r>
      </text>
    </comment>
    <comment ref="AO289" authorId="0" shapeId="0" xr:uid="{00000000-0006-0000-0200-0000BD030000}">
      <text>
        <r>
          <rPr>
            <b/>
            <sz val="8"/>
            <color indexed="81"/>
            <rFont val="Tahoma"/>
            <family val="2"/>
          </rPr>
          <t xml:space="preserve"> Rebecca Bernard:</t>
        </r>
        <r>
          <rPr>
            <sz val="8"/>
            <color indexed="81"/>
            <rFont val="Tahoma"/>
            <family val="2"/>
          </rPr>
          <t xml:space="preserve">
used week before's proportions</t>
        </r>
      </text>
    </comment>
    <comment ref="AR289" authorId="0" shapeId="0" xr:uid="{00000000-0006-0000-0200-0000BE030000}">
      <text>
        <r>
          <rPr>
            <b/>
            <sz val="8"/>
            <color indexed="81"/>
            <rFont val="Tahoma"/>
            <family val="2"/>
          </rPr>
          <t xml:space="preserve"> Rebecca Bernard:</t>
        </r>
        <r>
          <rPr>
            <sz val="8"/>
            <color indexed="81"/>
            <rFont val="Tahoma"/>
            <family val="2"/>
          </rPr>
          <t xml:space="preserve">
used week before's proportions</t>
        </r>
      </text>
    </comment>
    <comment ref="AS289" authorId="0" shapeId="0" xr:uid="{00000000-0006-0000-0200-0000BF030000}">
      <text>
        <r>
          <rPr>
            <b/>
            <sz val="8"/>
            <color indexed="81"/>
            <rFont val="Tahoma"/>
            <family val="2"/>
          </rPr>
          <t xml:space="preserve"> Rebecca Bernard:</t>
        </r>
        <r>
          <rPr>
            <sz val="8"/>
            <color indexed="81"/>
            <rFont val="Tahoma"/>
            <family val="2"/>
          </rPr>
          <t xml:space="preserve">
used week before's proportions</t>
        </r>
      </text>
    </comment>
    <comment ref="AV289" authorId="0" shapeId="0" xr:uid="{00000000-0006-0000-0200-0000C0030000}">
      <text>
        <r>
          <rPr>
            <b/>
            <sz val="8"/>
            <color indexed="81"/>
            <rFont val="Tahoma"/>
            <family val="2"/>
          </rPr>
          <t xml:space="preserve"> Rebecca Bernard:</t>
        </r>
        <r>
          <rPr>
            <sz val="8"/>
            <color indexed="81"/>
            <rFont val="Tahoma"/>
            <family val="2"/>
          </rPr>
          <t xml:space="preserve">
used week before's proportions</t>
        </r>
      </text>
    </comment>
    <comment ref="AW289" authorId="0" shapeId="0" xr:uid="{00000000-0006-0000-0200-0000C1030000}">
      <text>
        <r>
          <rPr>
            <b/>
            <sz val="8"/>
            <color indexed="81"/>
            <rFont val="Tahoma"/>
            <family val="2"/>
          </rPr>
          <t xml:space="preserve"> Rebecca Bernard:</t>
        </r>
        <r>
          <rPr>
            <sz val="8"/>
            <color indexed="81"/>
            <rFont val="Tahoma"/>
            <family val="2"/>
          </rPr>
          <t xml:space="preserve">
used week before's proportions</t>
        </r>
      </text>
    </comment>
    <comment ref="BB289" authorId="1" shapeId="0" xr:uid="{00000000-0006-0000-0200-0000C2030000}">
      <text>
        <r>
          <rPr>
            <b/>
            <sz val="9"/>
            <color indexed="81"/>
            <rFont val="Tahoma"/>
            <family val="2"/>
          </rPr>
          <t>rbernard:</t>
        </r>
        <r>
          <rPr>
            <sz val="9"/>
            <color indexed="81"/>
            <rFont val="Tahoma"/>
            <family val="2"/>
          </rPr>
          <t xml:space="preserve">
used week 52</t>
        </r>
      </text>
    </comment>
    <comment ref="BC289" authorId="1" shapeId="0" xr:uid="{00000000-0006-0000-0200-0000C3030000}">
      <text>
        <r>
          <rPr>
            <b/>
            <sz val="9"/>
            <color indexed="81"/>
            <rFont val="Tahoma"/>
            <family val="2"/>
          </rPr>
          <t>rbernard:</t>
        </r>
        <r>
          <rPr>
            <sz val="9"/>
            <color indexed="81"/>
            <rFont val="Tahoma"/>
            <family val="2"/>
          </rPr>
          <t xml:space="preserve">
used 2week 52</t>
        </r>
      </text>
    </comment>
    <comment ref="B290" authorId="0" shapeId="0" xr:uid="{00000000-0006-0000-0200-0000C4030000}">
      <text>
        <r>
          <rPr>
            <b/>
            <sz val="8"/>
            <color indexed="81"/>
            <rFont val="Tahoma"/>
            <family val="2"/>
          </rPr>
          <t xml:space="preserve"> Rebecca Bernard:</t>
        </r>
        <r>
          <rPr>
            <sz val="8"/>
            <color indexed="81"/>
            <rFont val="Tahoma"/>
            <family val="2"/>
          </rPr>
          <t xml:space="preserve">
can't use because most of catch was "U" because hatchery fish not mass marked and very few ages available.</t>
        </r>
      </text>
    </comment>
    <comment ref="X290" authorId="0" shapeId="0" xr:uid="{00000000-0006-0000-0200-0000C5030000}">
      <text>
        <r>
          <rPr>
            <b/>
            <sz val="8"/>
            <color indexed="81"/>
            <rFont val="Tahoma"/>
            <family val="2"/>
          </rPr>
          <t xml:space="preserve"> Rebecca Bernard:</t>
        </r>
        <r>
          <rPr>
            <sz val="8"/>
            <color indexed="81"/>
            <rFont val="Tahoma"/>
            <family val="2"/>
          </rPr>
          <t xml:space="preserve">
used week before's proportions</t>
        </r>
      </text>
    </comment>
    <comment ref="Y290" authorId="0" shapeId="0" xr:uid="{00000000-0006-0000-0200-0000C6030000}">
      <text>
        <r>
          <rPr>
            <b/>
            <sz val="8"/>
            <color indexed="81"/>
            <rFont val="Tahoma"/>
            <family val="2"/>
          </rPr>
          <t xml:space="preserve"> Rebecca Bernard:</t>
        </r>
        <r>
          <rPr>
            <sz val="8"/>
            <color indexed="81"/>
            <rFont val="Tahoma"/>
            <family val="2"/>
          </rPr>
          <t xml:space="preserve">
used week before's proportions</t>
        </r>
      </text>
    </comment>
    <comment ref="AB290" authorId="0" shapeId="0" xr:uid="{00000000-0006-0000-0200-0000C7030000}">
      <text>
        <r>
          <rPr>
            <b/>
            <sz val="8"/>
            <color indexed="81"/>
            <rFont val="Tahoma"/>
            <family val="2"/>
          </rPr>
          <t xml:space="preserve"> Rebecca Bernard:</t>
        </r>
        <r>
          <rPr>
            <sz val="8"/>
            <color indexed="81"/>
            <rFont val="Tahoma"/>
            <family val="2"/>
          </rPr>
          <t xml:space="preserve">
used week before's proportions</t>
        </r>
      </text>
    </comment>
    <comment ref="AC290" authorId="0" shapeId="0" xr:uid="{00000000-0006-0000-0200-0000C8030000}">
      <text>
        <r>
          <rPr>
            <b/>
            <sz val="8"/>
            <color indexed="81"/>
            <rFont val="Tahoma"/>
            <family val="2"/>
          </rPr>
          <t xml:space="preserve"> Rebecca Bernard:</t>
        </r>
        <r>
          <rPr>
            <sz val="8"/>
            <color indexed="81"/>
            <rFont val="Tahoma"/>
            <family val="2"/>
          </rPr>
          <t xml:space="preserve">
used week before's proportions</t>
        </r>
      </text>
    </comment>
    <comment ref="AD290" authorId="0" shapeId="0" xr:uid="{00000000-0006-0000-0200-0000C9030000}">
      <text>
        <r>
          <rPr>
            <b/>
            <sz val="8"/>
            <color indexed="81"/>
            <rFont val="Tahoma"/>
            <family val="2"/>
          </rPr>
          <t xml:space="preserve"> Rebecca Bernard:</t>
        </r>
        <r>
          <rPr>
            <sz val="8"/>
            <color indexed="81"/>
            <rFont val="Tahoma"/>
            <family val="2"/>
          </rPr>
          <t xml:space="preserve">
used same week 1994--good sample size for proportions</t>
        </r>
      </text>
    </comment>
    <comment ref="AE290" authorId="0" shapeId="0" xr:uid="{00000000-0006-0000-0200-0000CA030000}">
      <text>
        <r>
          <rPr>
            <b/>
            <sz val="8"/>
            <color indexed="81"/>
            <rFont val="Tahoma"/>
            <family val="2"/>
          </rPr>
          <t xml:space="preserve"> Rebecca Bernard:</t>
        </r>
        <r>
          <rPr>
            <sz val="8"/>
            <color indexed="81"/>
            <rFont val="Tahoma"/>
            <family val="2"/>
          </rPr>
          <t xml:space="preserve">
used same week 1994--good sample size for proportions</t>
        </r>
      </text>
    </comment>
    <comment ref="AF290" authorId="0" shapeId="0" xr:uid="{00000000-0006-0000-0200-0000CB030000}">
      <text>
        <r>
          <rPr>
            <b/>
            <sz val="8"/>
            <color indexed="81"/>
            <rFont val="Tahoma"/>
            <family val="2"/>
          </rPr>
          <t xml:space="preserve"> Rebecca Bernard:</t>
        </r>
        <r>
          <rPr>
            <sz val="8"/>
            <color indexed="81"/>
            <rFont val="Tahoma"/>
            <family val="2"/>
          </rPr>
          <t xml:space="preserve">
used same week 1994--good sample size for proportions</t>
        </r>
      </text>
    </comment>
    <comment ref="AG290" authorId="0" shapeId="0" xr:uid="{00000000-0006-0000-0200-0000CC030000}">
      <text>
        <r>
          <rPr>
            <b/>
            <sz val="8"/>
            <color indexed="81"/>
            <rFont val="Tahoma"/>
            <family val="2"/>
          </rPr>
          <t xml:space="preserve"> Rebecca Bernard:</t>
        </r>
        <r>
          <rPr>
            <sz val="8"/>
            <color indexed="81"/>
            <rFont val="Tahoma"/>
            <family val="2"/>
          </rPr>
          <t xml:space="preserve">
used same week 1994--good sample size for proportions</t>
        </r>
      </text>
    </comment>
    <comment ref="AH290" authorId="0" shapeId="0" xr:uid="{00000000-0006-0000-0200-0000CD030000}">
      <text>
        <r>
          <rPr>
            <b/>
            <sz val="8"/>
            <color indexed="81"/>
            <rFont val="Tahoma"/>
            <family val="2"/>
          </rPr>
          <t xml:space="preserve"> Rebecca Bernard:</t>
        </r>
        <r>
          <rPr>
            <sz val="8"/>
            <color indexed="81"/>
            <rFont val="Tahoma"/>
            <family val="2"/>
          </rPr>
          <t xml:space="preserve">
used same week 1994--good sample size for proportions</t>
        </r>
      </text>
    </comment>
    <comment ref="AI290" authorId="0" shapeId="0" xr:uid="{00000000-0006-0000-0200-0000CE030000}">
      <text>
        <r>
          <rPr>
            <b/>
            <sz val="8"/>
            <color indexed="81"/>
            <rFont val="Tahoma"/>
            <family val="2"/>
          </rPr>
          <t xml:space="preserve"> Rebecca Bernard:</t>
        </r>
        <r>
          <rPr>
            <sz val="8"/>
            <color indexed="81"/>
            <rFont val="Tahoma"/>
            <family val="2"/>
          </rPr>
          <t xml:space="preserve">
used same week 1994--good sample size for proportions</t>
        </r>
      </text>
    </comment>
    <comment ref="AV290" authorId="0" shapeId="0" xr:uid="{00000000-0006-0000-0200-0000CF030000}">
      <text>
        <r>
          <rPr>
            <b/>
            <sz val="8"/>
            <color indexed="81"/>
            <rFont val="Tahoma"/>
            <family val="2"/>
          </rPr>
          <t xml:space="preserve"> Rebecca Bernard:</t>
        </r>
        <r>
          <rPr>
            <sz val="8"/>
            <color indexed="81"/>
            <rFont val="Tahoma"/>
            <family val="2"/>
          </rPr>
          <t xml:space="preserve">
used week 50 proportions</t>
        </r>
      </text>
    </comment>
    <comment ref="AW290" authorId="0" shapeId="0" xr:uid="{00000000-0006-0000-0200-0000D0030000}">
      <text>
        <r>
          <rPr>
            <b/>
            <sz val="8"/>
            <color indexed="81"/>
            <rFont val="Tahoma"/>
            <family val="2"/>
          </rPr>
          <t xml:space="preserve"> Rebecca Bernard:</t>
        </r>
        <r>
          <rPr>
            <sz val="8"/>
            <color indexed="81"/>
            <rFont val="Tahoma"/>
            <family val="2"/>
          </rPr>
          <t xml:space="preserve">
used week 50 proportions</t>
        </r>
      </text>
    </comment>
    <comment ref="P291" authorId="0" shapeId="0" xr:uid="{00000000-0006-0000-0200-0000D1030000}">
      <text>
        <r>
          <rPr>
            <b/>
            <sz val="8"/>
            <color indexed="81"/>
            <rFont val="Tahoma"/>
            <family val="2"/>
          </rPr>
          <t xml:space="preserve"> Rebecca Bernard:</t>
        </r>
        <r>
          <rPr>
            <sz val="8"/>
            <color indexed="81"/>
            <rFont val="Tahoma"/>
            <family val="2"/>
          </rPr>
          <t xml:space="preserve">
used week before's proportions</t>
        </r>
      </text>
    </comment>
    <comment ref="Q291" authorId="0" shapeId="0" xr:uid="{00000000-0006-0000-0200-0000D2030000}">
      <text>
        <r>
          <rPr>
            <b/>
            <sz val="8"/>
            <color indexed="81"/>
            <rFont val="Tahoma"/>
            <family val="2"/>
          </rPr>
          <t xml:space="preserve"> Rebecca Bernard:</t>
        </r>
        <r>
          <rPr>
            <sz val="8"/>
            <color indexed="81"/>
            <rFont val="Tahoma"/>
            <family val="2"/>
          </rPr>
          <t xml:space="preserve">
used week before's proportions</t>
        </r>
      </text>
    </comment>
    <comment ref="R291" authorId="0" shapeId="0" xr:uid="{00000000-0006-0000-0200-0000D3030000}">
      <text>
        <r>
          <rPr>
            <b/>
            <sz val="8"/>
            <color indexed="81"/>
            <rFont val="Tahoma"/>
            <family val="2"/>
          </rPr>
          <t xml:space="preserve"> Rebecca Bernard:</t>
        </r>
        <r>
          <rPr>
            <sz val="8"/>
            <color indexed="81"/>
            <rFont val="Tahoma"/>
            <family val="2"/>
          </rPr>
          <t xml:space="preserve">
used week before's proportions</t>
        </r>
      </text>
    </comment>
    <comment ref="S291" authorId="0" shapeId="0" xr:uid="{00000000-0006-0000-0200-0000D4030000}">
      <text>
        <r>
          <rPr>
            <b/>
            <sz val="8"/>
            <color indexed="81"/>
            <rFont val="Tahoma"/>
            <family val="2"/>
          </rPr>
          <t xml:space="preserve"> Rebecca Bernard:</t>
        </r>
        <r>
          <rPr>
            <sz val="8"/>
            <color indexed="81"/>
            <rFont val="Tahoma"/>
            <family val="2"/>
          </rPr>
          <t xml:space="preserve">
used week before's proportions</t>
        </r>
      </text>
    </comment>
    <comment ref="AF291" authorId="0" shapeId="0" xr:uid="{00000000-0006-0000-0200-0000D5030000}">
      <text>
        <r>
          <rPr>
            <b/>
            <sz val="8"/>
            <color indexed="81"/>
            <rFont val="Tahoma"/>
            <family val="2"/>
          </rPr>
          <t xml:space="preserve"> Rebecca Bernard:</t>
        </r>
        <r>
          <rPr>
            <sz val="8"/>
            <color indexed="81"/>
            <rFont val="Tahoma"/>
            <family val="2"/>
          </rPr>
          <t xml:space="preserve">
used same week 1994--good sample size for proportions</t>
        </r>
      </text>
    </comment>
    <comment ref="AG291" authorId="0" shapeId="0" xr:uid="{00000000-0006-0000-0200-0000D6030000}">
      <text>
        <r>
          <rPr>
            <b/>
            <sz val="8"/>
            <color indexed="81"/>
            <rFont val="Tahoma"/>
            <family val="2"/>
          </rPr>
          <t xml:space="preserve"> Rebecca Bernard:</t>
        </r>
        <r>
          <rPr>
            <sz val="8"/>
            <color indexed="81"/>
            <rFont val="Tahoma"/>
            <family val="2"/>
          </rPr>
          <t xml:space="preserve">
used same week 1994--good sample size for proportions</t>
        </r>
      </text>
    </comment>
    <comment ref="AH291" authorId="0" shapeId="0" xr:uid="{00000000-0006-0000-0200-0000D7030000}">
      <text>
        <r>
          <rPr>
            <b/>
            <sz val="8"/>
            <color indexed="81"/>
            <rFont val="Tahoma"/>
            <family val="2"/>
          </rPr>
          <t xml:space="preserve"> Rebecca Bernard:</t>
        </r>
        <r>
          <rPr>
            <sz val="8"/>
            <color indexed="81"/>
            <rFont val="Tahoma"/>
            <family val="2"/>
          </rPr>
          <t xml:space="preserve">
used same week 1994--good sample size for proportions</t>
        </r>
      </text>
    </comment>
    <comment ref="AI291" authorId="0" shapeId="0" xr:uid="{00000000-0006-0000-0200-0000D8030000}">
      <text>
        <r>
          <rPr>
            <b/>
            <sz val="8"/>
            <color indexed="81"/>
            <rFont val="Tahoma"/>
            <family val="2"/>
          </rPr>
          <t xml:space="preserve"> Rebecca Bernard:</t>
        </r>
        <r>
          <rPr>
            <sz val="8"/>
            <color indexed="81"/>
            <rFont val="Tahoma"/>
            <family val="2"/>
          </rPr>
          <t xml:space="preserve">
used same week 1994--good sample size for proportions</t>
        </r>
      </text>
    </comment>
    <comment ref="AL291" authorId="0" shapeId="0" xr:uid="{00000000-0006-0000-0200-0000D9030000}">
      <text>
        <r>
          <rPr>
            <b/>
            <sz val="8"/>
            <color indexed="81"/>
            <rFont val="Tahoma"/>
            <family val="2"/>
          </rPr>
          <t xml:space="preserve"> Rebecca Bernard:</t>
        </r>
        <r>
          <rPr>
            <sz val="8"/>
            <color indexed="81"/>
            <rFont val="Tahoma"/>
            <family val="2"/>
          </rPr>
          <t xml:space="preserve">
used week 51 for proportions</t>
        </r>
      </text>
    </comment>
    <comment ref="AM291" authorId="0" shapeId="0" xr:uid="{00000000-0006-0000-0200-0000DA030000}">
      <text>
        <r>
          <rPr>
            <b/>
            <sz val="8"/>
            <color indexed="81"/>
            <rFont val="Tahoma"/>
            <family val="2"/>
          </rPr>
          <t xml:space="preserve"> Rebecca Bernard:</t>
        </r>
        <r>
          <rPr>
            <sz val="8"/>
            <color indexed="81"/>
            <rFont val="Tahoma"/>
            <family val="2"/>
          </rPr>
          <t xml:space="preserve">
used week 51 for proportions</t>
        </r>
      </text>
    </comment>
    <comment ref="AV291" authorId="0" shapeId="0" xr:uid="{00000000-0006-0000-0200-0000DB030000}">
      <text>
        <r>
          <rPr>
            <b/>
            <sz val="8"/>
            <color indexed="81"/>
            <rFont val="Tahoma"/>
            <family val="2"/>
          </rPr>
          <t xml:space="preserve"> Rebecca Bernard:</t>
        </r>
        <r>
          <rPr>
            <sz val="8"/>
            <color indexed="81"/>
            <rFont val="Tahoma"/>
            <family val="2"/>
          </rPr>
          <t xml:space="preserve">
used week 50 proportions</t>
        </r>
      </text>
    </comment>
    <comment ref="AW291" authorId="0" shapeId="0" xr:uid="{00000000-0006-0000-0200-0000DC030000}">
      <text>
        <r>
          <rPr>
            <b/>
            <sz val="8"/>
            <color indexed="81"/>
            <rFont val="Tahoma"/>
            <family val="2"/>
          </rPr>
          <t xml:space="preserve"> Rebecca Bernard:</t>
        </r>
        <r>
          <rPr>
            <sz val="8"/>
            <color indexed="81"/>
            <rFont val="Tahoma"/>
            <family val="2"/>
          </rPr>
          <t xml:space="preserve">
used week 50 proportions</t>
        </r>
      </text>
    </comment>
    <comment ref="BB291" authorId="1" shapeId="0" xr:uid="{00000000-0006-0000-0200-0000DD030000}">
      <text>
        <r>
          <rPr>
            <b/>
            <sz val="9"/>
            <color indexed="81"/>
            <rFont val="Tahoma"/>
            <family val="2"/>
          </rPr>
          <t>rbernard:</t>
        </r>
        <r>
          <rPr>
            <sz val="9"/>
            <color indexed="81"/>
            <rFont val="Tahoma"/>
            <family val="2"/>
          </rPr>
          <t xml:space="preserve">
used week 52</t>
        </r>
      </text>
    </comment>
    <comment ref="BC291" authorId="1" shapeId="0" xr:uid="{00000000-0006-0000-0200-0000DE030000}">
      <text>
        <r>
          <rPr>
            <b/>
            <sz val="9"/>
            <color indexed="81"/>
            <rFont val="Tahoma"/>
            <family val="2"/>
          </rPr>
          <t>rbernard:</t>
        </r>
        <r>
          <rPr>
            <sz val="9"/>
            <color indexed="81"/>
            <rFont val="Tahoma"/>
            <family val="2"/>
          </rPr>
          <t xml:space="preserve">
used week 52
</t>
        </r>
      </text>
    </comment>
    <comment ref="A296" authorId="1" shapeId="0" xr:uid="{00000000-0006-0000-0200-0000DF030000}">
      <text>
        <r>
          <rPr>
            <b/>
            <sz val="9"/>
            <color indexed="81"/>
            <rFont val="Tahoma"/>
            <family val="2"/>
          </rPr>
          <t>rbernard:</t>
        </r>
        <r>
          <rPr>
            <sz val="9"/>
            <color indexed="81"/>
            <rFont val="Tahoma"/>
            <family val="2"/>
          </rPr>
          <t xml:space="preserve">
Return May 1 through October 31, but spawn in next calendar year--so the "year" is the year they spawn in--the next calendar year past October.</t>
        </r>
      </text>
    </comment>
    <comment ref="A298" authorId="1" shapeId="0" xr:uid="{00000000-0006-0000-0200-0000E0030000}">
      <text>
        <r>
          <rPr>
            <b/>
            <sz val="9"/>
            <color indexed="81"/>
            <rFont val="Tahoma"/>
            <family val="2"/>
          </rPr>
          <t xml:space="preserve">rbernard:
</t>
        </r>
        <r>
          <rPr>
            <sz val="9"/>
            <color indexed="81"/>
            <rFont val="Tahoma"/>
            <family val="2"/>
          </rPr>
          <t xml:space="preserve">The </t>
        </r>
        <r>
          <rPr>
            <sz val="9"/>
            <color indexed="81"/>
            <rFont val="Tahoma"/>
            <family val="2"/>
          </rPr>
          <t xml:space="preserve">"Return Year" for winter run fish is the year they spawn in--so November and December fish catch in 1964 are added to January to April 30 catch in 1965--this total is for run year 1965.  </t>
        </r>
      </text>
    </comment>
    <comment ref="A300" authorId="0" shapeId="0" xr:uid="{00000000-0006-0000-0200-0000E1030000}">
      <text>
        <r>
          <rPr>
            <b/>
            <sz val="8"/>
            <color indexed="81"/>
            <rFont val="Tahoma"/>
            <family val="2"/>
          </rPr>
          <t xml:space="preserve"> Rebecca Bernard:</t>
        </r>
        <r>
          <rPr>
            <sz val="8"/>
            <color indexed="81"/>
            <rFont val="Tahoma"/>
            <family val="2"/>
          </rPr>
          <t xml:space="preserve">
However, because  not able to account for catch midmonth--Bob Leland wants to use July 1 as the wild fish management period start.</t>
        </r>
      </text>
    </comment>
    <comment ref="BL303" authorId="2" shapeId="0" xr:uid="{00000000-0006-0000-0200-0000E2030000}">
      <text>
        <r>
          <rPr>
            <b/>
            <sz val="9"/>
            <color indexed="81"/>
            <rFont val="Tahoma"/>
            <family val="2"/>
          </rPr>
          <t>Pete Kairis:</t>
        </r>
        <r>
          <rPr>
            <sz val="9"/>
            <color indexed="81"/>
            <rFont val="Tahoma"/>
            <family val="2"/>
          </rPr>
          <t xml:space="preserve">
Prior to 2012-13 mgmt year, used 6.61% as a constant.</t>
        </r>
      </text>
    </comment>
    <comment ref="BO303" authorId="2" shapeId="0" xr:uid="{00000000-0006-0000-0200-0000E3030000}">
      <text>
        <r>
          <rPr>
            <b/>
            <sz val="9"/>
            <color indexed="81"/>
            <rFont val="Tahoma"/>
            <family val="2"/>
          </rPr>
          <t>Pete Kairis:</t>
        </r>
        <r>
          <rPr>
            <sz val="9"/>
            <color indexed="81"/>
            <rFont val="Tahoma"/>
            <family val="2"/>
          </rPr>
          <t xml:space="preserve">
From 2013-14 forecast spreadsheet</t>
        </r>
      </text>
    </comment>
    <comment ref="BU303" authorId="2" shapeId="0" xr:uid="{00000000-0006-0000-0200-0000E4030000}">
      <text>
        <r>
          <rPr>
            <b/>
            <sz val="9"/>
            <color indexed="81"/>
            <rFont val="Tahoma"/>
            <family val="2"/>
          </rPr>
          <t>Pete Kairis:</t>
        </r>
        <r>
          <rPr>
            <sz val="9"/>
            <color indexed="81"/>
            <rFont val="Tahoma"/>
            <family val="2"/>
          </rPr>
          <t xml:space="preserve">
From 2014-15 forecast spreadsheet</t>
        </r>
      </text>
    </comment>
    <comment ref="CA303" authorId="2" shapeId="0" xr:uid="{00000000-0006-0000-0200-0000E5030000}">
      <text>
        <r>
          <rPr>
            <b/>
            <sz val="9"/>
            <color indexed="81"/>
            <rFont val="Tahoma"/>
            <family val="2"/>
          </rPr>
          <t>Pete Kairis:</t>
        </r>
        <r>
          <rPr>
            <sz val="9"/>
            <color indexed="81"/>
            <rFont val="Tahoma"/>
            <family val="2"/>
          </rPr>
          <t xml:space="preserve">
From 2015-16 forecast spreadsheet</t>
        </r>
      </text>
    </comment>
    <comment ref="CG303" authorId="2" shapeId="0" xr:uid="{00000000-0006-0000-0200-0000E6030000}">
      <text>
        <r>
          <rPr>
            <b/>
            <sz val="9"/>
            <color indexed="81"/>
            <rFont val="Tahoma"/>
            <family val="2"/>
          </rPr>
          <t>Pete Kairis:</t>
        </r>
        <r>
          <rPr>
            <sz val="9"/>
            <color indexed="81"/>
            <rFont val="Tahoma"/>
            <family val="2"/>
          </rPr>
          <t xml:space="preserve">
From 2016-17 forecast spreadsheet</t>
        </r>
      </text>
    </comment>
    <comment ref="DK303" authorId="2" shapeId="0" xr:uid="{8C82DB2B-9C09-4707-B84B-F47612A744D3}">
      <text>
        <r>
          <rPr>
            <b/>
            <sz val="9"/>
            <color indexed="81"/>
            <rFont val="Tahoma"/>
            <family val="2"/>
          </rPr>
          <t>Pete Kairis:</t>
        </r>
        <r>
          <rPr>
            <sz val="9"/>
            <color indexed="81"/>
            <rFont val="Tahoma"/>
            <family val="2"/>
          </rPr>
          <t xml:space="preserve">
Shifting to using the kelt adjustment factor that was calculated with the previous 10 year average.  That way the kelt adjustment won't be changed post-season…will just be used for the following season.</t>
        </r>
      </text>
    </comment>
    <comment ref="DQ303" authorId="2" shapeId="0" xr:uid="{0B301349-DC42-4A29-B312-29E78C4C581E}">
      <text>
        <r>
          <rPr>
            <b/>
            <sz val="9"/>
            <color indexed="81"/>
            <rFont val="Tahoma"/>
            <family val="2"/>
          </rPr>
          <t>Pete Kairis:</t>
        </r>
        <r>
          <rPr>
            <sz val="9"/>
            <color indexed="81"/>
            <rFont val="Tahoma"/>
            <family val="2"/>
          </rPr>
          <t xml:space="preserve">
Preliminary 2012-2021 average.  Will need to be updated as more ages are received from the lab.</t>
        </r>
      </text>
    </comment>
    <comment ref="EC303" authorId="2" shapeId="0" xr:uid="{1008844E-4B70-4FB0-B753-C6DB75C73C96}">
      <text>
        <r>
          <rPr>
            <b/>
            <sz val="9"/>
            <color indexed="81"/>
            <rFont val="Tahoma"/>
            <family val="2"/>
          </rPr>
          <t>Pete Kairis:</t>
        </r>
        <r>
          <rPr>
            <sz val="9"/>
            <color indexed="81"/>
            <rFont val="Tahoma"/>
            <family val="2"/>
          </rPr>
          <t xml:space="preserve">
Preliminary 2014-2023 average.  Will need to be updated as more ages are received from the lab.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jmusslewhite</author>
    <author xml:space="preserve"> Rebecca Bernard</author>
    <author>Pete Kairis</author>
    <author>rbernard</author>
  </authors>
  <commentList>
    <comment ref="E5" authorId="0" shapeId="0" xr:uid="{00000000-0006-0000-0300-000001000000}">
      <text>
        <r>
          <rPr>
            <b/>
            <sz val="8"/>
            <color indexed="81"/>
            <rFont val="Tahoma"/>
            <family val="2"/>
          </rPr>
          <t>jmusslewhite:</t>
        </r>
        <r>
          <rPr>
            <sz val="8"/>
            <color indexed="81"/>
            <rFont val="Tahoma"/>
            <family val="2"/>
          </rPr>
          <t xml:space="preserve">
H/W split only after May 1992 - Jan-April fish are combined</t>
        </r>
      </text>
    </comment>
    <comment ref="M5" authorId="0" shapeId="0" xr:uid="{00000000-0006-0000-0300-000002000000}">
      <text>
        <r>
          <rPr>
            <b/>
            <sz val="8"/>
            <color indexed="81"/>
            <rFont val="Tahoma"/>
            <family val="2"/>
          </rPr>
          <t>jmusslewhite:</t>
        </r>
        <r>
          <rPr>
            <sz val="8"/>
            <color indexed="81"/>
            <rFont val="Tahoma"/>
            <family val="2"/>
          </rPr>
          <t xml:space="preserve">
no marine catch for 96-97</t>
        </r>
      </text>
    </comment>
    <comment ref="AC5" authorId="1" shapeId="0" xr:uid="{00000000-0006-0000-0300-000003000000}">
      <text>
        <r>
          <rPr>
            <b/>
            <sz val="8"/>
            <color indexed="81"/>
            <rFont val="Tahoma"/>
            <family val="2"/>
          </rPr>
          <t xml:space="preserve"> Rebecca Bernard:</t>
        </r>
        <r>
          <rPr>
            <sz val="8"/>
            <color indexed="81"/>
            <rFont val="Tahoma"/>
            <family val="2"/>
          </rPr>
          <t xml:space="preserve">
marked and unmarked--unmarked nonretention.</t>
        </r>
      </text>
    </comment>
    <comment ref="AE5" authorId="1" shapeId="0" xr:uid="{00000000-0006-0000-0300-000004000000}">
      <text>
        <r>
          <rPr>
            <b/>
            <sz val="8"/>
            <color indexed="81"/>
            <rFont val="Tahoma"/>
            <family val="2"/>
          </rPr>
          <t xml:space="preserve"> Rebecca Bernard:</t>
        </r>
        <r>
          <rPr>
            <sz val="8"/>
            <color indexed="81"/>
            <rFont val="Tahoma"/>
            <family val="2"/>
          </rPr>
          <t xml:space="preserve">
marked and unmarked--unmarked nonretention.</t>
        </r>
      </text>
    </comment>
    <comment ref="A6" authorId="2" shapeId="0" xr:uid="{00000000-0006-0000-0300-000005000000}">
      <text>
        <r>
          <rPr>
            <b/>
            <sz val="9"/>
            <color indexed="81"/>
            <rFont val="Tahoma"/>
            <family val="2"/>
          </rPr>
          <t>Pete Kairis:</t>
        </r>
        <r>
          <rPr>
            <sz val="9"/>
            <color indexed="81"/>
            <rFont val="Tahoma"/>
            <family val="2"/>
          </rPr>
          <t xml:space="preserve">
I'm not sure why Rebecca included 8.2 in Area 8.  I don't think it should be, as it is Area 8A.</t>
        </r>
      </text>
    </comment>
    <comment ref="U7" authorId="1" shapeId="0" xr:uid="{00000000-0006-0000-0300-000006000000}">
      <text>
        <r>
          <rPr>
            <b/>
            <sz val="8"/>
            <color indexed="81"/>
            <rFont val="Tahoma"/>
            <family val="2"/>
          </rPr>
          <t xml:space="preserve"> Rebecca Bernard:</t>
        </r>
        <r>
          <rPr>
            <sz val="8"/>
            <color indexed="81"/>
            <rFont val="Tahoma"/>
            <family val="2"/>
          </rPr>
          <t xml:space="preserve">
Adam's edits--"errors in CRC catch reconciliation"--Nov 2009.</t>
        </r>
      </text>
    </comment>
    <comment ref="W7" authorId="1" shapeId="0" xr:uid="{00000000-0006-0000-0300-000007000000}">
      <text>
        <r>
          <rPr>
            <b/>
            <sz val="8"/>
            <color indexed="81"/>
            <rFont val="Tahoma"/>
            <family val="2"/>
          </rPr>
          <t xml:space="preserve"> Rebecca Bernard:</t>
        </r>
        <r>
          <rPr>
            <sz val="8"/>
            <color indexed="81"/>
            <rFont val="Tahoma"/>
            <family val="2"/>
          </rPr>
          <t xml:space="preserve">
Adam's edits--"errors in CRC catch reconciliation"--Nov 2009.</t>
        </r>
      </text>
    </comment>
    <comment ref="Y7" authorId="1" shapeId="0" xr:uid="{00000000-0006-0000-0300-000008000000}">
      <text>
        <r>
          <rPr>
            <b/>
            <sz val="8"/>
            <color indexed="81"/>
            <rFont val="Tahoma"/>
            <family val="2"/>
          </rPr>
          <t xml:space="preserve"> Rebecca Bernard:</t>
        </r>
        <r>
          <rPr>
            <sz val="8"/>
            <color indexed="81"/>
            <rFont val="Tahoma"/>
            <family val="2"/>
          </rPr>
          <t xml:space="preserve">
Adam's edits--"errors in CRC catch reconciliation"--Nov 2009.</t>
        </r>
      </text>
    </comment>
    <comment ref="AC7" authorId="1" shapeId="0" xr:uid="{00000000-0006-0000-0300-000009000000}">
      <text>
        <r>
          <rPr>
            <b/>
            <sz val="8"/>
            <color indexed="81"/>
            <rFont val="Tahoma"/>
            <family val="2"/>
          </rPr>
          <t xml:space="preserve"> Rebecca Bernard:</t>
        </r>
        <r>
          <rPr>
            <sz val="8"/>
            <color indexed="81"/>
            <rFont val="Tahoma"/>
            <family val="2"/>
          </rPr>
          <t xml:space="preserve">
Adam's edits--"errors in CRC catch reconciliation"--Nov 2009.</t>
        </r>
      </text>
    </comment>
    <comment ref="AE7" authorId="1" shapeId="0" xr:uid="{00000000-0006-0000-0300-00000A000000}">
      <text>
        <r>
          <rPr>
            <b/>
            <sz val="8"/>
            <color indexed="81"/>
            <rFont val="Tahoma"/>
            <family val="2"/>
          </rPr>
          <t xml:space="preserve"> Rebecca Bernard:</t>
        </r>
        <r>
          <rPr>
            <sz val="8"/>
            <color indexed="81"/>
            <rFont val="Tahoma"/>
            <family val="2"/>
          </rPr>
          <t xml:space="preserve">
Adam's edits--"errors in CRC catch reconciliation"--Nov 2009.</t>
        </r>
      </text>
    </comment>
    <comment ref="AG7" authorId="1" shapeId="0" xr:uid="{00000000-0006-0000-0300-00000B000000}">
      <text>
        <r>
          <rPr>
            <b/>
            <sz val="8"/>
            <color indexed="81"/>
            <rFont val="Tahoma"/>
            <family val="2"/>
          </rPr>
          <t xml:space="preserve"> Rebecca Bernard:</t>
        </r>
        <r>
          <rPr>
            <sz val="8"/>
            <color indexed="81"/>
            <rFont val="Tahoma"/>
            <family val="2"/>
          </rPr>
          <t xml:space="preserve">
Adam's edits--"errors in CRC catch reconciliation"--Nov 2009.</t>
        </r>
      </text>
    </comment>
    <comment ref="AM7" authorId="1" shapeId="0" xr:uid="{00000000-0006-0000-0300-00000C000000}">
      <text>
        <r>
          <rPr>
            <b/>
            <sz val="8"/>
            <color indexed="81"/>
            <rFont val="Tahoma"/>
            <family val="2"/>
          </rPr>
          <t xml:space="preserve"> Rebecca Bernard:</t>
        </r>
        <r>
          <rPr>
            <sz val="8"/>
            <color indexed="81"/>
            <rFont val="Tahoma"/>
            <family val="2"/>
          </rPr>
          <t xml:space="preserve">
Adam's edits--"errors in CRC catch reconciliation"--Nov 2009.</t>
        </r>
      </text>
    </comment>
    <comment ref="K8" authorId="1" shapeId="0" xr:uid="{00000000-0006-0000-0300-00000D000000}">
      <text>
        <r>
          <rPr>
            <b/>
            <sz val="8"/>
            <color indexed="81"/>
            <rFont val="Tahoma"/>
            <family val="2"/>
          </rPr>
          <t xml:space="preserve"> Rebecca Bernard:</t>
        </r>
        <r>
          <rPr>
            <sz val="8"/>
            <color indexed="81"/>
            <rFont val="Tahoma"/>
            <family val="2"/>
          </rPr>
          <t xml:space="preserve">
Adam's additional edits--"errors in CRC catch reconciliation"--Dec 7, 2009.</t>
        </r>
      </text>
    </comment>
    <comment ref="O8" authorId="1" shapeId="0" xr:uid="{00000000-0006-0000-0300-00000E000000}">
      <text>
        <r>
          <rPr>
            <b/>
            <sz val="8"/>
            <color indexed="81"/>
            <rFont val="Tahoma"/>
            <family val="2"/>
          </rPr>
          <t xml:space="preserve"> Rebecca Bernard:</t>
        </r>
        <r>
          <rPr>
            <sz val="8"/>
            <color indexed="81"/>
            <rFont val="Tahoma"/>
            <family val="2"/>
          </rPr>
          <t xml:space="preserve">
Adam's additional edits--"errors in CRC catch reconciliation"--Dec 7, 2009.</t>
        </r>
      </text>
    </comment>
    <comment ref="P8" authorId="1" shapeId="0" xr:uid="{00000000-0006-0000-0300-00000F000000}">
      <text>
        <r>
          <rPr>
            <b/>
            <sz val="8"/>
            <color indexed="81"/>
            <rFont val="Tahoma"/>
            <family val="2"/>
          </rPr>
          <t xml:space="preserve"> Rebecca Bernard:</t>
        </r>
        <r>
          <rPr>
            <sz val="8"/>
            <color indexed="81"/>
            <rFont val="Tahoma"/>
            <family val="2"/>
          </rPr>
          <t xml:space="preserve">
Adam's additional edits--"errors in CRC catch reconciliation"--Dec 7, 2009.</t>
        </r>
      </text>
    </comment>
    <comment ref="AA8" authorId="1" shapeId="0" xr:uid="{00000000-0006-0000-0300-000010000000}">
      <text>
        <r>
          <rPr>
            <b/>
            <sz val="8"/>
            <color indexed="81"/>
            <rFont val="Tahoma"/>
            <family val="2"/>
          </rPr>
          <t xml:space="preserve"> Rebecca Bernard:</t>
        </r>
        <r>
          <rPr>
            <sz val="8"/>
            <color indexed="81"/>
            <rFont val="Tahoma"/>
            <family val="2"/>
          </rPr>
          <t xml:space="preserve">
Adam's edits--"errors in CRC catch reconciliation"--Nov 2009.</t>
        </r>
      </text>
    </comment>
    <comment ref="AB8" authorId="1" shapeId="0" xr:uid="{00000000-0006-0000-0300-000011000000}">
      <text>
        <r>
          <rPr>
            <b/>
            <sz val="8"/>
            <color indexed="81"/>
            <rFont val="Tahoma"/>
            <family val="2"/>
          </rPr>
          <t xml:space="preserve"> Rebecca Bernard:</t>
        </r>
        <r>
          <rPr>
            <sz val="8"/>
            <color indexed="81"/>
            <rFont val="Tahoma"/>
            <family val="2"/>
          </rPr>
          <t xml:space="preserve">
Adam's edits--"errors in CRC catch reconciliation"--Nov 2009.</t>
        </r>
      </text>
    </comment>
    <comment ref="AC8" authorId="1" shapeId="0" xr:uid="{00000000-0006-0000-0300-000012000000}">
      <text>
        <r>
          <rPr>
            <b/>
            <sz val="8"/>
            <color indexed="81"/>
            <rFont val="Tahoma"/>
            <family val="2"/>
          </rPr>
          <t xml:space="preserve"> Rebecca Bernard:</t>
        </r>
        <r>
          <rPr>
            <sz val="8"/>
            <color indexed="81"/>
            <rFont val="Tahoma"/>
            <family val="2"/>
          </rPr>
          <t xml:space="preserve">
Adam's edits--"errors in CRC catch reconciliation"--Nov 2009.</t>
        </r>
      </text>
    </comment>
    <comment ref="AE8" authorId="1" shapeId="0" xr:uid="{00000000-0006-0000-0300-000013000000}">
      <text>
        <r>
          <rPr>
            <b/>
            <sz val="8"/>
            <color indexed="81"/>
            <rFont val="Tahoma"/>
            <family val="2"/>
          </rPr>
          <t xml:space="preserve"> Rebecca Bernard:</t>
        </r>
        <r>
          <rPr>
            <sz val="8"/>
            <color indexed="81"/>
            <rFont val="Tahoma"/>
            <family val="2"/>
          </rPr>
          <t xml:space="preserve">
Adam's edits--"errors in CRC catch reconciliation"--Nov 2009.</t>
        </r>
      </text>
    </comment>
    <comment ref="AG8" authorId="1" shapeId="0" xr:uid="{00000000-0006-0000-0300-000014000000}">
      <text>
        <r>
          <rPr>
            <b/>
            <sz val="8"/>
            <color indexed="81"/>
            <rFont val="Tahoma"/>
            <family val="2"/>
          </rPr>
          <t xml:space="preserve"> Rebecca Bernard:</t>
        </r>
        <r>
          <rPr>
            <sz val="8"/>
            <color indexed="81"/>
            <rFont val="Tahoma"/>
            <family val="2"/>
          </rPr>
          <t xml:space="preserve">
Adam's edits--"errors in CRC catch reconciliation"--Nov 2009.</t>
        </r>
      </text>
    </comment>
    <comment ref="AK8" authorId="1" shapeId="0" xr:uid="{00000000-0006-0000-0300-000015000000}">
      <text>
        <r>
          <rPr>
            <b/>
            <sz val="8"/>
            <color indexed="81"/>
            <rFont val="Tahoma"/>
            <family val="2"/>
          </rPr>
          <t xml:space="preserve"> Rebecca Bernard:</t>
        </r>
        <r>
          <rPr>
            <sz val="8"/>
            <color indexed="81"/>
            <rFont val="Tahoma"/>
            <family val="2"/>
          </rPr>
          <t xml:space="preserve">
edited by Eric Kraig 3/30/2010</t>
        </r>
      </text>
    </comment>
    <comment ref="W9" authorId="1" shapeId="0" xr:uid="{00000000-0006-0000-0300-000016000000}">
      <text>
        <r>
          <rPr>
            <b/>
            <sz val="8"/>
            <color indexed="81"/>
            <rFont val="Tahoma"/>
            <family val="2"/>
          </rPr>
          <t xml:space="preserve"> Rebecca Bernard:</t>
        </r>
        <r>
          <rPr>
            <sz val="8"/>
            <color indexed="81"/>
            <rFont val="Tahoma"/>
            <family val="2"/>
          </rPr>
          <t xml:space="preserve">
Adam's edits--"errors in CRC catch reconciliation"--Nov 2009.</t>
        </r>
      </text>
    </comment>
    <comment ref="AC9" authorId="1" shapeId="0" xr:uid="{00000000-0006-0000-0300-000017000000}">
      <text>
        <r>
          <rPr>
            <b/>
            <sz val="8"/>
            <color indexed="81"/>
            <rFont val="Tahoma"/>
            <family val="2"/>
          </rPr>
          <t xml:space="preserve"> Rebecca Bernard:</t>
        </r>
        <r>
          <rPr>
            <sz val="8"/>
            <color indexed="81"/>
            <rFont val="Tahoma"/>
            <family val="2"/>
          </rPr>
          <t xml:space="preserve">
Adam's edits--"errors in CRC catch reconciliation"--Nov 2009.</t>
        </r>
      </text>
    </comment>
    <comment ref="AM9" authorId="1" shapeId="0" xr:uid="{00000000-0006-0000-0300-000018000000}">
      <text>
        <r>
          <rPr>
            <b/>
            <sz val="8"/>
            <color indexed="81"/>
            <rFont val="Tahoma"/>
            <family val="2"/>
          </rPr>
          <t xml:space="preserve"> Rebecca Bernard:</t>
        </r>
        <r>
          <rPr>
            <sz val="8"/>
            <color indexed="81"/>
            <rFont val="Tahoma"/>
            <family val="2"/>
          </rPr>
          <t xml:space="preserve">
Adam's edits--"errors in CRC catch reconciliation"--Nov 2009.</t>
        </r>
      </text>
    </comment>
    <comment ref="M10" authorId="1" shapeId="0" xr:uid="{00000000-0006-0000-0300-000019000000}">
      <text>
        <r>
          <rPr>
            <b/>
            <sz val="8"/>
            <color indexed="81"/>
            <rFont val="Tahoma"/>
            <family val="2"/>
          </rPr>
          <t xml:space="preserve"> Rebecca Bernard:</t>
        </r>
        <r>
          <rPr>
            <sz val="8"/>
            <color indexed="81"/>
            <rFont val="Tahoma"/>
            <family val="2"/>
          </rPr>
          <t xml:space="preserve">
Adam's additional edits--"errors in CRC catch reconciliation"--Dec 7, 2009.</t>
        </r>
      </text>
    </comment>
    <comment ref="N10" authorId="1" shapeId="0" xr:uid="{00000000-0006-0000-0300-00001A000000}">
      <text>
        <r>
          <rPr>
            <b/>
            <sz val="8"/>
            <color indexed="81"/>
            <rFont val="Tahoma"/>
            <family val="2"/>
          </rPr>
          <t xml:space="preserve"> Rebecca Bernard:</t>
        </r>
        <r>
          <rPr>
            <sz val="8"/>
            <color indexed="81"/>
            <rFont val="Tahoma"/>
            <family val="2"/>
          </rPr>
          <t xml:space="preserve">
Adam's additional edits--"errors in CRC catch reconciliation"--Dec 7, 2009.</t>
        </r>
      </text>
    </comment>
    <comment ref="O10" authorId="1" shapeId="0" xr:uid="{00000000-0006-0000-0300-00001B000000}">
      <text>
        <r>
          <rPr>
            <b/>
            <sz val="8"/>
            <color indexed="81"/>
            <rFont val="Tahoma"/>
            <family val="2"/>
          </rPr>
          <t xml:space="preserve"> Rebecca Bernard:</t>
        </r>
        <r>
          <rPr>
            <sz val="8"/>
            <color indexed="81"/>
            <rFont val="Tahoma"/>
            <family val="2"/>
          </rPr>
          <t xml:space="preserve">
Adam's additional edits--"errors in CRC catch reconciliation"--Dec 7, 2009.</t>
        </r>
      </text>
    </comment>
    <comment ref="P10" authorId="1" shapeId="0" xr:uid="{00000000-0006-0000-0300-00001C000000}">
      <text>
        <r>
          <rPr>
            <b/>
            <sz val="8"/>
            <color indexed="81"/>
            <rFont val="Tahoma"/>
            <family val="2"/>
          </rPr>
          <t xml:space="preserve"> Rebecca Bernard:</t>
        </r>
        <r>
          <rPr>
            <sz val="8"/>
            <color indexed="81"/>
            <rFont val="Tahoma"/>
            <family val="2"/>
          </rPr>
          <t xml:space="preserve">
Adam's additional edits--"errors in CRC catch reconciliation"--Dec 7, 2009.</t>
        </r>
      </text>
    </comment>
    <comment ref="AA10" authorId="1" shapeId="0" xr:uid="{00000000-0006-0000-0300-00001D000000}">
      <text>
        <r>
          <rPr>
            <b/>
            <sz val="8"/>
            <color indexed="81"/>
            <rFont val="Tahoma"/>
            <family val="2"/>
          </rPr>
          <t xml:space="preserve"> Rebecca Bernard:</t>
        </r>
        <r>
          <rPr>
            <sz val="8"/>
            <color indexed="81"/>
            <rFont val="Tahoma"/>
            <family val="2"/>
          </rPr>
          <t xml:space="preserve">
Adam's edits--"errors in CRC catch reconciliation"--Nov 2009.</t>
        </r>
      </text>
    </comment>
    <comment ref="AB10" authorId="1" shapeId="0" xr:uid="{00000000-0006-0000-0300-00001E000000}">
      <text>
        <r>
          <rPr>
            <b/>
            <sz val="8"/>
            <color indexed="81"/>
            <rFont val="Tahoma"/>
            <family val="2"/>
          </rPr>
          <t xml:space="preserve"> Rebecca Bernard:</t>
        </r>
        <r>
          <rPr>
            <sz val="8"/>
            <color indexed="81"/>
            <rFont val="Tahoma"/>
            <family val="2"/>
          </rPr>
          <t xml:space="preserve">
Adam's edits--"errors in CRC catch reconciliation"--Nov 2009.</t>
        </r>
      </text>
    </comment>
    <comment ref="AC10" authorId="1" shapeId="0" xr:uid="{00000000-0006-0000-0300-00001F000000}">
      <text>
        <r>
          <rPr>
            <b/>
            <sz val="8"/>
            <color indexed="81"/>
            <rFont val="Tahoma"/>
            <family val="2"/>
          </rPr>
          <t xml:space="preserve"> Rebecca Bernard:</t>
        </r>
        <r>
          <rPr>
            <sz val="8"/>
            <color indexed="81"/>
            <rFont val="Tahoma"/>
            <family val="2"/>
          </rPr>
          <t xml:space="preserve">
Adam's edits--"errors in CRC catch reconciliation"--Nov 2009.</t>
        </r>
      </text>
    </comment>
    <comment ref="AD10" authorId="1" shapeId="0" xr:uid="{00000000-0006-0000-0300-000020000000}">
      <text>
        <r>
          <rPr>
            <b/>
            <sz val="8"/>
            <color indexed="81"/>
            <rFont val="Tahoma"/>
            <family val="2"/>
          </rPr>
          <t xml:space="preserve"> Rebecca Bernard:</t>
        </r>
        <r>
          <rPr>
            <sz val="8"/>
            <color indexed="81"/>
            <rFont val="Tahoma"/>
            <family val="2"/>
          </rPr>
          <t xml:space="preserve">
Adam's edits--"errors in CRC catch reconciliation"--Nov 2009.</t>
        </r>
      </text>
    </comment>
    <comment ref="AE10" authorId="1" shapeId="0" xr:uid="{00000000-0006-0000-0300-000021000000}">
      <text>
        <r>
          <rPr>
            <b/>
            <sz val="8"/>
            <color indexed="81"/>
            <rFont val="Tahoma"/>
            <family val="2"/>
          </rPr>
          <t xml:space="preserve"> Rebecca Bernard:</t>
        </r>
        <r>
          <rPr>
            <sz val="8"/>
            <color indexed="81"/>
            <rFont val="Tahoma"/>
            <family val="2"/>
          </rPr>
          <t xml:space="preserve">
Adam's edits--"errors in CRC catch reconciliation"--Nov 2009.</t>
        </r>
      </text>
    </comment>
    <comment ref="AG10" authorId="1" shapeId="0" xr:uid="{00000000-0006-0000-0300-000022000000}">
      <text>
        <r>
          <rPr>
            <b/>
            <sz val="8"/>
            <color indexed="81"/>
            <rFont val="Tahoma"/>
            <family val="2"/>
          </rPr>
          <t xml:space="preserve"> Rebecca Bernard:</t>
        </r>
        <r>
          <rPr>
            <sz val="8"/>
            <color indexed="81"/>
            <rFont val="Tahoma"/>
            <family val="2"/>
          </rPr>
          <t xml:space="preserve">
Adam's edits--"errors in CRC catch reconciliation"--Nov 2009.</t>
        </r>
      </text>
    </comment>
    <comment ref="Z11" authorId="1" shapeId="0" xr:uid="{00000000-0006-0000-0300-000023000000}">
      <text>
        <r>
          <rPr>
            <b/>
            <sz val="8"/>
            <color indexed="81"/>
            <rFont val="Tahoma"/>
            <family val="2"/>
          </rPr>
          <t xml:space="preserve"> Rebecca Bernard:</t>
        </r>
        <r>
          <rPr>
            <sz val="8"/>
            <color indexed="81"/>
            <rFont val="Tahoma"/>
            <family val="2"/>
          </rPr>
          <t xml:space="preserve">
Adam's edits--"errors in CRC catch reconciliation"--Nov 2009.</t>
        </r>
      </text>
    </comment>
    <comment ref="AK11" authorId="1" shapeId="0" xr:uid="{00000000-0006-0000-0300-000024000000}">
      <text>
        <r>
          <rPr>
            <b/>
            <sz val="8"/>
            <color indexed="81"/>
            <rFont val="Tahoma"/>
            <family val="2"/>
          </rPr>
          <t xml:space="preserve"> Rebecca Bernard:</t>
        </r>
        <r>
          <rPr>
            <sz val="8"/>
            <color indexed="81"/>
            <rFont val="Tahoma"/>
            <family val="2"/>
          </rPr>
          <t xml:space="preserve">
Adam's edits--"errors in CRC catch reconciliation"--Nov 2009.</t>
        </r>
      </text>
    </comment>
    <comment ref="O12" authorId="1" shapeId="0" xr:uid="{00000000-0006-0000-0300-000025000000}">
      <text>
        <r>
          <rPr>
            <b/>
            <sz val="8"/>
            <color indexed="81"/>
            <rFont val="Tahoma"/>
            <family val="2"/>
          </rPr>
          <t xml:space="preserve"> Rebecca Bernard:</t>
        </r>
        <r>
          <rPr>
            <sz val="8"/>
            <color indexed="81"/>
            <rFont val="Tahoma"/>
            <family val="2"/>
          </rPr>
          <t xml:space="preserve">
Adam's additional edits--"errors in CRC catch reconciliation"--Dec 7, 2009.</t>
        </r>
      </text>
    </comment>
    <comment ref="AA12" authorId="1" shapeId="0" xr:uid="{00000000-0006-0000-0300-000026000000}">
      <text>
        <r>
          <rPr>
            <b/>
            <sz val="8"/>
            <color indexed="81"/>
            <rFont val="Tahoma"/>
            <family val="2"/>
          </rPr>
          <t xml:space="preserve"> Rebecca Bernard:</t>
        </r>
        <r>
          <rPr>
            <sz val="8"/>
            <color indexed="81"/>
            <rFont val="Tahoma"/>
            <family val="2"/>
          </rPr>
          <t xml:space="preserve">
Adam's edits--"errors in CRC catch reconciliation"--Nov 2009.</t>
        </r>
      </text>
    </comment>
    <comment ref="AB12" authorId="1" shapeId="0" xr:uid="{00000000-0006-0000-0300-000027000000}">
      <text>
        <r>
          <rPr>
            <b/>
            <sz val="8"/>
            <color indexed="81"/>
            <rFont val="Tahoma"/>
            <family val="2"/>
          </rPr>
          <t xml:space="preserve"> Rebecca Bernard:</t>
        </r>
        <r>
          <rPr>
            <sz val="8"/>
            <color indexed="81"/>
            <rFont val="Tahoma"/>
            <family val="2"/>
          </rPr>
          <t xml:space="preserve">
Adam's edits--"errors in CRC catch reconciliation"--Nov 2009.</t>
        </r>
      </text>
    </comment>
    <comment ref="AD12" authorId="1" shapeId="0" xr:uid="{00000000-0006-0000-0300-000028000000}">
      <text>
        <r>
          <rPr>
            <b/>
            <sz val="8"/>
            <color indexed="81"/>
            <rFont val="Tahoma"/>
            <family val="2"/>
          </rPr>
          <t xml:space="preserve"> Rebecca Bernard:</t>
        </r>
        <r>
          <rPr>
            <sz val="8"/>
            <color indexed="81"/>
            <rFont val="Tahoma"/>
            <family val="2"/>
          </rPr>
          <t xml:space="preserve">
Adam's edits--"errors in CRC catch reconciliation"--Nov 2009.</t>
        </r>
      </text>
    </comment>
    <comment ref="AG12" authorId="1" shapeId="0" xr:uid="{00000000-0006-0000-0300-000029000000}">
      <text>
        <r>
          <rPr>
            <b/>
            <sz val="8"/>
            <color indexed="81"/>
            <rFont val="Tahoma"/>
            <family val="2"/>
          </rPr>
          <t xml:space="preserve"> Rebecca Bernard:</t>
        </r>
        <r>
          <rPr>
            <sz val="8"/>
            <color indexed="81"/>
            <rFont val="Tahoma"/>
            <family val="2"/>
          </rPr>
          <t xml:space="preserve">
Adam's edits--"errors in CRC catch reconciliation"--Nov 2009.</t>
        </r>
      </text>
    </comment>
    <comment ref="AM12" authorId="1" shapeId="0" xr:uid="{00000000-0006-0000-0300-00002A000000}">
      <text>
        <r>
          <rPr>
            <b/>
            <sz val="8"/>
            <color indexed="81"/>
            <rFont val="Tahoma"/>
            <family val="2"/>
          </rPr>
          <t xml:space="preserve"> Rebecca Bernard:</t>
        </r>
        <r>
          <rPr>
            <sz val="8"/>
            <color indexed="81"/>
            <rFont val="Tahoma"/>
            <family val="2"/>
          </rPr>
          <t xml:space="preserve">
Adam's edits--"errors in CRC catch reconciliation"--Nov 2009.</t>
        </r>
      </text>
    </comment>
    <comment ref="AI13" authorId="1" shapeId="0" xr:uid="{00000000-0006-0000-0300-00002B000000}">
      <text>
        <r>
          <rPr>
            <b/>
            <sz val="8"/>
            <color indexed="81"/>
            <rFont val="Tahoma"/>
            <family val="2"/>
          </rPr>
          <t xml:space="preserve"> Rebecca Bernard:</t>
        </r>
        <r>
          <rPr>
            <sz val="8"/>
            <color indexed="81"/>
            <rFont val="Tahoma"/>
            <family val="2"/>
          </rPr>
          <t xml:space="preserve">
Adam's edits--"errors in CRC catch reconciliation"--Nov 2009.</t>
        </r>
      </text>
    </comment>
    <comment ref="A14" authorId="1" shapeId="0" xr:uid="{00000000-0006-0000-0300-00002C000000}">
      <text>
        <r>
          <rPr>
            <b/>
            <sz val="8"/>
            <color indexed="81"/>
            <rFont val="Tahoma"/>
            <family val="2"/>
          </rPr>
          <t xml:space="preserve"> Rebecca Bernard:</t>
        </r>
        <r>
          <rPr>
            <sz val="8"/>
            <color indexed="81"/>
            <rFont val="Tahoma"/>
            <family val="2"/>
          </rPr>
          <t xml:space="preserve">
end of hatchery winter run management period</t>
        </r>
      </text>
    </comment>
    <comment ref="M14" authorId="1" shapeId="0" xr:uid="{00000000-0006-0000-0300-00002D000000}">
      <text>
        <r>
          <rPr>
            <b/>
            <sz val="8"/>
            <color indexed="81"/>
            <rFont val="Tahoma"/>
            <family val="2"/>
          </rPr>
          <t xml:space="preserve"> Rebecca Bernard:</t>
        </r>
        <r>
          <rPr>
            <sz val="8"/>
            <color indexed="81"/>
            <rFont val="Tahoma"/>
            <family val="2"/>
          </rPr>
          <t xml:space="preserve">
Adam's additional edits--"errors in CRC catch reconciliation"--Dec 7, 2009.</t>
        </r>
      </text>
    </comment>
    <comment ref="N14" authorId="1" shapeId="0" xr:uid="{00000000-0006-0000-0300-00002E000000}">
      <text>
        <r>
          <rPr>
            <b/>
            <sz val="8"/>
            <color indexed="81"/>
            <rFont val="Tahoma"/>
            <family val="2"/>
          </rPr>
          <t xml:space="preserve"> Rebecca Bernard:</t>
        </r>
        <r>
          <rPr>
            <sz val="8"/>
            <color indexed="81"/>
            <rFont val="Tahoma"/>
            <family val="2"/>
          </rPr>
          <t xml:space="preserve">
Adam's additional edits--"errors in CRC catch reconciliation"--Dec 7, 2009.</t>
        </r>
      </text>
    </comment>
    <comment ref="O14" authorId="1" shapeId="0" xr:uid="{00000000-0006-0000-0300-00002F000000}">
      <text>
        <r>
          <rPr>
            <b/>
            <sz val="8"/>
            <color indexed="81"/>
            <rFont val="Tahoma"/>
            <family val="2"/>
          </rPr>
          <t xml:space="preserve"> Rebecca Bernard:</t>
        </r>
        <r>
          <rPr>
            <sz val="8"/>
            <color indexed="81"/>
            <rFont val="Tahoma"/>
            <family val="2"/>
          </rPr>
          <t xml:space="preserve">
Adam's additional edits--"errors in CRC catch reconciliation"--Dec 7, 2009.</t>
        </r>
      </text>
    </comment>
    <comment ref="Z14" authorId="1" shapeId="0" xr:uid="{00000000-0006-0000-0300-000030000000}">
      <text>
        <r>
          <rPr>
            <b/>
            <sz val="8"/>
            <color indexed="81"/>
            <rFont val="Tahoma"/>
            <family val="2"/>
          </rPr>
          <t xml:space="preserve"> Rebecca Bernard:</t>
        </r>
        <r>
          <rPr>
            <sz val="8"/>
            <color indexed="81"/>
            <rFont val="Tahoma"/>
            <family val="2"/>
          </rPr>
          <t xml:space="preserve">
Adam's edits--"errors in CRC catch reconciliation"--Nov 2009.</t>
        </r>
      </text>
    </comment>
    <comment ref="AA14" authorId="1" shapeId="0" xr:uid="{00000000-0006-0000-0300-000031000000}">
      <text>
        <r>
          <rPr>
            <b/>
            <sz val="8"/>
            <color indexed="81"/>
            <rFont val="Tahoma"/>
            <family val="2"/>
          </rPr>
          <t xml:space="preserve"> Rebecca Bernard:</t>
        </r>
        <r>
          <rPr>
            <sz val="8"/>
            <color indexed="81"/>
            <rFont val="Tahoma"/>
            <family val="2"/>
          </rPr>
          <t xml:space="preserve">
Adam's edits--"errors in CRC catch reconciliation"--Nov 2009.</t>
        </r>
      </text>
    </comment>
    <comment ref="AC14" authorId="1" shapeId="0" xr:uid="{00000000-0006-0000-0300-000032000000}">
      <text>
        <r>
          <rPr>
            <b/>
            <sz val="8"/>
            <color indexed="81"/>
            <rFont val="Tahoma"/>
            <family val="2"/>
          </rPr>
          <t xml:space="preserve"> Rebecca Bernard:</t>
        </r>
        <r>
          <rPr>
            <sz val="8"/>
            <color indexed="81"/>
            <rFont val="Tahoma"/>
            <family val="2"/>
          </rPr>
          <t xml:space="preserve">
Adam's edits--"errors in CRC catch reconciliation"--Nov 2009.</t>
        </r>
      </text>
    </comment>
    <comment ref="AD14" authorId="1" shapeId="0" xr:uid="{00000000-0006-0000-0300-000033000000}">
      <text>
        <r>
          <rPr>
            <b/>
            <sz val="8"/>
            <color indexed="81"/>
            <rFont val="Tahoma"/>
            <family val="2"/>
          </rPr>
          <t xml:space="preserve"> Rebecca Bernard:</t>
        </r>
        <r>
          <rPr>
            <sz val="8"/>
            <color indexed="81"/>
            <rFont val="Tahoma"/>
            <family val="2"/>
          </rPr>
          <t xml:space="preserve">
Adam's edits--"errors in CRC catch reconciliation"--Nov 2009.</t>
        </r>
      </text>
    </comment>
    <comment ref="AI14" authorId="1" shapeId="0" xr:uid="{00000000-0006-0000-0300-000034000000}">
      <text>
        <r>
          <rPr>
            <b/>
            <sz val="8"/>
            <color indexed="81"/>
            <rFont val="Tahoma"/>
            <family val="2"/>
          </rPr>
          <t xml:space="preserve"> Rebecca Bernard:</t>
        </r>
        <r>
          <rPr>
            <sz val="8"/>
            <color indexed="81"/>
            <rFont val="Tahoma"/>
            <family val="2"/>
          </rPr>
          <t xml:space="preserve">
edited by Eric Kraig 3/30/2010</t>
        </r>
      </text>
    </comment>
    <comment ref="A15" authorId="1" shapeId="0" xr:uid="{00000000-0006-0000-0300-000035000000}">
      <text>
        <r>
          <rPr>
            <b/>
            <sz val="8"/>
            <color indexed="81"/>
            <rFont val="Tahoma"/>
            <family val="2"/>
          </rPr>
          <t xml:space="preserve"> Rebecca Bernard:</t>
        </r>
        <r>
          <rPr>
            <sz val="8"/>
            <color indexed="81"/>
            <rFont val="Tahoma"/>
            <family val="2"/>
          </rPr>
          <t xml:space="preserve">
beginning of hatchery summer run management period </t>
        </r>
      </text>
    </comment>
    <comment ref="AC17" authorId="1" shapeId="0" xr:uid="{00000000-0006-0000-0300-000037000000}">
      <text>
        <r>
          <rPr>
            <b/>
            <sz val="8"/>
            <color indexed="81"/>
            <rFont val="Tahoma"/>
            <family val="2"/>
          </rPr>
          <t xml:space="preserve"> Rebecca Bernard:</t>
        </r>
        <r>
          <rPr>
            <sz val="8"/>
            <color indexed="81"/>
            <rFont val="Tahoma"/>
            <family val="2"/>
          </rPr>
          <t xml:space="preserve">
Adam's edits--"errors in CRC catch reconciliation"--Nov 2009.</t>
        </r>
      </text>
    </comment>
    <comment ref="AE17" authorId="1" shapeId="0" xr:uid="{00000000-0006-0000-0300-000038000000}">
      <text>
        <r>
          <rPr>
            <b/>
            <sz val="8"/>
            <color indexed="81"/>
            <rFont val="Tahoma"/>
            <family val="2"/>
          </rPr>
          <t xml:space="preserve"> Rebecca Bernard:</t>
        </r>
        <r>
          <rPr>
            <sz val="8"/>
            <color indexed="81"/>
            <rFont val="Tahoma"/>
            <family val="2"/>
          </rPr>
          <t xml:space="preserve">
Adam's edits--"errors in CRC catch reconciliation"--Nov 2009.</t>
        </r>
      </text>
    </comment>
    <comment ref="A18" authorId="1" shapeId="0" xr:uid="{00000000-0006-0000-0300-000039000000}">
      <text>
        <r>
          <rPr>
            <b/>
            <sz val="8"/>
            <color indexed="81"/>
            <rFont val="Tahoma"/>
            <family val="2"/>
          </rPr>
          <t xml:space="preserve"> Rebecca Bernard:</t>
        </r>
        <r>
          <rPr>
            <sz val="8"/>
            <color indexed="81"/>
            <rFont val="Tahoma"/>
            <family val="2"/>
          </rPr>
          <t xml:space="preserve">
end of wild management period</t>
        </r>
      </text>
    </comment>
    <comment ref="M18" authorId="1" shapeId="0" xr:uid="{00000000-0006-0000-0300-00003A000000}">
      <text>
        <r>
          <rPr>
            <b/>
            <sz val="8"/>
            <color indexed="81"/>
            <rFont val="Tahoma"/>
            <family val="2"/>
          </rPr>
          <t xml:space="preserve"> Rebecca Bernard:</t>
        </r>
        <r>
          <rPr>
            <sz val="8"/>
            <color indexed="81"/>
            <rFont val="Tahoma"/>
            <family val="2"/>
          </rPr>
          <t xml:space="preserve">
Adam's additional edits--"errors in CRC catch reconciliation"--Dec 7, 2009.</t>
        </r>
      </text>
    </comment>
    <comment ref="Y18" authorId="1" shapeId="0" xr:uid="{00000000-0006-0000-0300-00003B000000}">
      <text>
        <r>
          <rPr>
            <b/>
            <sz val="8"/>
            <color indexed="81"/>
            <rFont val="Tahoma"/>
            <family val="2"/>
          </rPr>
          <t xml:space="preserve"> Rebecca Bernard:</t>
        </r>
        <r>
          <rPr>
            <sz val="8"/>
            <color indexed="81"/>
            <rFont val="Tahoma"/>
            <family val="2"/>
          </rPr>
          <t xml:space="preserve">
Adam's edits--"errors in CRC catch reconciliation"--Nov 2009.</t>
        </r>
      </text>
    </comment>
    <comment ref="AA18" authorId="1" shapeId="0" xr:uid="{00000000-0006-0000-0300-00003C000000}">
      <text>
        <r>
          <rPr>
            <b/>
            <sz val="8"/>
            <color indexed="81"/>
            <rFont val="Tahoma"/>
            <family val="2"/>
          </rPr>
          <t xml:space="preserve"> Rebecca Bernard:</t>
        </r>
        <r>
          <rPr>
            <sz val="8"/>
            <color indexed="81"/>
            <rFont val="Tahoma"/>
            <family val="2"/>
          </rPr>
          <t xml:space="preserve">
Adam's edits--"errors in CRC catch reconciliation"--Nov 2009.</t>
        </r>
      </text>
    </comment>
    <comment ref="AC18" authorId="1" shapeId="0" xr:uid="{00000000-0006-0000-0300-00003D000000}">
      <text>
        <r>
          <rPr>
            <b/>
            <sz val="8"/>
            <color indexed="81"/>
            <rFont val="Tahoma"/>
            <family val="2"/>
          </rPr>
          <t xml:space="preserve"> Rebecca Bernard:</t>
        </r>
        <r>
          <rPr>
            <sz val="8"/>
            <color indexed="81"/>
            <rFont val="Tahoma"/>
            <family val="2"/>
          </rPr>
          <t xml:space="preserve">
Adam's edits--"errors in CRC catch reconciliation"--Nov 2009.</t>
        </r>
      </text>
    </comment>
    <comment ref="AE18" authorId="1" shapeId="0" xr:uid="{00000000-0006-0000-0300-00003E000000}">
      <text>
        <r>
          <rPr>
            <b/>
            <sz val="8"/>
            <color indexed="81"/>
            <rFont val="Tahoma"/>
            <family val="2"/>
          </rPr>
          <t xml:space="preserve"> Rebecca Bernard:</t>
        </r>
        <r>
          <rPr>
            <sz val="8"/>
            <color indexed="81"/>
            <rFont val="Tahoma"/>
            <family val="2"/>
          </rPr>
          <t xml:space="preserve">
Adam's edits--"errors in CRC catch reconciliation"--Nov 2009.</t>
        </r>
      </text>
    </comment>
    <comment ref="A19" authorId="1" shapeId="0" xr:uid="{00000000-0006-0000-0300-00003F000000}">
      <text>
        <r>
          <rPr>
            <b/>
            <sz val="8"/>
            <color indexed="81"/>
            <rFont val="Tahoma"/>
            <family val="2"/>
          </rPr>
          <t xml:space="preserve"> Rebecca Bernard:</t>
        </r>
        <r>
          <rPr>
            <sz val="8"/>
            <color indexed="81"/>
            <rFont val="Tahoma"/>
            <family val="2"/>
          </rPr>
          <t xml:space="preserve">
beginning of wild management period</t>
        </r>
      </text>
    </comment>
    <comment ref="Y19" authorId="1" shapeId="0" xr:uid="{00000000-0006-0000-0300-000040000000}">
      <text>
        <r>
          <rPr>
            <b/>
            <sz val="8"/>
            <color indexed="81"/>
            <rFont val="Tahoma"/>
            <family val="2"/>
          </rPr>
          <t xml:space="preserve"> Rebecca Bernard:</t>
        </r>
        <r>
          <rPr>
            <sz val="8"/>
            <color indexed="81"/>
            <rFont val="Tahoma"/>
            <family val="2"/>
          </rPr>
          <t xml:space="preserve">
Adam's edits--"errors in CRC catch reconciliation"--Nov 2009.</t>
        </r>
      </text>
    </comment>
    <comment ref="AE19" authorId="1" shapeId="0" xr:uid="{00000000-0006-0000-0300-000041000000}">
      <text>
        <r>
          <rPr>
            <b/>
            <sz val="8"/>
            <color indexed="81"/>
            <rFont val="Tahoma"/>
            <family val="2"/>
          </rPr>
          <t xml:space="preserve"> Rebecca Bernard:</t>
        </r>
        <r>
          <rPr>
            <sz val="8"/>
            <color indexed="81"/>
            <rFont val="Tahoma"/>
            <family val="2"/>
          </rPr>
          <t xml:space="preserve">
Adam's edits--"errors in CRC catch reconciliation"--Nov 2009.</t>
        </r>
      </text>
    </comment>
    <comment ref="AK19" authorId="1" shapeId="0" xr:uid="{00000000-0006-0000-0300-000042000000}">
      <text>
        <r>
          <rPr>
            <b/>
            <sz val="8"/>
            <color indexed="81"/>
            <rFont val="Tahoma"/>
            <family val="2"/>
          </rPr>
          <t xml:space="preserve"> Rebecca Bernard:</t>
        </r>
        <r>
          <rPr>
            <sz val="8"/>
            <color indexed="81"/>
            <rFont val="Tahoma"/>
            <family val="2"/>
          </rPr>
          <t xml:space="preserve">
Adam's edits--"errors in CRC catch reconciliation"--Nov 2009.</t>
        </r>
      </text>
    </comment>
    <comment ref="M20" authorId="1" shapeId="0" xr:uid="{00000000-0006-0000-0300-000043000000}">
      <text>
        <r>
          <rPr>
            <b/>
            <sz val="8"/>
            <color indexed="81"/>
            <rFont val="Tahoma"/>
            <family val="2"/>
          </rPr>
          <t xml:space="preserve"> Rebecca Bernard:</t>
        </r>
        <r>
          <rPr>
            <sz val="8"/>
            <color indexed="81"/>
            <rFont val="Tahoma"/>
            <family val="2"/>
          </rPr>
          <t xml:space="preserve">
Adam's additional edits--"errors in CRC catch reconciliation"--Dec 7, 2009.  Brett correction 4/29/15 +5 fish.</t>
        </r>
      </text>
    </comment>
    <comment ref="Y20" authorId="1" shapeId="0" xr:uid="{00000000-0006-0000-0300-000044000000}">
      <text>
        <r>
          <rPr>
            <b/>
            <sz val="8"/>
            <color indexed="81"/>
            <rFont val="Tahoma"/>
            <family val="2"/>
          </rPr>
          <t xml:space="preserve"> Rebecca Bernard:</t>
        </r>
        <r>
          <rPr>
            <sz val="8"/>
            <color indexed="81"/>
            <rFont val="Tahoma"/>
            <family val="2"/>
          </rPr>
          <t xml:space="preserve">
Adam's edits--"errors in CRC catch reconciliation"--Nov 2009.</t>
        </r>
      </text>
    </comment>
    <comment ref="AA20" authorId="1" shapeId="0" xr:uid="{00000000-0006-0000-0300-000045000000}">
      <text>
        <r>
          <rPr>
            <b/>
            <sz val="8"/>
            <color indexed="81"/>
            <rFont val="Tahoma"/>
            <family val="2"/>
          </rPr>
          <t xml:space="preserve"> Rebecca Bernard:</t>
        </r>
        <r>
          <rPr>
            <sz val="8"/>
            <color indexed="81"/>
            <rFont val="Tahoma"/>
            <family val="2"/>
          </rPr>
          <t xml:space="preserve">
Adam's edits--"errors in CRC catch reconciliation"--Nov 2009.</t>
        </r>
      </text>
    </comment>
    <comment ref="AC20" authorId="1" shapeId="0" xr:uid="{00000000-0006-0000-0300-000046000000}">
      <text>
        <r>
          <rPr>
            <b/>
            <sz val="8"/>
            <color indexed="81"/>
            <rFont val="Tahoma"/>
            <family val="2"/>
          </rPr>
          <t xml:space="preserve"> Rebecca Bernard:</t>
        </r>
        <r>
          <rPr>
            <sz val="8"/>
            <color indexed="81"/>
            <rFont val="Tahoma"/>
            <family val="2"/>
          </rPr>
          <t xml:space="preserve">
Adam's edits--"errors in CRC catch reconciliation"--Nov 2009.</t>
        </r>
      </text>
    </comment>
    <comment ref="AE20" authorId="1" shapeId="0" xr:uid="{00000000-0006-0000-0300-000047000000}">
      <text>
        <r>
          <rPr>
            <b/>
            <sz val="8"/>
            <color indexed="81"/>
            <rFont val="Tahoma"/>
            <family val="2"/>
          </rPr>
          <t xml:space="preserve"> Rebecca Bernard:</t>
        </r>
        <r>
          <rPr>
            <sz val="8"/>
            <color indexed="81"/>
            <rFont val="Tahoma"/>
            <family val="2"/>
          </rPr>
          <t xml:space="preserve">
Adam's edits--"errors in CRC catch reconciliation"--Nov 2009.</t>
        </r>
      </text>
    </comment>
    <comment ref="W21" authorId="1" shapeId="0" xr:uid="{00000000-0006-0000-0300-000048000000}">
      <text>
        <r>
          <rPr>
            <b/>
            <sz val="8"/>
            <color indexed="81"/>
            <rFont val="Tahoma"/>
            <family val="2"/>
          </rPr>
          <t xml:space="preserve"> Rebecca Bernard:</t>
        </r>
        <r>
          <rPr>
            <sz val="8"/>
            <color indexed="81"/>
            <rFont val="Tahoma"/>
            <family val="2"/>
          </rPr>
          <t xml:space="preserve">
Adam's edits--"errors in CRC catch reconciliation"--Nov 2009.</t>
        </r>
      </text>
    </comment>
    <comment ref="Y21" authorId="1" shapeId="0" xr:uid="{00000000-0006-0000-0300-000049000000}">
      <text>
        <r>
          <rPr>
            <b/>
            <sz val="8"/>
            <color indexed="81"/>
            <rFont val="Tahoma"/>
            <family val="2"/>
          </rPr>
          <t xml:space="preserve"> Rebecca Bernard:</t>
        </r>
        <r>
          <rPr>
            <sz val="8"/>
            <color indexed="81"/>
            <rFont val="Tahoma"/>
            <family val="2"/>
          </rPr>
          <t xml:space="preserve">
Adam's edits--"errors in CRC catch reconciliation"--Nov 2009.</t>
        </r>
      </text>
    </comment>
    <comment ref="AA21" authorId="1" shapeId="0" xr:uid="{00000000-0006-0000-0300-00004A000000}">
      <text>
        <r>
          <rPr>
            <b/>
            <sz val="8"/>
            <color indexed="81"/>
            <rFont val="Tahoma"/>
            <family val="2"/>
          </rPr>
          <t xml:space="preserve"> Rebecca Bernard:</t>
        </r>
        <r>
          <rPr>
            <sz val="8"/>
            <color indexed="81"/>
            <rFont val="Tahoma"/>
            <family val="2"/>
          </rPr>
          <t xml:space="preserve">
Adam's edits--"errors in CRC catch reconciliation"--Nov 2009.</t>
        </r>
      </text>
    </comment>
    <comment ref="AC21" authorId="1" shapeId="0" xr:uid="{00000000-0006-0000-0300-00004B000000}">
      <text>
        <r>
          <rPr>
            <b/>
            <sz val="8"/>
            <color indexed="81"/>
            <rFont val="Tahoma"/>
            <family val="2"/>
          </rPr>
          <t xml:space="preserve"> Rebecca Bernard:</t>
        </r>
        <r>
          <rPr>
            <sz val="8"/>
            <color indexed="81"/>
            <rFont val="Tahoma"/>
            <family val="2"/>
          </rPr>
          <t xml:space="preserve">
Adam's edits--"errors in CRC catch reconciliation"--Nov 2009.</t>
        </r>
      </text>
    </comment>
    <comment ref="AI21" authorId="1" shapeId="0" xr:uid="{00000000-0006-0000-0300-00004C000000}">
      <text>
        <r>
          <rPr>
            <b/>
            <sz val="8"/>
            <color indexed="81"/>
            <rFont val="Tahoma"/>
            <family val="2"/>
          </rPr>
          <t xml:space="preserve"> Rebecca Bernard:</t>
        </r>
        <r>
          <rPr>
            <sz val="8"/>
            <color indexed="81"/>
            <rFont val="Tahoma"/>
            <family val="2"/>
          </rPr>
          <t xml:space="preserve">
Adam's edits--"errors in CRC catch reconciliation"--Nov 2009.</t>
        </r>
      </text>
    </comment>
    <comment ref="M22" authorId="1" shapeId="0" xr:uid="{00000000-0006-0000-0300-00004D000000}">
      <text>
        <r>
          <rPr>
            <b/>
            <sz val="8"/>
            <color indexed="81"/>
            <rFont val="Tahoma"/>
            <family val="2"/>
          </rPr>
          <t xml:space="preserve"> Rebecca Bernard:</t>
        </r>
        <r>
          <rPr>
            <sz val="8"/>
            <color indexed="81"/>
            <rFont val="Tahoma"/>
            <family val="2"/>
          </rPr>
          <t xml:space="preserve">
Adam's additional edits--"errors in CRC catch reconciliation"--Dec 7, 2009.</t>
        </r>
      </text>
    </comment>
    <comment ref="N22" authorId="1" shapeId="0" xr:uid="{00000000-0006-0000-0300-00004E000000}">
      <text>
        <r>
          <rPr>
            <b/>
            <sz val="8"/>
            <color indexed="81"/>
            <rFont val="Tahoma"/>
            <family val="2"/>
          </rPr>
          <t xml:space="preserve"> Rebecca Bernard:</t>
        </r>
        <r>
          <rPr>
            <sz val="8"/>
            <color indexed="81"/>
            <rFont val="Tahoma"/>
            <family val="2"/>
          </rPr>
          <t xml:space="preserve">
Adam's additional edits--"errors in CRC catch reconciliation"--Dec 7, 2009.</t>
        </r>
      </text>
    </comment>
    <comment ref="Y22" authorId="1" shapeId="0" xr:uid="{00000000-0006-0000-0300-00004F000000}">
      <text>
        <r>
          <rPr>
            <b/>
            <sz val="8"/>
            <color indexed="81"/>
            <rFont val="Tahoma"/>
            <family val="2"/>
          </rPr>
          <t xml:space="preserve"> Rebecca Bernard:</t>
        </r>
        <r>
          <rPr>
            <sz val="8"/>
            <color indexed="81"/>
            <rFont val="Tahoma"/>
            <family val="2"/>
          </rPr>
          <t xml:space="preserve">
Adam's edits--"errors in CRC catch reconciliation"--Nov 2009.</t>
        </r>
      </text>
    </comment>
    <comment ref="AA22" authorId="1" shapeId="0" xr:uid="{00000000-0006-0000-0300-000050000000}">
      <text>
        <r>
          <rPr>
            <b/>
            <sz val="8"/>
            <color indexed="81"/>
            <rFont val="Tahoma"/>
            <family val="2"/>
          </rPr>
          <t xml:space="preserve"> Rebecca Bernard:</t>
        </r>
        <r>
          <rPr>
            <sz val="8"/>
            <color indexed="81"/>
            <rFont val="Tahoma"/>
            <family val="2"/>
          </rPr>
          <t xml:space="preserve">
Adam's edits--"errors in CRC catch reconciliation"--Nov 2009.</t>
        </r>
      </text>
    </comment>
    <comment ref="AE22" authorId="1" shapeId="0" xr:uid="{00000000-0006-0000-0300-000051000000}">
      <text>
        <r>
          <rPr>
            <b/>
            <sz val="8"/>
            <color indexed="81"/>
            <rFont val="Tahoma"/>
            <family val="2"/>
          </rPr>
          <t xml:space="preserve"> Rebecca Bernard:</t>
        </r>
        <r>
          <rPr>
            <sz val="8"/>
            <color indexed="81"/>
            <rFont val="Tahoma"/>
            <family val="2"/>
          </rPr>
          <t xml:space="preserve">
Adam's edits--"errors in CRC catch reconciliation"--Nov 2009.</t>
        </r>
      </text>
    </comment>
    <comment ref="W23" authorId="1" shapeId="0" xr:uid="{00000000-0006-0000-0300-000052000000}">
      <text>
        <r>
          <rPr>
            <b/>
            <sz val="8"/>
            <color indexed="81"/>
            <rFont val="Tahoma"/>
            <family val="2"/>
          </rPr>
          <t xml:space="preserve"> Rebecca Bernard:</t>
        </r>
        <r>
          <rPr>
            <sz val="8"/>
            <color indexed="81"/>
            <rFont val="Tahoma"/>
            <family val="2"/>
          </rPr>
          <t xml:space="preserve">
Adam's edits--"errors in CRC catch reconciliation"--Nov 2009.</t>
        </r>
      </text>
    </comment>
    <comment ref="AA23" authorId="1" shapeId="0" xr:uid="{00000000-0006-0000-0300-000053000000}">
      <text>
        <r>
          <rPr>
            <b/>
            <sz val="8"/>
            <color indexed="81"/>
            <rFont val="Tahoma"/>
            <family val="2"/>
          </rPr>
          <t xml:space="preserve"> Rebecca Bernard:</t>
        </r>
        <r>
          <rPr>
            <sz val="8"/>
            <color indexed="81"/>
            <rFont val="Tahoma"/>
            <family val="2"/>
          </rPr>
          <t xml:space="preserve">
Adam's edits--"errors in CRC catch reconciliation"--Nov 2009.</t>
        </r>
      </text>
    </comment>
    <comment ref="AC23" authorId="1" shapeId="0" xr:uid="{00000000-0006-0000-0300-000054000000}">
      <text>
        <r>
          <rPr>
            <b/>
            <sz val="8"/>
            <color indexed="81"/>
            <rFont val="Tahoma"/>
            <family val="2"/>
          </rPr>
          <t xml:space="preserve"> Rebecca Bernard:</t>
        </r>
        <r>
          <rPr>
            <sz val="8"/>
            <color indexed="81"/>
            <rFont val="Tahoma"/>
            <family val="2"/>
          </rPr>
          <t xml:space="preserve">
Adam's edits--"errors in CRC catch reconciliation"--Nov 2009.</t>
        </r>
      </text>
    </comment>
    <comment ref="AI23" authorId="1" shapeId="0" xr:uid="{00000000-0006-0000-0300-000055000000}">
      <text>
        <r>
          <rPr>
            <b/>
            <sz val="8"/>
            <color indexed="81"/>
            <rFont val="Tahoma"/>
            <family val="2"/>
          </rPr>
          <t xml:space="preserve"> Rebecca Bernard:</t>
        </r>
        <r>
          <rPr>
            <sz val="8"/>
            <color indexed="81"/>
            <rFont val="Tahoma"/>
            <family val="2"/>
          </rPr>
          <t xml:space="preserve">
Adam's edits--"errors in CRC catch reconciliation"--Nov 2009.</t>
        </r>
      </text>
    </comment>
    <comment ref="M24" authorId="1" shapeId="0" xr:uid="{00000000-0006-0000-0300-000056000000}">
      <text>
        <r>
          <rPr>
            <b/>
            <sz val="8"/>
            <color indexed="81"/>
            <rFont val="Tahoma"/>
            <family val="2"/>
          </rPr>
          <t xml:space="preserve"> Rebecca Bernard:</t>
        </r>
        <r>
          <rPr>
            <sz val="8"/>
            <color indexed="81"/>
            <rFont val="Tahoma"/>
            <family val="2"/>
          </rPr>
          <t xml:space="preserve">
Adam's additional edits--"errors in CRC catch reconciliation"--Dec 7, 2009.</t>
        </r>
      </text>
    </comment>
    <comment ref="Y24" authorId="1" shapeId="0" xr:uid="{00000000-0006-0000-0300-000057000000}">
      <text>
        <r>
          <rPr>
            <b/>
            <sz val="8"/>
            <color indexed="81"/>
            <rFont val="Tahoma"/>
            <family val="2"/>
          </rPr>
          <t xml:space="preserve"> Rebecca Bernard:</t>
        </r>
        <r>
          <rPr>
            <sz val="8"/>
            <color indexed="81"/>
            <rFont val="Tahoma"/>
            <family val="2"/>
          </rPr>
          <t xml:space="preserve">
Adam's edits--"errors in CRC catch reconciliation"--Nov 2009.</t>
        </r>
      </text>
    </comment>
    <comment ref="AA24" authorId="1" shapeId="0" xr:uid="{00000000-0006-0000-0300-000058000000}">
      <text>
        <r>
          <rPr>
            <b/>
            <sz val="8"/>
            <color indexed="81"/>
            <rFont val="Tahoma"/>
            <family val="2"/>
          </rPr>
          <t xml:space="preserve"> Rebecca Bernard:</t>
        </r>
        <r>
          <rPr>
            <sz val="8"/>
            <color indexed="81"/>
            <rFont val="Tahoma"/>
            <family val="2"/>
          </rPr>
          <t xml:space="preserve">
Adam's edits--"errors in CRC catch reconciliation"--Nov 2009.</t>
        </r>
      </text>
    </comment>
    <comment ref="AC24" authorId="1" shapeId="0" xr:uid="{00000000-0006-0000-0300-000059000000}">
      <text>
        <r>
          <rPr>
            <b/>
            <sz val="8"/>
            <color indexed="81"/>
            <rFont val="Tahoma"/>
            <family val="2"/>
          </rPr>
          <t xml:space="preserve"> Rebecca Bernard:</t>
        </r>
        <r>
          <rPr>
            <sz val="8"/>
            <color indexed="81"/>
            <rFont val="Tahoma"/>
            <family val="2"/>
          </rPr>
          <t xml:space="preserve">
Adam's edits--"errors in CRC catch reconciliation"--Nov 2009.</t>
        </r>
      </text>
    </comment>
    <comment ref="M25" authorId="1" shapeId="0" xr:uid="{00000000-0006-0000-0300-00005A000000}">
      <text>
        <r>
          <rPr>
            <b/>
            <sz val="8"/>
            <color indexed="81"/>
            <rFont val="Tahoma"/>
            <family val="2"/>
          </rPr>
          <t xml:space="preserve"> Rebecca Bernard:</t>
        </r>
        <r>
          <rPr>
            <sz val="8"/>
            <color indexed="81"/>
            <rFont val="Tahoma"/>
            <family val="2"/>
          </rPr>
          <t xml:space="preserve">
Adam's additional edits--"errors in CRC catch reconciliation"--Dec 7, 2009.</t>
        </r>
      </text>
    </comment>
    <comment ref="O25" authorId="1" shapeId="0" xr:uid="{00000000-0006-0000-0300-00005B000000}">
      <text>
        <r>
          <rPr>
            <b/>
            <sz val="8"/>
            <color indexed="81"/>
            <rFont val="Tahoma"/>
            <family val="2"/>
          </rPr>
          <t xml:space="preserve"> Rebecca Bernard:</t>
        </r>
        <r>
          <rPr>
            <sz val="8"/>
            <color indexed="81"/>
            <rFont val="Tahoma"/>
            <family val="2"/>
          </rPr>
          <t xml:space="preserve">
Adam's additional edits--"errors in CRC catch reconciliation"--Dec 7, 2009.</t>
        </r>
      </text>
    </comment>
    <comment ref="W25" authorId="1" shapeId="0" xr:uid="{00000000-0006-0000-0300-00005C000000}">
      <text>
        <r>
          <rPr>
            <b/>
            <sz val="8"/>
            <color indexed="81"/>
            <rFont val="Tahoma"/>
            <family val="2"/>
          </rPr>
          <t xml:space="preserve"> Rebecca Bernard:</t>
        </r>
        <r>
          <rPr>
            <sz val="8"/>
            <color indexed="81"/>
            <rFont val="Tahoma"/>
            <family val="2"/>
          </rPr>
          <t xml:space="preserve">
Adam's edits--"errors in CRC catch reconciliation"--Nov 2009.</t>
        </r>
      </text>
    </comment>
    <comment ref="Y25" authorId="1" shapeId="0" xr:uid="{00000000-0006-0000-0300-00005D000000}">
      <text>
        <r>
          <rPr>
            <b/>
            <sz val="8"/>
            <color indexed="81"/>
            <rFont val="Tahoma"/>
            <family val="2"/>
          </rPr>
          <t xml:space="preserve"> Rebecca Bernard:</t>
        </r>
        <r>
          <rPr>
            <sz val="8"/>
            <color indexed="81"/>
            <rFont val="Tahoma"/>
            <family val="2"/>
          </rPr>
          <t xml:space="preserve">
Adam's edits--"errors in CRC catch reconciliation"--Nov 2009.</t>
        </r>
      </text>
    </comment>
    <comment ref="AA25" authorId="1" shapeId="0" xr:uid="{00000000-0006-0000-0300-00005E000000}">
      <text>
        <r>
          <rPr>
            <b/>
            <sz val="8"/>
            <color indexed="81"/>
            <rFont val="Tahoma"/>
            <family val="2"/>
          </rPr>
          <t xml:space="preserve"> Rebecca Bernard:</t>
        </r>
        <r>
          <rPr>
            <sz val="8"/>
            <color indexed="81"/>
            <rFont val="Tahoma"/>
            <family val="2"/>
          </rPr>
          <t xml:space="preserve">
Adam's edits--"errors in CRC catch reconciliation"--Nov 2009.</t>
        </r>
      </text>
    </comment>
    <comment ref="A26" authorId="1" shapeId="0" xr:uid="{00000000-0006-0000-0300-00005F000000}">
      <text>
        <r>
          <rPr>
            <b/>
            <sz val="8"/>
            <color indexed="81"/>
            <rFont val="Tahoma"/>
            <family val="2"/>
          </rPr>
          <t xml:space="preserve"> Rebecca Bernard:</t>
        </r>
        <r>
          <rPr>
            <sz val="8"/>
            <color indexed="81"/>
            <rFont val="Tahoma"/>
            <family val="2"/>
          </rPr>
          <t xml:space="preserve">
end of hatchery summer run management period</t>
        </r>
      </text>
    </comment>
    <comment ref="M26" authorId="1" shapeId="0" xr:uid="{00000000-0006-0000-0300-000060000000}">
      <text>
        <r>
          <rPr>
            <b/>
            <sz val="8"/>
            <color indexed="81"/>
            <rFont val="Tahoma"/>
            <family val="2"/>
          </rPr>
          <t xml:space="preserve"> Rebecca Bernard:</t>
        </r>
        <r>
          <rPr>
            <sz val="8"/>
            <color indexed="81"/>
            <rFont val="Tahoma"/>
            <family val="2"/>
          </rPr>
          <t xml:space="preserve">
Adam's additional edits--"errors in CRC catch reconciliation"--Dec 7, 2009.</t>
        </r>
      </text>
    </comment>
    <comment ref="N26" authorId="1" shapeId="0" xr:uid="{00000000-0006-0000-0300-000061000000}">
      <text>
        <r>
          <rPr>
            <b/>
            <sz val="8"/>
            <color indexed="81"/>
            <rFont val="Tahoma"/>
            <family val="2"/>
          </rPr>
          <t xml:space="preserve"> Rebecca Bernard:</t>
        </r>
        <r>
          <rPr>
            <sz val="8"/>
            <color indexed="81"/>
            <rFont val="Tahoma"/>
            <family val="2"/>
          </rPr>
          <t xml:space="preserve">
Adam's additional edits--"errors in CRC catch reconciliation"--Dec 7, 2009.</t>
        </r>
      </text>
    </comment>
    <comment ref="Z26" authorId="1" shapeId="0" xr:uid="{00000000-0006-0000-0300-000062000000}">
      <text>
        <r>
          <rPr>
            <b/>
            <sz val="8"/>
            <color indexed="81"/>
            <rFont val="Tahoma"/>
            <family val="2"/>
          </rPr>
          <t xml:space="preserve"> Rebecca Bernard:</t>
        </r>
        <r>
          <rPr>
            <sz val="8"/>
            <color indexed="81"/>
            <rFont val="Tahoma"/>
            <family val="2"/>
          </rPr>
          <t xml:space="preserve">
Adam's edits--"errors in CRC catch reconciliation"--Nov 2009.</t>
        </r>
      </text>
    </comment>
    <comment ref="AA26" authorId="1" shapeId="0" xr:uid="{00000000-0006-0000-0300-000063000000}">
      <text>
        <r>
          <rPr>
            <b/>
            <sz val="8"/>
            <color indexed="81"/>
            <rFont val="Tahoma"/>
            <family val="2"/>
          </rPr>
          <t xml:space="preserve"> Rebecca Bernard:</t>
        </r>
        <r>
          <rPr>
            <sz val="8"/>
            <color indexed="81"/>
            <rFont val="Tahoma"/>
            <family val="2"/>
          </rPr>
          <t xml:space="preserve">
Adam's edits--"errors in CRC catch reconciliation"--Nov 2009.</t>
        </r>
      </text>
    </comment>
    <comment ref="AC26" authorId="1" shapeId="0" xr:uid="{00000000-0006-0000-0300-000064000000}">
      <text>
        <r>
          <rPr>
            <b/>
            <sz val="8"/>
            <color indexed="81"/>
            <rFont val="Tahoma"/>
            <family val="2"/>
          </rPr>
          <t xml:space="preserve"> Rebecca Bernard:</t>
        </r>
        <r>
          <rPr>
            <sz val="8"/>
            <color indexed="81"/>
            <rFont val="Tahoma"/>
            <family val="2"/>
          </rPr>
          <t xml:space="preserve">
Adam's edits--"errors in CRC catch reconciliation"--Nov 2009.</t>
        </r>
      </text>
    </comment>
    <comment ref="AD26" authorId="1" shapeId="0" xr:uid="{00000000-0006-0000-0300-000065000000}">
      <text>
        <r>
          <rPr>
            <b/>
            <sz val="8"/>
            <color indexed="81"/>
            <rFont val="Tahoma"/>
            <family val="2"/>
          </rPr>
          <t xml:space="preserve"> Rebecca Bernard:</t>
        </r>
        <r>
          <rPr>
            <sz val="8"/>
            <color indexed="81"/>
            <rFont val="Tahoma"/>
            <family val="2"/>
          </rPr>
          <t xml:space="preserve">
Adam's edits--"errors in CRC catch reconciliation"--Nov 2009.</t>
        </r>
      </text>
    </comment>
    <comment ref="AE26" authorId="1" shapeId="0" xr:uid="{00000000-0006-0000-0300-000066000000}">
      <text>
        <r>
          <rPr>
            <b/>
            <sz val="8"/>
            <color indexed="81"/>
            <rFont val="Tahoma"/>
            <family val="2"/>
          </rPr>
          <t xml:space="preserve"> Rebecca Bernard:</t>
        </r>
        <r>
          <rPr>
            <sz val="8"/>
            <color indexed="81"/>
            <rFont val="Tahoma"/>
            <family val="2"/>
          </rPr>
          <t xml:space="preserve">
Adam's edits--"errors in CRC catch reconciliation"--Nov 2009.</t>
        </r>
      </text>
    </comment>
    <comment ref="A27" authorId="1" shapeId="0" xr:uid="{00000000-0006-0000-0300-000067000000}">
      <text>
        <r>
          <rPr>
            <b/>
            <sz val="8"/>
            <color indexed="81"/>
            <rFont val="Tahoma"/>
            <family val="2"/>
          </rPr>
          <t xml:space="preserve"> Rebecca Bernard:</t>
        </r>
        <r>
          <rPr>
            <sz val="8"/>
            <color indexed="81"/>
            <rFont val="Tahoma"/>
            <family val="2"/>
          </rPr>
          <t xml:space="preserve">
beginning of hatchery winter run management period</t>
        </r>
      </text>
    </comment>
    <comment ref="Z27" authorId="1" shapeId="0" xr:uid="{00000000-0006-0000-0300-000068000000}">
      <text>
        <r>
          <rPr>
            <b/>
            <sz val="8"/>
            <color indexed="81"/>
            <rFont val="Tahoma"/>
            <family val="2"/>
          </rPr>
          <t xml:space="preserve"> Rebecca Bernard:</t>
        </r>
        <r>
          <rPr>
            <sz val="8"/>
            <color indexed="81"/>
            <rFont val="Tahoma"/>
            <family val="2"/>
          </rPr>
          <t xml:space="preserve">
Adam's edits--"errors in CRC catch reconciliation"--Nov 2009.</t>
        </r>
      </text>
    </comment>
    <comment ref="AA27" authorId="1" shapeId="0" xr:uid="{00000000-0006-0000-0300-000069000000}">
      <text>
        <r>
          <rPr>
            <b/>
            <sz val="8"/>
            <color indexed="81"/>
            <rFont val="Tahoma"/>
            <family val="2"/>
          </rPr>
          <t xml:space="preserve"> Rebecca Bernard:</t>
        </r>
        <r>
          <rPr>
            <sz val="8"/>
            <color indexed="81"/>
            <rFont val="Tahoma"/>
            <family val="2"/>
          </rPr>
          <t xml:space="preserve">
Adam's edits--"errors in CRC catch reconciliation"--Nov 2009.</t>
        </r>
      </text>
    </comment>
    <comment ref="M28" authorId="1" shapeId="0" xr:uid="{00000000-0006-0000-0300-00006A000000}">
      <text>
        <r>
          <rPr>
            <b/>
            <sz val="8"/>
            <color indexed="81"/>
            <rFont val="Tahoma"/>
            <family val="2"/>
          </rPr>
          <t xml:space="preserve"> Rebecca Bernard:</t>
        </r>
        <r>
          <rPr>
            <sz val="8"/>
            <color indexed="81"/>
            <rFont val="Tahoma"/>
            <family val="2"/>
          </rPr>
          <t xml:space="preserve">
Adam's additional edits--"errors in CRC catch reconciliation"--Dec 7, 2009.</t>
        </r>
      </text>
    </comment>
    <comment ref="Y28" authorId="1" shapeId="0" xr:uid="{00000000-0006-0000-0300-00006B000000}">
      <text>
        <r>
          <rPr>
            <b/>
            <sz val="8"/>
            <color indexed="81"/>
            <rFont val="Tahoma"/>
            <family val="2"/>
          </rPr>
          <t xml:space="preserve"> Rebecca Bernard:</t>
        </r>
        <r>
          <rPr>
            <sz val="8"/>
            <color indexed="81"/>
            <rFont val="Tahoma"/>
            <family val="2"/>
          </rPr>
          <t xml:space="preserve">
Adam's edits--"errors in CRC catch reconciliation"--Nov 2009.</t>
        </r>
      </text>
    </comment>
    <comment ref="Z28" authorId="1" shapeId="0" xr:uid="{00000000-0006-0000-0300-00006C000000}">
      <text>
        <r>
          <rPr>
            <b/>
            <sz val="8"/>
            <color indexed="81"/>
            <rFont val="Tahoma"/>
            <family val="2"/>
          </rPr>
          <t xml:space="preserve"> Rebecca Bernard:</t>
        </r>
        <r>
          <rPr>
            <sz val="8"/>
            <color indexed="81"/>
            <rFont val="Tahoma"/>
            <family val="2"/>
          </rPr>
          <t xml:space="preserve">
Adam's edits--"errors in CRC catch reconciliation"--Nov 2009.</t>
        </r>
      </text>
    </comment>
    <comment ref="AA28" authorId="1" shapeId="0" xr:uid="{00000000-0006-0000-0300-00006D000000}">
      <text>
        <r>
          <rPr>
            <b/>
            <sz val="8"/>
            <color indexed="81"/>
            <rFont val="Tahoma"/>
            <family val="2"/>
          </rPr>
          <t xml:space="preserve"> Rebecca Bernard:</t>
        </r>
        <r>
          <rPr>
            <sz val="8"/>
            <color indexed="81"/>
            <rFont val="Tahoma"/>
            <family val="2"/>
          </rPr>
          <t xml:space="preserve">
Adam's edits--"errors in CRC catch reconciliation"--Nov 2009.</t>
        </r>
      </text>
    </comment>
    <comment ref="AC28" authorId="1" shapeId="0" xr:uid="{00000000-0006-0000-0300-00006E000000}">
      <text>
        <r>
          <rPr>
            <b/>
            <sz val="8"/>
            <color indexed="81"/>
            <rFont val="Tahoma"/>
            <family val="2"/>
          </rPr>
          <t xml:space="preserve"> Rebecca Bernard:</t>
        </r>
        <r>
          <rPr>
            <sz val="8"/>
            <color indexed="81"/>
            <rFont val="Tahoma"/>
            <family val="2"/>
          </rPr>
          <t xml:space="preserve">
Adam's edits--"errors in CRC catch reconciliation"--Nov 2009.</t>
        </r>
      </text>
    </comment>
    <comment ref="AE28" authorId="1" shapeId="0" xr:uid="{00000000-0006-0000-0300-00006F000000}">
      <text>
        <r>
          <rPr>
            <b/>
            <sz val="8"/>
            <color indexed="81"/>
            <rFont val="Tahoma"/>
            <family val="2"/>
          </rPr>
          <t xml:space="preserve"> Rebecca Bernard:</t>
        </r>
        <r>
          <rPr>
            <sz val="8"/>
            <color indexed="81"/>
            <rFont val="Tahoma"/>
            <family val="2"/>
          </rPr>
          <t xml:space="preserve">
Adam's edits--"errors in CRC catch reconciliation"--Nov 2009.</t>
        </r>
      </text>
    </comment>
    <comment ref="W29" authorId="1" shapeId="0" xr:uid="{00000000-0006-0000-0300-000070000000}">
      <text>
        <r>
          <rPr>
            <b/>
            <sz val="8"/>
            <color indexed="81"/>
            <rFont val="Tahoma"/>
            <family val="2"/>
          </rPr>
          <t xml:space="preserve"> Rebecca Bernard:</t>
        </r>
        <r>
          <rPr>
            <sz val="8"/>
            <color indexed="81"/>
            <rFont val="Tahoma"/>
            <family val="2"/>
          </rPr>
          <t xml:space="preserve">
Adam's edits--"errors in CRC catch reconciliation"--Nov 2009.</t>
        </r>
      </text>
    </comment>
    <comment ref="Y29" authorId="1" shapeId="0" xr:uid="{00000000-0006-0000-0300-000071000000}">
      <text>
        <r>
          <rPr>
            <b/>
            <sz val="8"/>
            <color indexed="81"/>
            <rFont val="Tahoma"/>
            <family val="2"/>
          </rPr>
          <t xml:space="preserve"> Rebecca Bernard:</t>
        </r>
        <r>
          <rPr>
            <sz val="8"/>
            <color indexed="81"/>
            <rFont val="Tahoma"/>
            <family val="2"/>
          </rPr>
          <t xml:space="preserve">
Adam's edits--"errors in CRC catch reconciliation"--Nov 2009.</t>
        </r>
      </text>
    </comment>
    <comment ref="AC29" authorId="1" shapeId="0" xr:uid="{00000000-0006-0000-0300-000072000000}">
      <text>
        <r>
          <rPr>
            <b/>
            <sz val="8"/>
            <color indexed="81"/>
            <rFont val="Tahoma"/>
            <family val="2"/>
          </rPr>
          <t xml:space="preserve"> Rebecca Bernard:</t>
        </r>
        <r>
          <rPr>
            <sz val="8"/>
            <color indexed="81"/>
            <rFont val="Tahoma"/>
            <family val="2"/>
          </rPr>
          <t xml:space="preserve">
Adam's edits--"errors in CRC catch reconciliation"--Nov 2009.</t>
        </r>
      </text>
    </comment>
    <comment ref="AE29" authorId="1" shapeId="0" xr:uid="{00000000-0006-0000-0300-000073000000}">
      <text>
        <r>
          <rPr>
            <b/>
            <sz val="8"/>
            <color indexed="81"/>
            <rFont val="Tahoma"/>
            <family val="2"/>
          </rPr>
          <t xml:space="preserve"> Rebecca Bernard:</t>
        </r>
        <r>
          <rPr>
            <sz val="8"/>
            <color indexed="81"/>
            <rFont val="Tahoma"/>
            <family val="2"/>
          </rPr>
          <t xml:space="preserve">
Adam's edits--"errors in CRC catch reconciliation"--Nov 2009.</t>
        </r>
      </text>
    </comment>
    <comment ref="AG29" authorId="1" shapeId="0" xr:uid="{00000000-0006-0000-0300-000074000000}">
      <text>
        <r>
          <rPr>
            <b/>
            <sz val="8"/>
            <color indexed="81"/>
            <rFont val="Tahoma"/>
            <family val="2"/>
          </rPr>
          <t xml:space="preserve"> Rebecca Bernard:</t>
        </r>
        <r>
          <rPr>
            <sz val="8"/>
            <color indexed="81"/>
            <rFont val="Tahoma"/>
            <family val="2"/>
          </rPr>
          <t xml:space="preserve">
Adam's edits--"errors in CRC catch reconciliation"--Nov 2009.</t>
        </r>
      </text>
    </comment>
    <comment ref="AK29" authorId="1" shapeId="0" xr:uid="{00000000-0006-0000-0300-000075000000}">
      <text>
        <r>
          <rPr>
            <b/>
            <sz val="8"/>
            <color indexed="81"/>
            <rFont val="Tahoma"/>
            <family val="2"/>
          </rPr>
          <t xml:space="preserve"> Rebecca Bernard:</t>
        </r>
        <r>
          <rPr>
            <sz val="8"/>
            <color indexed="81"/>
            <rFont val="Tahoma"/>
            <family val="2"/>
          </rPr>
          <t xml:space="preserve">
Adam's edits--"errors in CRC catch reconciliation"--Nov 2009.</t>
        </r>
      </text>
    </comment>
    <comment ref="M30" authorId="1" shapeId="0" xr:uid="{00000000-0006-0000-0300-000076000000}">
      <text>
        <r>
          <rPr>
            <b/>
            <sz val="8"/>
            <color indexed="81"/>
            <rFont val="Tahoma"/>
            <family val="2"/>
          </rPr>
          <t xml:space="preserve"> Rebecca Bernard:</t>
        </r>
        <r>
          <rPr>
            <sz val="8"/>
            <color indexed="81"/>
            <rFont val="Tahoma"/>
            <family val="2"/>
          </rPr>
          <t xml:space="preserve">
Adam's additional edits--"errors in CRC catch reconciliation"--Dec 7, 2009.</t>
        </r>
      </text>
    </comment>
    <comment ref="N30" authorId="1" shapeId="0" xr:uid="{00000000-0006-0000-0300-000077000000}">
      <text>
        <r>
          <rPr>
            <b/>
            <sz val="8"/>
            <color indexed="81"/>
            <rFont val="Tahoma"/>
            <family val="2"/>
          </rPr>
          <t xml:space="preserve"> Rebecca Bernard:</t>
        </r>
        <r>
          <rPr>
            <sz val="8"/>
            <color indexed="81"/>
            <rFont val="Tahoma"/>
            <family val="2"/>
          </rPr>
          <t xml:space="preserve">
Adam's additional edits--"errors in CRC catch reconciliation"--Dec 7, 2009.</t>
        </r>
      </text>
    </comment>
    <comment ref="Y30" authorId="1" shapeId="0" xr:uid="{00000000-0006-0000-0300-000078000000}">
      <text>
        <r>
          <rPr>
            <b/>
            <sz val="8"/>
            <color indexed="81"/>
            <rFont val="Tahoma"/>
            <family val="2"/>
          </rPr>
          <t xml:space="preserve"> Rebecca Bernard:</t>
        </r>
        <r>
          <rPr>
            <sz val="8"/>
            <color indexed="81"/>
            <rFont val="Tahoma"/>
            <family val="2"/>
          </rPr>
          <t xml:space="preserve">
Adam's edits--"errors in CRC catch reconciliation"--Nov 2009.</t>
        </r>
      </text>
    </comment>
    <comment ref="Z30" authorId="1" shapeId="0" xr:uid="{00000000-0006-0000-0300-000079000000}">
      <text>
        <r>
          <rPr>
            <b/>
            <sz val="8"/>
            <color indexed="81"/>
            <rFont val="Tahoma"/>
            <family val="2"/>
          </rPr>
          <t xml:space="preserve"> Rebecca Bernard:</t>
        </r>
        <r>
          <rPr>
            <sz val="8"/>
            <color indexed="81"/>
            <rFont val="Tahoma"/>
            <family val="2"/>
          </rPr>
          <t xml:space="preserve">
Adam's edits--"errors in CRC catch reconciliation"--Nov 2009.</t>
        </r>
      </text>
    </comment>
    <comment ref="AA30" authorId="1" shapeId="0" xr:uid="{00000000-0006-0000-0300-00007A000000}">
      <text>
        <r>
          <rPr>
            <b/>
            <sz val="8"/>
            <color indexed="81"/>
            <rFont val="Tahoma"/>
            <family val="2"/>
          </rPr>
          <t xml:space="preserve"> Rebecca Bernard:</t>
        </r>
        <r>
          <rPr>
            <sz val="8"/>
            <color indexed="81"/>
            <rFont val="Tahoma"/>
            <family val="2"/>
          </rPr>
          <t xml:space="preserve">
Adam's edits--"errors in CRC catch reconciliation"--Nov 2009.</t>
        </r>
      </text>
    </comment>
    <comment ref="AC30" authorId="1" shapeId="0" xr:uid="{00000000-0006-0000-0300-00007B000000}">
      <text>
        <r>
          <rPr>
            <b/>
            <sz val="8"/>
            <color indexed="81"/>
            <rFont val="Tahoma"/>
            <family val="2"/>
          </rPr>
          <t xml:space="preserve"> Rebecca Bernard:</t>
        </r>
        <r>
          <rPr>
            <sz val="8"/>
            <color indexed="81"/>
            <rFont val="Tahoma"/>
            <family val="2"/>
          </rPr>
          <t xml:space="preserve">
Adam's edits--"errors in CRC catch reconciliation"--Nov 2009.</t>
        </r>
      </text>
    </comment>
    <comment ref="AD30" authorId="1" shapeId="0" xr:uid="{00000000-0006-0000-0300-00007C000000}">
      <text>
        <r>
          <rPr>
            <b/>
            <sz val="8"/>
            <color indexed="81"/>
            <rFont val="Tahoma"/>
            <family val="2"/>
          </rPr>
          <t xml:space="preserve"> Rebecca Bernard:</t>
        </r>
        <r>
          <rPr>
            <sz val="8"/>
            <color indexed="81"/>
            <rFont val="Tahoma"/>
            <family val="2"/>
          </rPr>
          <t xml:space="preserve">
Adam's edits--"errors in CRC catch reconciliation"--Nov 2009.</t>
        </r>
      </text>
    </comment>
    <comment ref="AE30" authorId="1" shapeId="0" xr:uid="{00000000-0006-0000-0300-00007D000000}">
      <text>
        <r>
          <rPr>
            <b/>
            <sz val="8"/>
            <color indexed="81"/>
            <rFont val="Tahoma"/>
            <family val="2"/>
          </rPr>
          <t xml:space="preserve"> Rebecca Bernard:</t>
        </r>
        <r>
          <rPr>
            <sz val="8"/>
            <color indexed="81"/>
            <rFont val="Tahoma"/>
            <family val="2"/>
          </rPr>
          <t xml:space="preserve">
Adam's edits--"errors in CRC catch reconciliation"--Nov 2009.</t>
        </r>
      </text>
    </comment>
    <comment ref="AI30" authorId="1" shapeId="0" xr:uid="{00000000-0006-0000-0300-00007E000000}">
      <text>
        <r>
          <rPr>
            <b/>
            <sz val="8"/>
            <color indexed="81"/>
            <rFont val="Tahoma"/>
            <family val="2"/>
          </rPr>
          <t xml:space="preserve"> Rebecca Bernard:</t>
        </r>
        <r>
          <rPr>
            <sz val="8"/>
            <color indexed="81"/>
            <rFont val="Tahoma"/>
            <family val="2"/>
          </rPr>
          <t xml:space="preserve">
edited by Eric Kraig 3/30/2010</t>
        </r>
      </text>
    </comment>
    <comment ref="A34" authorId="3" shapeId="0" xr:uid="{00000000-0006-0000-0300-00007F000000}">
      <text>
        <r>
          <rPr>
            <b/>
            <sz val="9"/>
            <color indexed="81"/>
            <rFont val="Tahoma"/>
            <family val="2"/>
          </rPr>
          <t>rbernard:</t>
        </r>
        <r>
          <rPr>
            <sz val="9"/>
            <color indexed="81"/>
            <rFont val="Tahoma"/>
            <family val="2"/>
          </rPr>
          <t xml:space="preserve">
Return May 1 through October 31, but spawn in next calendar year--so the "year" so the year is the year they spawn in
.</t>
        </r>
      </text>
    </comment>
    <comment ref="A35" authorId="2" shapeId="0" xr:uid="{00000000-0006-0000-0300-000080000000}">
      <text>
        <r>
          <rPr>
            <b/>
            <sz val="9"/>
            <color indexed="81"/>
            <rFont val="Tahoma"/>
            <family val="2"/>
          </rPr>
          <t>Pete Kairis:</t>
        </r>
        <r>
          <rPr>
            <sz val="9"/>
            <color indexed="81"/>
            <rFont val="Tahoma"/>
            <family val="2"/>
          </rPr>
          <t xml:space="preserve">
Catch occurred in May-Oct of first year of range </t>
        </r>
      </text>
    </comment>
    <comment ref="A36" authorId="3" shapeId="0" xr:uid="{00000000-0006-0000-0300-000081000000}">
      <text>
        <r>
          <rPr>
            <b/>
            <sz val="9"/>
            <color indexed="81"/>
            <rFont val="Tahoma"/>
            <family val="2"/>
          </rPr>
          <t xml:space="preserve">rbernard:
</t>
        </r>
        <r>
          <rPr>
            <sz val="9"/>
            <color indexed="81"/>
            <rFont val="Tahoma"/>
            <family val="2"/>
          </rPr>
          <t xml:space="preserve">The </t>
        </r>
        <r>
          <rPr>
            <sz val="9"/>
            <color indexed="81"/>
            <rFont val="Tahoma"/>
            <family val="2"/>
          </rPr>
          <t xml:space="preserve">"Return Year" for winter run fish is the year they spawn in--so November and December fish catch in 1964 are added to January to April 30 catch in 1965--this total is for run year 1965.  </t>
        </r>
      </text>
    </comment>
    <comment ref="A38" authorId="1" shapeId="0" xr:uid="{00000000-0006-0000-0300-000082000000}">
      <text>
        <r>
          <rPr>
            <b/>
            <sz val="8"/>
            <color indexed="81"/>
            <rFont val="Tahoma"/>
            <family val="2"/>
          </rPr>
          <t xml:space="preserve"> Rebecca Bernard:</t>
        </r>
        <r>
          <rPr>
            <sz val="8"/>
            <color indexed="81"/>
            <rFont val="Tahoma"/>
            <family val="2"/>
          </rPr>
          <t xml:space="preserve">
However, because  not able to account for catch midmonth--Bob Leland wants to use July 1 as the wild fish management period start.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Kairis</author>
    <author xml:space="preserve"> Rebecca Bernard</author>
    <author>rbernard</author>
  </authors>
  <commentList>
    <comment ref="CJ8" authorId="0" shapeId="0" xr:uid="{00000000-0006-0000-0400-000001000000}">
      <text>
        <r>
          <rPr>
            <b/>
            <sz val="9"/>
            <color indexed="81"/>
            <rFont val="Tahoma"/>
            <family val="2"/>
          </rPr>
          <t>Pete Kairis:</t>
        </r>
        <r>
          <rPr>
            <sz val="9"/>
            <color indexed="81"/>
            <rFont val="Tahoma"/>
            <family val="2"/>
          </rPr>
          <t xml:space="preserve">
USIT Tanglenet test fishery</t>
        </r>
      </text>
    </comment>
    <comment ref="CM8" authorId="0" shapeId="0" xr:uid="{00000000-0006-0000-0400-000002000000}">
      <text>
        <r>
          <rPr>
            <b/>
            <sz val="9"/>
            <color indexed="81"/>
            <rFont val="Tahoma"/>
            <family val="2"/>
          </rPr>
          <t>Pete Kairis:</t>
        </r>
        <r>
          <rPr>
            <sz val="9"/>
            <color indexed="81"/>
            <rFont val="Tahoma"/>
            <family val="2"/>
          </rPr>
          <t xml:space="preserve">
All wilds released @ 18.5% release mort</t>
        </r>
      </text>
    </comment>
    <comment ref="CN8" authorId="0" shapeId="0" xr:uid="{00000000-0006-0000-0400-000003000000}">
      <text>
        <r>
          <rPr>
            <b/>
            <sz val="9"/>
            <color indexed="81"/>
            <rFont val="Tahoma"/>
            <family val="2"/>
          </rPr>
          <t>Pete Kairis:</t>
        </r>
        <r>
          <rPr>
            <sz val="9"/>
            <color indexed="81"/>
            <rFont val="Tahoma"/>
            <family val="2"/>
          </rPr>
          <t xml:space="preserve">
All wilds released @ 18.5% release mort</t>
        </r>
      </text>
    </comment>
    <comment ref="CM9" authorId="0" shapeId="0" xr:uid="{00000000-0006-0000-0400-000004000000}">
      <text>
        <r>
          <rPr>
            <b/>
            <sz val="9"/>
            <color indexed="81"/>
            <rFont val="Tahoma"/>
            <family val="2"/>
          </rPr>
          <t>Pete Kairis:</t>
        </r>
        <r>
          <rPr>
            <sz val="9"/>
            <color indexed="81"/>
            <rFont val="Tahoma"/>
            <family val="2"/>
          </rPr>
          <t xml:space="preserve">
All wilds released @ 18.5% release mort</t>
        </r>
      </text>
    </comment>
    <comment ref="CN9" authorId="0" shapeId="0" xr:uid="{00000000-0006-0000-0400-000005000000}">
      <text>
        <r>
          <rPr>
            <b/>
            <sz val="9"/>
            <color indexed="81"/>
            <rFont val="Tahoma"/>
            <family val="2"/>
          </rPr>
          <t>Pete Kairis:</t>
        </r>
        <r>
          <rPr>
            <sz val="9"/>
            <color indexed="81"/>
            <rFont val="Tahoma"/>
            <family val="2"/>
          </rPr>
          <t xml:space="preserve">
All wilds released @ 18.5% release mort</t>
        </r>
      </text>
    </comment>
    <comment ref="CM10" authorId="0" shapeId="0" xr:uid="{00000000-0006-0000-0400-000006000000}">
      <text>
        <r>
          <rPr>
            <b/>
            <sz val="9"/>
            <color indexed="81"/>
            <rFont val="Tahoma"/>
            <family val="2"/>
          </rPr>
          <t>Pete Kairis:</t>
        </r>
        <r>
          <rPr>
            <sz val="9"/>
            <color indexed="81"/>
            <rFont val="Tahoma"/>
            <family val="2"/>
          </rPr>
          <t xml:space="preserve">
All wilds released @ 18.5% release mort</t>
        </r>
      </text>
    </comment>
    <comment ref="CN10" authorId="0" shapeId="0" xr:uid="{00000000-0006-0000-0400-000007000000}">
      <text>
        <r>
          <rPr>
            <b/>
            <sz val="9"/>
            <color indexed="81"/>
            <rFont val="Tahoma"/>
            <family val="2"/>
          </rPr>
          <t>Pete Kairis:</t>
        </r>
        <r>
          <rPr>
            <sz val="9"/>
            <color indexed="81"/>
            <rFont val="Tahoma"/>
            <family val="2"/>
          </rPr>
          <t xml:space="preserve">
All wilds released @ 18.5% release mort</t>
        </r>
      </text>
    </comment>
    <comment ref="CM11" authorId="0" shapeId="0" xr:uid="{00000000-0006-0000-0400-000008000000}">
      <text>
        <r>
          <rPr>
            <b/>
            <sz val="9"/>
            <color indexed="81"/>
            <rFont val="Tahoma"/>
            <family val="2"/>
          </rPr>
          <t>Pete Kairis:</t>
        </r>
        <r>
          <rPr>
            <sz val="9"/>
            <color indexed="81"/>
            <rFont val="Tahoma"/>
            <family val="2"/>
          </rPr>
          <t xml:space="preserve">
All wilds released @ 18.5% release mort</t>
        </r>
      </text>
    </comment>
    <comment ref="CN11" authorId="0" shapeId="0" xr:uid="{00000000-0006-0000-0400-000009000000}">
      <text>
        <r>
          <rPr>
            <b/>
            <sz val="9"/>
            <color indexed="81"/>
            <rFont val="Tahoma"/>
            <family val="2"/>
          </rPr>
          <t>Pete Kairis:</t>
        </r>
        <r>
          <rPr>
            <sz val="9"/>
            <color indexed="81"/>
            <rFont val="Tahoma"/>
            <family val="2"/>
          </rPr>
          <t xml:space="preserve">
All wilds released @ 18.5% release mort</t>
        </r>
      </text>
    </comment>
    <comment ref="CY11" authorId="0" shapeId="0" xr:uid="{77EA8238-D311-4610-ABE1-B1E2E383A259}">
      <text>
        <r>
          <rPr>
            <b/>
            <sz val="9"/>
            <color indexed="81"/>
            <rFont val="Tahoma"/>
            <family val="2"/>
          </rPr>
          <t>Pete Kairis:</t>
        </r>
        <r>
          <rPr>
            <sz val="9"/>
            <color indexed="81"/>
            <rFont val="Tahoma"/>
            <family val="2"/>
          </rPr>
          <t xml:space="preserve">
Wilds released, assuming 18.5% release mort rate
</t>
        </r>
      </text>
    </comment>
    <comment ref="CZ11" authorId="0" shapeId="0" xr:uid="{563179AC-25E6-449A-A281-8A64F82D5702}">
      <text>
        <r>
          <rPr>
            <b/>
            <sz val="9"/>
            <color indexed="81"/>
            <rFont val="Tahoma"/>
            <family val="2"/>
          </rPr>
          <t>Pete Kairis:</t>
        </r>
        <r>
          <rPr>
            <sz val="9"/>
            <color indexed="81"/>
            <rFont val="Tahoma"/>
            <family val="2"/>
          </rPr>
          <t xml:space="preserve">
Wilds released, assuming 18.5% release mort rate
</t>
        </r>
      </text>
    </comment>
    <comment ref="DE11" authorId="0" shapeId="0" xr:uid="{C04DAA24-4533-4384-B00F-3B884EF70F62}">
      <text>
        <r>
          <rPr>
            <b/>
            <sz val="9"/>
            <color indexed="81"/>
            <rFont val="Tahoma"/>
            <family val="2"/>
          </rPr>
          <t>Pete Kairis:</t>
        </r>
        <r>
          <rPr>
            <sz val="9"/>
            <color indexed="81"/>
            <rFont val="Tahoma"/>
            <family val="2"/>
          </rPr>
          <t xml:space="preserve">
Wilds released, assuming 18.5% release mort rate
</t>
        </r>
      </text>
    </comment>
    <comment ref="DF11" authorId="0" shapeId="0" xr:uid="{A79F7C5A-5820-4808-97D0-C0623FA74B99}">
      <text>
        <r>
          <rPr>
            <b/>
            <sz val="9"/>
            <color indexed="81"/>
            <rFont val="Tahoma"/>
            <family val="2"/>
          </rPr>
          <t>Pete Kairis:</t>
        </r>
        <r>
          <rPr>
            <sz val="9"/>
            <color indexed="81"/>
            <rFont val="Tahoma"/>
            <family val="2"/>
          </rPr>
          <t xml:space="preserve">
Wilds released, assuming 18.5% release mort rate
</t>
        </r>
      </text>
    </comment>
    <comment ref="DQ11" authorId="0" shapeId="0" xr:uid="{E3FADB32-4739-4089-A34E-023C20884BA2}">
      <text>
        <r>
          <rPr>
            <b/>
            <sz val="9"/>
            <color indexed="81"/>
            <rFont val="Tahoma"/>
            <family val="2"/>
          </rPr>
          <t>Pete Kairis:</t>
        </r>
        <r>
          <rPr>
            <sz val="9"/>
            <color indexed="81"/>
            <rFont val="Tahoma"/>
            <family val="2"/>
          </rPr>
          <t xml:space="preserve">
Wilds released, assume 18.5% mortality</t>
        </r>
      </text>
    </comment>
    <comment ref="DW11" authorId="0" shapeId="0" xr:uid="{9448161E-CE81-4F35-8E03-F0E74E137F97}">
      <text>
        <r>
          <rPr>
            <b/>
            <sz val="9"/>
            <color indexed="81"/>
            <rFont val="Tahoma"/>
            <family val="2"/>
          </rPr>
          <t>Pete Kairis:</t>
        </r>
        <r>
          <rPr>
            <sz val="9"/>
            <color indexed="81"/>
            <rFont val="Tahoma"/>
            <family val="2"/>
          </rPr>
          <t xml:space="preserve">
Wilds released, assume 18.5% mortality</t>
        </r>
      </text>
    </comment>
    <comment ref="CJ12" authorId="0" shapeId="0" xr:uid="{00000000-0006-0000-0400-00000A000000}">
      <text>
        <r>
          <rPr>
            <b/>
            <sz val="9"/>
            <color indexed="81"/>
            <rFont val="Tahoma"/>
            <family val="2"/>
          </rPr>
          <t>Pete Kairis:</t>
        </r>
        <r>
          <rPr>
            <sz val="9"/>
            <color indexed="81"/>
            <rFont val="Tahoma"/>
            <family val="2"/>
          </rPr>
          <t xml:space="preserve">
retained
</t>
        </r>
      </text>
    </comment>
    <comment ref="CM12" authorId="0" shapeId="0" xr:uid="{00000000-0006-0000-0400-00000B000000}">
      <text>
        <r>
          <rPr>
            <b/>
            <sz val="9"/>
            <color indexed="81"/>
            <rFont val="Tahoma"/>
            <family val="2"/>
          </rPr>
          <t>Pete Kairis:</t>
        </r>
        <r>
          <rPr>
            <sz val="9"/>
            <color indexed="81"/>
            <rFont val="Tahoma"/>
            <family val="2"/>
          </rPr>
          <t xml:space="preserve">
All wilds released @ 18.5% release mort</t>
        </r>
      </text>
    </comment>
    <comment ref="CN12" authorId="0" shapeId="0" xr:uid="{00000000-0006-0000-0400-00000C000000}">
      <text>
        <r>
          <rPr>
            <b/>
            <sz val="9"/>
            <color indexed="81"/>
            <rFont val="Tahoma"/>
            <family val="2"/>
          </rPr>
          <t>Pete Kairis:</t>
        </r>
        <r>
          <rPr>
            <sz val="9"/>
            <color indexed="81"/>
            <rFont val="Tahoma"/>
            <family val="2"/>
          </rPr>
          <t xml:space="preserve">
All wilds released @ 18.5% release mort</t>
        </r>
      </text>
    </comment>
    <comment ref="DE12" authorId="0" shapeId="0" xr:uid="{9859602C-CA7F-48BB-818B-22B2D2C8389C}">
      <text>
        <r>
          <rPr>
            <b/>
            <sz val="9"/>
            <color indexed="81"/>
            <rFont val="Tahoma"/>
            <family val="2"/>
          </rPr>
          <t>Pete Kairis:</t>
        </r>
        <r>
          <rPr>
            <sz val="9"/>
            <color indexed="81"/>
            <rFont val="Tahoma"/>
            <family val="2"/>
          </rPr>
          <t xml:space="preserve">
Wilds released, assuming 18.5% release mort rate
</t>
        </r>
      </text>
    </comment>
    <comment ref="DF12" authorId="0" shapeId="0" xr:uid="{ECE3270B-EF0A-4BBA-BB1A-9196A2EAA2B2}">
      <text>
        <r>
          <rPr>
            <b/>
            <sz val="9"/>
            <color indexed="81"/>
            <rFont val="Tahoma"/>
            <family val="2"/>
          </rPr>
          <t>Pete Kairis:</t>
        </r>
        <r>
          <rPr>
            <sz val="9"/>
            <color indexed="81"/>
            <rFont val="Tahoma"/>
            <family val="2"/>
          </rPr>
          <t xml:space="preserve">
Wilds released, assuming 18.5% release mort rate
</t>
        </r>
      </text>
    </comment>
    <comment ref="CJ13" authorId="0" shapeId="0" xr:uid="{00000000-0006-0000-0400-00000D000000}">
      <text>
        <r>
          <rPr>
            <b/>
            <sz val="9"/>
            <color indexed="81"/>
            <rFont val="Tahoma"/>
            <family val="2"/>
          </rPr>
          <t>Pete Kairis:</t>
        </r>
        <r>
          <rPr>
            <sz val="9"/>
            <color indexed="81"/>
            <rFont val="Tahoma"/>
            <family val="2"/>
          </rPr>
          <t xml:space="preserve">
retained</t>
        </r>
      </text>
    </comment>
    <comment ref="CM13" authorId="0" shapeId="0" xr:uid="{00000000-0006-0000-0400-00000E000000}">
      <text>
        <r>
          <rPr>
            <b/>
            <sz val="9"/>
            <color indexed="81"/>
            <rFont val="Tahoma"/>
            <family val="2"/>
          </rPr>
          <t>Pete Kairis:</t>
        </r>
        <r>
          <rPr>
            <sz val="9"/>
            <color indexed="81"/>
            <rFont val="Tahoma"/>
            <family val="2"/>
          </rPr>
          <t xml:space="preserve">
All wilds released @ 18.5% release mort</t>
        </r>
      </text>
    </comment>
    <comment ref="CN13" authorId="0" shapeId="0" xr:uid="{00000000-0006-0000-0400-00000F000000}">
      <text>
        <r>
          <rPr>
            <b/>
            <sz val="9"/>
            <color indexed="81"/>
            <rFont val="Tahoma"/>
            <family val="2"/>
          </rPr>
          <t>Pete Kairis:</t>
        </r>
        <r>
          <rPr>
            <sz val="9"/>
            <color indexed="81"/>
            <rFont val="Tahoma"/>
            <family val="2"/>
          </rPr>
          <t xml:space="preserve">
All wilds released @ 18.5% release mort</t>
        </r>
      </text>
    </comment>
    <comment ref="CY13" authorId="0" shapeId="0" xr:uid="{B0530454-E67B-4FB8-A0DF-C73C5161834D}">
      <text>
        <r>
          <rPr>
            <b/>
            <sz val="9"/>
            <color indexed="81"/>
            <rFont val="Tahoma"/>
            <family val="2"/>
          </rPr>
          <t>Pete Kairis:</t>
        </r>
        <r>
          <rPr>
            <sz val="9"/>
            <color indexed="81"/>
            <rFont val="Tahoma"/>
            <family val="2"/>
          </rPr>
          <t xml:space="preserve">
Wilds released, assuming 18.5% release mort rate
</t>
        </r>
      </text>
    </comment>
    <comment ref="CZ13" authorId="0" shapeId="0" xr:uid="{133B478B-B06D-45F6-9677-AB878951313C}">
      <text>
        <r>
          <rPr>
            <b/>
            <sz val="9"/>
            <color indexed="81"/>
            <rFont val="Tahoma"/>
            <family val="2"/>
          </rPr>
          <t>Pete Kairis:</t>
        </r>
        <r>
          <rPr>
            <sz val="9"/>
            <color indexed="81"/>
            <rFont val="Tahoma"/>
            <family val="2"/>
          </rPr>
          <t xml:space="preserve">
Wilds released, assuming 18.5% release mort rate
</t>
        </r>
      </text>
    </comment>
    <comment ref="DE13" authorId="0" shapeId="0" xr:uid="{C1A13359-2DE3-438C-9479-362B3A2BC2D7}">
      <text>
        <r>
          <rPr>
            <b/>
            <sz val="9"/>
            <color indexed="81"/>
            <rFont val="Tahoma"/>
            <family val="2"/>
          </rPr>
          <t>Pete Kairis:</t>
        </r>
        <r>
          <rPr>
            <sz val="9"/>
            <color indexed="81"/>
            <rFont val="Tahoma"/>
            <family val="2"/>
          </rPr>
          <t xml:space="preserve">
Wilds released, assuming 18.5% release mort rate
</t>
        </r>
      </text>
    </comment>
    <comment ref="DF13" authorId="0" shapeId="0" xr:uid="{4FF6A8CD-E3B5-4FD4-AF7B-8D755BEBBC1B}">
      <text>
        <r>
          <rPr>
            <b/>
            <sz val="9"/>
            <color indexed="81"/>
            <rFont val="Tahoma"/>
            <family val="2"/>
          </rPr>
          <t>Pete Kairis:</t>
        </r>
        <r>
          <rPr>
            <sz val="9"/>
            <color indexed="81"/>
            <rFont val="Tahoma"/>
            <family val="2"/>
          </rPr>
          <t xml:space="preserve">
Wilds released, assuming 18.5% release mort rate
</t>
        </r>
      </text>
    </comment>
    <comment ref="DQ13" authorId="0" shapeId="0" xr:uid="{51F15521-E8DC-4985-9D0D-CFE9EB885F85}">
      <text>
        <r>
          <rPr>
            <b/>
            <sz val="9"/>
            <color indexed="81"/>
            <rFont val="Tahoma"/>
            <family val="2"/>
          </rPr>
          <t>Pete Kairis:</t>
        </r>
        <r>
          <rPr>
            <sz val="9"/>
            <color indexed="81"/>
            <rFont val="Tahoma"/>
            <family val="2"/>
          </rPr>
          <t xml:space="preserve">
19 but 1 was a recapture</t>
        </r>
      </text>
    </comment>
    <comment ref="DW13" authorId="0" shapeId="0" xr:uid="{C81DE335-401E-40E2-9904-62FA0ED953BD}">
      <text>
        <r>
          <rPr>
            <b/>
            <sz val="9"/>
            <color indexed="81"/>
            <rFont val="Tahoma"/>
            <family val="2"/>
          </rPr>
          <t>Pete Kairis:</t>
        </r>
        <r>
          <rPr>
            <sz val="9"/>
            <color indexed="81"/>
            <rFont val="Tahoma"/>
            <family val="2"/>
          </rPr>
          <t xml:space="preserve">
24, but one was a recapture</t>
        </r>
      </text>
    </comment>
    <comment ref="CM14" authorId="0" shapeId="0" xr:uid="{00000000-0006-0000-0400-000010000000}">
      <text>
        <r>
          <rPr>
            <b/>
            <sz val="9"/>
            <color indexed="81"/>
            <rFont val="Tahoma"/>
            <family val="2"/>
          </rPr>
          <t>Pete Kairis:</t>
        </r>
        <r>
          <rPr>
            <sz val="9"/>
            <color indexed="81"/>
            <rFont val="Tahoma"/>
            <family val="2"/>
          </rPr>
          <t xml:space="preserve">
All wilds released @ 18.5% release mort</t>
        </r>
      </text>
    </comment>
    <comment ref="CN14" authorId="0" shapeId="0" xr:uid="{00000000-0006-0000-0400-000011000000}">
      <text>
        <r>
          <rPr>
            <b/>
            <sz val="9"/>
            <color indexed="81"/>
            <rFont val="Tahoma"/>
            <family val="2"/>
          </rPr>
          <t>Pete Kairis:</t>
        </r>
        <r>
          <rPr>
            <sz val="9"/>
            <color indexed="81"/>
            <rFont val="Tahoma"/>
            <family val="2"/>
          </rPr>
          <t xml:space="preserve">
All wilds released @ 18.5% release mort</t>
        </r>
      </text>
    </comment>
    <comment ref="CY14" authorId="0" shapeId="0" xr:uid="{2656B337-4F41-4EF7-935D-1A040179F574}">
      <text>
        <r>
          <rPr>
            <b/>
            <sz val="9"/>
            <color indexed="81"/>
            <rFont val="Tahoma"/>
            <family val="2"/>
          </rPr>
          <t>Pete Kairis:</t>
        </r>
        <r>
          <rPr>
            <sz val="9"/>
            <color indexed="81"/>
            <rFont val="Tahoma"/>
            <family val="2"/>
          </rPr>
          <t xml:space="preserve">
Wilds released, assuming 18.5% release mort rate
</t>
        </r>
      </text>
    </comment>
    <comment ref="CZ14" authorId="0" shapeId="0" xr:uid="{D1DCDA01-56B4-439E-AA14-3A8CACAFC4AE}">
      <text>
        <r>
          <rPr>
            <b/>
            <sz val="9"/>
            <color indexed="81"/>
            <rFont val="Tahoma"/>
            <family val="2"/>
          </rPr>
          <t>Pete Kairis:</t>
        </r>
        <r>
          <rPr>
            <sz val="9"/>
            <color indexed="81"/>
            <rFont val="Tahoma"/>
            <family val="2"/>
          </rPr>
          <t xml:space="preserve">
Wilds released, assuming 18.5% release mort rate
</t>
        </r>
      </text>
    </comment>
    <comment ref="DE14" authorId="0" shapeId="0" xr:uid="{0422A898-709A-4BC1-AC6C-44F566D8B610}">
      <text>
        <r>
          <rPr>
            <b/>
            <sz val="9"/>
            <color indexed="81"/>
            <rFont val="Tahoma"/>
            <family val="2"/>
          </rPr>
          <t>Pete Kairis:</t>
        </r>
        <r>
          <rPr>
            <sz val="9"/>
            <color indexed="81"/>
            <rFont val="Tahoma"/>
            <family val="2"/>
          </rPr>
          <t xml:space="preserve">
Wilds released, assuming 18.5% release mort rate
</t>
        </r>
      </text>
    </comment>
    <comment ref="DF14" authorId="0" shapeId="0" xr:uid="{A62AC9F2-3420-4272-9B4F-2D7F6828D0DA}">
      <text>
        <r>
          <rPr>
            <b/>
            <sz val="9"/>
            <color indexed="81"/>
            <rFont val="Tahoma"/>
            <family val="2"/>
          </rPr>
          <t>Pete Kairis:</t>
        </r>
        <r>
          <rPr>
            <sz val="9"/>
            <color indexed="81"/>
            <rFont val="Tahoma"/>
            <family val="2"/>
          </rPr>
          <t xml:space="preserve">
Wilds released, assuming 18.5% release mort rate
</t>
        </r>
      </text>
    </comment>
    <comment ref="DQ14" authorId="0" shapeId="0" xr:uid="{88694BFD-D7D1-4559-A017-6B01839AF7A5}">
      <text>
        <r>
          <rPr>
            <b/>
            <sz val="9"/>
            <color indexed="81"/>
            <rFont val="Tahoma"/>
            <family val="2"/>
          </rPr>
          <t>Pete Kairis:</t>
        </r>
        <r>
          <rPr>
            <sz val="9"/>
            <color indexed="81"/>
            <rFont val="Tahoma"/>
            <family val="2"/>
          </rPr>
          <t xml:space="preserve">
39, but 2 were recaptures</t>
        </r>
      </text>
    </comment>
    <comment ref="DW14" authorId="0" shapeId="0" xr:uid="{E10B7973-8B28-4F1B-B062-CF88A5297BD1}">
      <text>
        <r>
          <rPr>
            <b/>
            <sz val="9"/>
            <color indexed="81"/>
            <rFont val="Tahoma"/>
            <family val="2"/>
          </rPr>
          <t>Pete Kairis:</t>
        </r>
        <r>
          <rPr>
            <sz val="9"/>
            <color indexed="81"/>
            <rFont val="Tahoma"/>
            <family val="2"/>
          </rPr>
          <t xml:space="preserve">
35, but 5 were recaptures</t>
        </r>
      </text>
    </comment>
    <comment ref="CM15" authorId="0" shapeId="0" xr:uid="{00000000-0006-0000-0400-000012000000}">
      <text>
        <r>
          <rPr>
            <b/>
            <sz val="9"/>
            <color indexed="81"/>
            <rFont val="Tahoma"/>
            <family val="2"/>
          </rPr>
          <t>Pete Kairis:</t>
        </r>
        <r>
          <rPr>
            <sz val="9"/>
            <color indexed="81"/>
            <rFont val="Tahoma"/>
            <family val="2"/>
          </rPr>
          <t xml:space="preserve">
All wilds released @ 18.5% release mort</t>
        </r>
      </text>
    </comment>
    <comment ref="CN15" authorId="0" shapeId="0" xr:uid="{00000000-0006-0000-0400-000013000000}">
      <text>
        <r>
          <rPr>
            <b/>
            <sz val="9"/>
            <color indexed="81"/>
            <rFont val="Tahoma"/>
            <family val="2"/>
          </rPr>
          <t>Pete Kairis:</t>
        </r>
        <r>
          <rPr>
            <sz val="9"/>
            <color indexed="81"/>
            <rFont val="Tahoma"/>
            <family val="2"/>
          </rPr>
          <t xml:space="preserve">
All wilds released @ 18.5% release mort</t>
        </r>
      </text>
    </comment>
    <comment ref="CY15" authorId="0" shapeId="0" xr:uid="{24A0BA3B-AAC5-4ABD-B7CE-767379951706}">
      <text>
        <r>
          <rPr>
            <b/>
            <sz val="9"/>
            <color indexed="81"/>
            <rFont val="Tahoma"/>
            <family val="2"/>
          </rPr>
          <t>Pete Kairis:</t>
        </r>
        <r>
          <rPr>
            <sz val="9"/>
            <color indexed="81"/>
            <rFont val="Tahoma"/>
            <family val="2"/>
          </rPr>
          <t xml:space="preserve">
Wilds released, assuming 18.5% release mort rate
</t>
        </r>
      </text>
    </comment>
    <comment ref="CZ15" authorId="0" shapeId="0" xr:uid="{6E9AFD72-BA42-48F6-97AA-085E6CFD63B9}">
      <text>
        <r>
          <rPr>
            <b/>
            <sz val="9"/>
            <color indexed="81"/>
            <rFont val="Tahoma"/>
            <family val="2"/>
          </rPr>
          <t>Pete Kairis:</t>
        </r>
        <r>
          <rPr>
            <sz val="9"/>
            <color indexed="81"/>
            <rFont val="Tahoma"/>
            <family val="2"/>
          </rPr>
          <t xml:space="preserve">
Wilds released, assuming 18.5% release mort rate
</t>
        </r>
      </text>
    </comment>
    <comment ref="DE15" authorId="0" shapeId="0" xr:uid="{793A3FB2-1B6F-419C-82A0-AAA9634AE127}">
      <text>
        <r>
          <rPr>
            <b/>
            <sz val="9"/>
            <color indexed="81"/>
            <rFont val="Tahoma"/>
            <family val="2"/>
          </rPr>
          <t>Pete Kairis:</t>
        </r>
        <r>
          <rPr>
            <sz val="9"/>
            <color indexed="81"/>
            <rFont val="Tahoma"/>
            <family val="2"/>
          </rPr>
          <t xml:space="preserve">
Wilds released, assuming 18.5% release mort rate
</t>
        </r>
      </text>
    </comment>
    <comment ref="DF15" authorId="0" shapeId="0" xr:uid="{D8FF7A6E-FA54-4048-A78B-B9B9F3D510D6}">
      <text>
        <r>
          <rPr>
            <b/>
            <sz val="9"/>
            <color indexed="81"/>
            <rFont val="Tahoma"/>
            <family val="2"/>
          </rPr>
          <t>Pete Kairis:</t>
        </r>
        <r>
          <rPr>
            <sz val="9"/>
            <color indexed="81"/>
            <rFont val="Tahoma"/>
            <family val="2"/>
          </rPr>
          <t xml:space="preserve">
Wilds released, assuming 18.5% release mort rate
</t>
        </r>
      </text>
    </comment>
    <comment ref="DQ15" authorId="0" shapeId="0" xr:uid="{9F4DB009-335B-477C-9857-51B77C1F813E}">
      <text>
        <r>
          <rPr>
            <b/>
            <sz val="9"/>
            <color indexed="81"/>
            <rFont val="Tahoma"/>
            <family val="2"/>
          </rPr>
          <t>Pete Kairis:</t>
        </r>
        <r>
          <rPr>
            <sz val="9"/>
            <color indexed="81"/>
            <rFont val="Tahoma"/>
            <family val="2"/>
          </rPr>
          <t xml:space="preserve">
24, but 1 was a recapture</t>
        </r>
      </text>
    </comment>
    <comment ref="CM16" authorId="0" shapeId="0" xr:uid="{00000000-0006-0000-0400-000014000000}">
      <text>
        <r>
          <rPr>
            <b/>
            <sz val="9"/>
            <color indexed="81"/>
            <rFont val="Tahoma"/>
            <family val="2"/>
          </rPr>
          <t>Pete Kairis:</t>
        </r>
        <r>
          <rPr>
            <sz val="9"/>
            <color indexed="81"/>
            <rFont val="Tahoma"/>
            <family val="2"/>
          </rPr>
          <t xml:space="preserve">
All wilds released @ 18.5% release mort</t>
        </r>
      </text>
    </comment>
    <comment ref="CN16" authorId="0" shapeId="0" xr:uid="{00000000-0006-0000-0400-000015000000}">
      <text>
        <r>
          <rPr>
            <b/>
            <sz val="9"/>
            <color indexed="81"/>
            <rFont val="Tahoma"/>
            <family val="2"/>
          </rPr>
          <t>Pete Kairis:</t>
        </r>
        <r>
          <rPr>
            <sz val="9"/>
            <color indexed="81"/>
            <rFont val="Tahoma"/>
            <family val="2"/>
          </rPr>
          <t xml:space="preserve">
All wilds released @ 18.5% release mort</t>
        </r>
      </text>
    </comment>
    <comment ref="CY16" authorId="0" shapeId="0" xr:uid="{F25B3CA6-D51A-4229-87DF-18491ECC5D72}">
      <text>
        <r>
          <rPr>
            <b/>
            <sz val="9"/>
            <color indexed="81"/>
            <rFont val="Tahoma"/>
            <family val="2"/>
          </rPr>
          <t>Pete Kairis:</t>
        </r>
        <r>
          <rPr>
            <sz val="9"/>
            <color indexed="81"/>
            <rFont val="Tahoma"/>
            <family val="2"/>
          </rPr>
          <t xml:space="preserve">
Wilds released, assuming 18.5% release mort rate
</t>
        </r>
      </text>
    </comment>
    <comment ref="CZ16" authorId="0" shapeId="0" xr:uid="{8D3CD259-D807-43FB-A332-BD56ECE3680E}">
      <text>
        <r>
          <rPr>
            <b/>
            <sz val="9"/>
            <color indexed="81"/>
            <rFont val="Tahoma"/>
            <family val="2"/>
          </rPr>
          <t>Pete Kairis:</t>
        </r>
        <r>
          <rPr>
            <sz val="9"/>
            <color indexed="81"/>
            <rFont val="Tahoma"/>
            <family val="2"/>
          </rPr>
          <t xml:space="preserve">
Wilds released, assuming 18.5% release mort rate
</t>
        </r>
      </text>
    </comment>
    <comment ref="DQ16" authorId="0" shapeId="0" xr:uid="{BD58B652-CE12-464F-A057-868BD1FE3ACE}">
      <text>
        <r>
          <rPr>
            <b/>
            <sz val="9"/>
            <color indexed="81"/>
            <rFont val="Tahoma"/>
            <family val="2"/>
          </rPr>
          <t>Pete Kairis:</t>
        </r>
        <r>
          <rPr>
            <sz val="9"/>
            <color indexed="81"/>
            <rFont val="Tahoma"/>
            <family val="2"/>
          </rPr>
          <t xml:space="preserve">
24, but 2 were recaptures</t>
        </r>
      </text>
    </comment>
    <comment ref="CM17" authorId="0" shapeId="0" xr:uid="{00000000-0006-0000-0400-000016000000}">
      <text>
        <r>
          <rPr>
            <b/>
            <sz val="9"/>
            <color indexed="81"/>
            <rFont val="Tahoma"/>
            <family val="2"/>
          </rPr>
          <t>Pete Kairis:</t>
        </r>
        <r>
          <rPr>
            <sz val="9"/>
            <color indexed="81"/>
            <rFont val="Tahoma"/>
            <family val="2"/>
          </rPr>
          <t xml:space="preserve">
All wilds released @ 18.5% release mort</t>
        </r>
      </text>
    </comment>
    <comment ref="CN17" authorId="0" shapeId="0" xr:uid="{00000000-0006-0000-0400-000017000000}">
      <text>
        <r>
          <rPr>
            <b/>
            <sz val="9"/>
            <color indexed="81"/>
            <rFont val="Tahoma"/>
            <family val="2"/>
          </rPr>
          <t>Pete Kairis:</t>
        </r>
        <r>
          <rPr>
            <sz val="9"/>
            <color indexed="81"/>
            <rFont val="Tahoma"/>
            <family val="2"/>
          </rPr>
          <t xml:space="preserve">
All wilds released @ 18.5% release mort</t>
        </r>
      </text>
    </comment>
    <comment ref="CY17" authorId="0" shapeId="0" xr:uid="{552201A1-6768-4912-B1D5-5E18ED62EE83}">
      <text>
        <r>
          <rPr>
            <b/>
            <sz val="9"/>
            <color indexed="81"/>
            <rFont val="Tahoma"/>
            <family val="2"/>
          </rPr>
          <t>Pete Kairis:</t>
        </r>
        <r>
          <rPr>
            <sz val="9"/>
            <color indexed="81"/>
            <rFont val="Tahoma"/>
            <family val="2"/>
          </rPr>
          <t xml:space="preserve">
Wilds released, assuming 18.5% release mort rate
</t>
        </r>
      </text>
    </comment>
    <comment ref="CZ17" authorId="0" shapeId="0" xr:uid="{645A578B-B92A-4689-BC70-579B687A4547}">
      <text>
        <r>
          <rPr>
            <b/>
            <sz val="9"/>
            <color indexed="81"/>
            <rFont val="Tahoma"/>
            <family val="2"/>
          </rPr>
          <t>Pete Kairis:</t>
        </r>
        <r>
          <rPr>
            <sz val="9"/>
            <color indexed="81"/>
            <rFont val="Tahoma"/>
            <family val="2"/>
          </rPr>
          <t xml:space="preserve">
Wilds released, assuming 18.5% release mort rate
</t>
        </r>
      </text>
    </comment>
    <comment ref="DR17" authorId="0" shapeId="0" xr:uid="{BE6FC221-D0FE-4630-94E9-FA5DEA7227E0}">
      <text>
        <r>
          <rPr>
            <b/>
            <sz val="9"/>
            <color indexed="81"/>
            <rFont val="Tahoma"/>
            <family val="2"/>
          </rPr>
          <t>Pete Kairis:</t>
        </r>
        <r>
          <rPr>
            <sz val="9"/>
            <color indexed="81"/>
            <rFont val="Tahoma"/>
            <family val="2"/>
          </rPr>
          <t xml:space="preserve">
2, but 1 was a recapture</t>
        </r>
      </text>
    </comment>
    <comment ref="DW17" authorId="0" shapeId="0" xr:uid="{90C15ADC-DDEC-429D-A194-B94448D8922B}">
      <text>
        <r>
          <rPr>
            <b/>
            <sz val="9"/>
            <color indexed="81"/>
            <rFont val="Tahoma"/>
            <family val="2"/>
          </rPr>
          <t>Pete Kairis:</t>
        </r>
        <r>
          <rPr>
            <sz val="9"/>
            <color indexed="81"/>
            <rFont val="Tahoma"/>
            <family val="2"/>
          </rPr>
          <t xml:space="preserve">
24, but 3 were recaptures</t>
        </r>
      </text>
    </comment>
    <comment ref="CM18" authorId="0" shapeId="0" xr:uid="{00000000-0006-0000-0400-000018000000}">
      <text>
        <r>
          <rPr>
            <b/>
            <sz val="9"/>
            <color indexed="81"/>
            <rFont val="Tahoma"/>
            <family val="2"/>
          </rPr>
          <t>Pete Kairis:</t>
        </r>
        <r>
          <rPr>
            <sz val="9"/>
            <color indexed="81"/>
            <rFont val="Tahoma"/>
            <family val="2"/>
          </rPr>
          <t xml:space="preserve">
All wilds released @ 18.5% release mort</t>
        </r>
      </text>
    </comment>
    <comment ref="CN18" authorId="0" shapeId="0" xr:uid="{00000000-0006-0000-0400-000019000000}">
      <text>
        <r>
          <rPr>
            <b/>
            <sz val="9"/>
            <color indexed="81"/>
            <rFont val="Tahoma"/>
            <family val="2"/>
          </rPr>
          <t>Pete Kairis:</t>
        </r>
        <r>
          <rPr>
            <sz val="9"/>
            <color indexed="81"/>
            <rFont val="Tahoma"/>
            <family val="2"/>
          </rPr>
          <t xml:space="preserve">
All wilds released @ 18.5% release mort</t>
        </r>
      </text>
    </comment>
    <comment ref="CY18" authorId="0" shapeId="0" xr:uid="{61E9274C-E76F-43D4-9C47-BD73D9E5B8CD}">
      <text>
        <r>
          <rPr>
            <b/>
            <sz val="9"/>
            <color indexed="81"/>
            <rFont val="Tahoma"/>
            <family val="2"/>
          </rPr>
          <t>Pete Kairis:</t>
        </r>
        <r>
          <rPr>
            <sz val="9"/>
            <color indexed="81"/>
            <rFont val="Tahoma"/>
            <family val="2"/>
          </rPr>
          <t xml:space="preserve">
Wilds released, assuming 18.5% release mort rate
</t>
        </r>
      </text>
    </comment>
    <comment ref="CZ18" authorId="0" shapeId="0" xr:uid="{E2BB0387-193A-467C-878C-785BE5B21328}">
      <text>
        <r>
          <rPr>
            <b/>
            <sz val="9"/>
            <color indexed="81"/>
            <rFont val="Tahoma"/>
            <family val="2"/>
          </rPr>
          <t>Pete Kairis:</t>
        </r>
        <r>
          <rPr>
            <sz val="9"/>
            <color indexed="81"/>
            <rFont val="Tahoma"/>
            <family val="2"/>
          </rPr>
          <t xml:space="preserve">
Wilds released, assuming 18.5% release mort rate
</t>
        </r>
      </text>
    </comment>
    <comment ref="DR18" authorId="0" shapeId="0" xr:uid="{7295AE07-27FF-4FD9-831F-CCCD99257565}">
      <text>
        <r>
          <rPr>
            <b/>
            <sz val="9"/>
            <color indexed="81"/>
            <rFont val="Tahoma"/>
            <family val="2"/>
          </rPr>
          <t>Pete Kairis:</t>
        </r>
        <r>
          <rPr>
            <sz val="9"/>
            <color indexed="81"/>
            <rFont val="Tahoma"/>
            <family val="2"/>
          </rPr>
          <t xml:space="preserve">
2, but 1 was a recapture</t>
        </r>
      </text>
    </comment>
    <comment ref="CM19" authorId="0" shapeId="0" xr:uid="{00000000-0006-0000-0400-00001A000000}">
      <text>
        <r>
          <rPr>
            <b/>
            <sz val="9"/>
            <color indexed="81"/>
            <rFont val="Tahoma"/>
            <family val="2"/>
          </rPr>
          <t>Pete Kairis:</t>
        </r>
        <r>
          <rPr>
            <sz val="9"/>
            <color indexed="81"/>
            <rFont val="Tahoma"/>
            <family val="2"/>
          </rPr>
          <t xml:space="preserve">
All wilds released @ 18.5% release mort</t>
        </r>
      </text>
    </comment>
    <comment ref="CN19" authorId="0" shapeId="0" xr:uid="{00000000-0006-0000-0400-00001B000000}">
      <text>
        <r>
          <rPr>
            <b/>
            <sz val="9"/>
            <color indexed="81"/>
            <rFont val="Tahoma"/>
            <family val="2"/>
          </rPr>
          <t>Pete Kairis:</t>
        </r>
        <r>
          <rPr>
            <sz val="9"/>
            <color indexed="81"/>
            <rFont val="Tahoma"/>
            <family val="2"/>
          </rPr>
          <t xml:space="preserve">
All wilds released @ 18.5% release mort</t>
        </r>
      </text>
    </comment>
    <comment ref="CY19" authorId="0" shapeId="0" xr:uid="{4EAA06DA-A5DE-4201-AFCB-A33B72C54702}">
      <text>
        <r>
          <rPr>
            <b/>
            <sz val="9"/>
            <color indexed="81"/>
            <rFont val="Tahoma"/>
            <family val="2"/>
          </rPr>
          <t>Pete Kairis:</t>
        </r>
        <r>
          <rPr>
            <sz val="9"/>
            <color indexed="81"/>
            <rFont val="Tahoma"/>
            <family val="2"/>
          </rPr>
          <t xml:space="preserve">
Wilds released, assuming 18.5% release mort rate
</t>
        </r>
      </text>
    </comment>
    <comment ref="CZ19" authorId="0" shapeId="0" xr:uid="{DCF60770-B0B0-4745-AD0E-24CAEA27571F}">
      <text>
        <r>
          <rPr>
            <b/>
            <sz val="9"/>
            <color indexed="81"/>
            <rFont val="Tahoma"/>
            <family val="2"/>
          </rPr>
          <t>Pete Kairis:</t>
        </r>
        <r>
          <rPr>
            <sz val="9"/>
            <color indexed="81"/>
            <rFont val="Tahoma"/>
            <family val="2"/>
          </rPr>
          <t xml:space="preserve">
Wilds released, assuming 18.5% release mort rate
</t>
        </r>
      </text>
    </comment>
    <comment ref="DQ19" authorId="0" shapeId="0" xr:uid="{CBB058C4-CC69-43AB-86F7-62CB83DD62AF}">
      <text>
        <r>
          <rPr>
            <b/>
            <sz val="9"/>
            <color indexed="81"/>
            <rFont val="Tahoma"/>
            <family val="2"/>
          </rPr>
          <t>Pete Kairis:</t>
        </r>
        <r>
          <rPr>
            <sz val="9"/>
            <color indexed="81"/>
            <rFont val="Tahoma"/>
            <family val="2"/>
          </rPr>
          <t xml:space="preserve">
22, but 2 were recaptures</t>
        </r>
      </text>
    </comment>
    <comment ref="DW19" authorId="0" shapeId="0" xr:uid="{06888A49-6F74-4E1E-A742-A3715610E8D4}">
      <text>
        <r>
          <rPr>
            <b/>
            <sz val="9"/>
            <color indexed="81"/>
            <rFont val="Tahoma"/>
            <family val="2"/>
          </rPr>
          <t>Pete Kairis:</t>
        </r>
        <r>
          <rPr>
            <sz val="9"/>
            <color indexed="81"/>
            <rFont val="Tahoma"/>
            <family val="2"/>
          </rPr>
          <t xml:space="preserve">
6, but one was a recapture</t>
        </r>
      </text>
    </comment>
    <comment ref="A20" authorId="1" shapeId="0" xr:uid="{00000000-0006-0000-0400-00001C000000}">
      <text>
        <r>
          <rPr>
            <b/>
            <sz val="8"/>
            <color indexed="81"/>
            <rFont val="Tahoma"/>
            <family val="2"/>
          </rPr>
          <t xml:space="preserve"> Rebecca Bernard:</t>
        </r>
        <r>
          <rPr>
            <sz val="8"/>
            <color indexed="81"/>
            <rFont val="Tahoma"/>
            <family val="2"/>
          </rPr>
          <t xml:space="preserve">
end of winter run hatchery season</t>
        </r>
      </text>
    </comment>
    <comment ref="CM20" authorId="0" shapeId="0" xr:uid="{00000000-0006-0000-0400-00001D000000}">
      <text>
        <r>
          <rPr>
            <b/>
            <sz val="9"/>
            <color indexed="81"/>
            <rFont val="Tahoma"/>
            <family val="2"/>
          </rPr>
          <t>Pete Kairis:</t>
        </r>
        <r>
          <rPr>
            <sz val="9"/>
            <color indexed="81"/>
            <rFont val="Tahoma"/>
            <family val="2"/>
          </rPr>
          <t xml:space="preserve">
All wilds released @ 18.5% release mort</t>
        </r>
      </text>
    </comment>
    <comment ref="CN20" authorId="0" shapeId="0" xr:uid="{00000000-0006-0000-0400-00001E000000}">
      <text>
        <r>
          <rPr>
            <b/>
            <sz val="9"/>
            <color indexed="81"/>
            <rFont val="Tahoma"/>
            <family val="2"/>
          </rPr>
          <t>Pete Kairis:</t>
        </r>
        <r>
          <rPr>
            <sz val="9"/>
            <color indexed="81"/>
            <rFont val="Tahoma"/>
            <family val="2"/>
          </rPr>
          <t xml:space="preserve">
All wilds released @ 18.5% release mort</t>
        </r>
      </text>
    </comment>
    <comment ref="CY20" authorId="0" shapeId="0" xr:uid="{6E8FC800-B8EE-4D71-8B4E-68AC614F8681}">
      <text>
        <r>
          <rPr>
            <b/>
            <sz val="9"/>
            <color indexed="81"/>
            <rFont val="Tahoma"/>
            <family val="2"/>
          </rPr>
          <t>Pete Kairis:</t>
        </r>
        <r>
          <rPr>
            <sz val="9"/>
            <color indexed="81"/>
            <rFont val="Tahoma"/>
            <family val="2"/>
          </rPr>
          <t xml:space="preserve">
One of these was a known mort, the remaining 3 were released</t>
        </r>
      </text>
    </comment>
    <comment ref="CZ20" authorId="0" shapeId="0" xr:uid="{FBD3B207-503E-4E81-9526-8567E1DB70B8}">
      <text>
        <r>
          <rPr>
            <b/>
            <sz val="9"/>
            <color indexed="81"/>
            <rFont val="Tahoma"/>
            <family val="2"/>
          </rPr>
          <t>Pete Kairis:</t>
        </r>
        <r>
          <rPr>
            <sz val="9"/>
            <color indexed="81"/>
            <rFont val="Tahoma"/>
            <family val="2"/>
          </rPr>
          <t xml:space="preserve">
Wilds released, assuming 18.5% release mort rate
</t>
        </r>
      </text>
    </comment>
    <comment ref="DQ20" authorId="0" shapeId="0" xr:uid="{5288658B-944A-4F68-8E5E-8EF9D7D0910A}">
      <text>
        <r>
          <rPr>
            <b/>
            <sz val="9"/>
            <color indexed="81"/>
            <rFont val="Tahoma"/>
            <family val="2"/>
          </rPr>
          <t>Pete Kairis:</t>
        </r>
        <r>
          <rPr>
            <sz val="9"/>
            <color indexed="81"/>
            <rFont val="Tahoma"/>
            <family val="2"/>
          </rPr>
          <t xml:space="preserve">
20, but 1 was a recapture</t>
        </r>
      </text>
    </comment>
    <comment ref="A21" authorId="1" shapeId="0" xr:uid="{00000000-0006-0000-0400-00001F000000}">
      <text>
        <r>
          <rPr>
            <b/>
            <sz val="8"/>
            <color indexed="81"/>
            <rFont val="Tahoma"/>
            <family val="2"/>
          </rPr>
          <t xml:space="preserve"> Rebecca Bernard:</t>
        </r>
        <r>
          <rPr>
            <sz val="8"/>
            <color indexed="81"/>
            <rFont val="Tahoma"/>
            <family val="2"/>
          </rPr>
          <t xml:space="preserve">
test fishery week 18-45.
begining of summer run hatchery management season</t>
        </r>
      </text>
    </comment>
    <comment ref="M21" authorId="1" shapeId="0" xr:uid="{00000000-0006-0000-0400-000020000000}">
      <text>
        <r>
          <rPr>
            <b/>
            <sz val="8"/>
            <color indexed="81"/>
            <rFont val="Tahoma"/>
            <family val="2"/>
          </rPr>
          <t xml:space="preserve"> Rebecca Bernard:</t>
        </r>
        <r>
          <rPr>
            <sz val="8"/>
            <color indexed="81"/>
            <rFont val="Tahoma"/>
            <family val="2"/>
          </rPr>
          <t xml:space="preserve">
1 Prespawn plus 2 kelts.
</t>
        </r>
      </text>
    </comment>
    <comment ref="CM21" authorId="0" shapeId="0" xr:uid="{00000000-0006-0000-0400-000021000000}">
      <text>
        <r>
          <rPr>
            <b/>
            <sz val="9"/>
            <color indexed="81"/>
            <rFont val="Tahoma"/>
            <family val="2"/>
          </rPr>
          <t>Pete Kairis:</t>
        </r>
        <r>
          <rPr>
            <sz val="9"/>
            <color indexed="81"/>
            <rFont val="Tahoma"/>
            <family val="2"/>
          </rPr>
          <t xml:space="preserve">
All wilds released @ 18.5% release mort</t>
        </r>
      </text>
    </comment>
    <comment ref="CN21" authorId="0" shapeId="0" xr:uid="{00000000-0006-0000-0400-000022000000}">
      <text>
        <r>
          <rPr>
            <b/>
            <sz val="9"/>
            <color indexed="81"/>
            <rFont val="Tahoma"/>
            <family val="2"/>
          </rPr>
          <t>Pete Kairis:</t>
        </r>
        <r>
          <rPr>
            <sz val="9"/>
            <color indexed="81"/>
            <rFont val="Tahoma"/>
            <family val="2"/>
          </rPr>
          <t xml:space="preserve">
All wilds released @ 18.5% release mort</t>
        </r>
      </text>
    </comment>
    <comment ref="M22" authorId="1" shapeId="0" xr:uid="{00000000-0006-0000-0400-000023000000}">
      <text>
        <r>
          <rPr>
            <b/>
            <sz val="8"/>
            <color indexed="81"/>
            <rFont val="Tahoma"/>
            <family val="2"/>
          </rPr>
          <t xml:space="preserve"> Rebecca Bernard:</t>
        </r>
        <r>
          <rPr>
            <sz val="8"/>
            <color indexed="81"/>
            <rFont val="Tahoma"/>
            <family val="2"/>
          </rPr>
          <t xml:space="preserve">
5 Prespawn plus 2 kelts.
</t>
        </r>
      </text>
    </comment>
    <comment ref="BE22" authorId="2" shapeId="0" xr:uid="{00000000-0006-0000-0400-000024000000}">
      <text>
        <r>
          <rPr>
            <b/>
            <sz val="9"/>
            <color indexed="81"/>
            <rFont val="Tahoma"/>
            <family val="2"/>
          </rPr>
          <t>rbernard:</t>
        </r>
        <r>
          <rPr>
            <sz val="9"/>
            <color indexed="81"/>
            <rFont val="Tahoma"/>
            <family val="2"/>
          </rPr>
          <t xml:space="preserve">
1 kelt, released after collecting scale</t>
        </r>
      </text>
    </comment>
    <comment ref="M23" authorId="1" shapeId="0" xr:uid="{00000000-0006-0000-0400-000025000000}">
      <text>
        <r>
          <rPr>
            <b/>
            <sz val="8"/>
            <color indexed="81"/>
            <rFont val="Tahoma"/>
            <family val="2"/>
          </rPr>
          <t xml:space="preserve"> Rebecca Bernard:</t>
        </r>
        <r>
          <rPr>
            <sz val="8"/>
            <color indexed="81"/>
            <rFont val="Tahoma"/>
            <family val="2"/>
          </rPr>
          <t xml:space="preserve">
2 Prespawn plus 2 kelts.
</t>
        </r>
      </text>
    </comment>
    <comment ref="BE23" authorId="2" shapeId="0" xr:uid="{00000000-0006-0000-0400-000026000000}">
      <text>
        <r>
          <rPr>
            <b/>
            <sz val="9"/>
            <color indexed="81"/>
            <rFont val="Tahoma"/>
            <family val="2"/>
          </rPr>
          <t>rbernard:</t>
        </r>
        <r>
          <rPr>
            <sz val="9"/>
            <color indexed="81"/>
            <rFont val="Tahoma"/>
            <family val="2"/>
          </rPr>
          <t xml:space="preserve">
1 kelt and 3 prespawn--all wild in Blakes Test</t>
        </r>
      </text>
    </comment>
    <comment ref="BO23" authorId="0" shapeId="0" xr:uid="{00000000-0006-0000-0400-000027000000}">
      <text>
        <r>
          <rPr>
            <b/>
            <sz val="9"/>
            <color indexed="81"/>
            <rFont val="Tahoma"/>
            <family val="2"/>
          </rPr>
          <t>Pete Kairis:</t>
        </r>
        <r>
          <rPr>
            <sz val="9"/>
            <color indexed="81"/>
            <rFont val="Tahoma"/>
            <family val="2"/>
          </rPr>
          <t xml:space="preserve">
2 wild unknown kelt/prespawn, so using commercial fishery samples from same week to estimate.</t>
        </r>
      </text>
    </comment>
    <comment ref="BP23" authorId="0" shapeId="0" xr:uid="{00000000-0006-0000-0400-000028000000}">
      <text>
        <r>
          <rPr>
            <b/>
            <sz val="9"/>
            <color indexed="81"/>
            <rFont val="Tahoma"/>
            <family val="2"/>
          </rPr>
          <t>Pete Kairis:</t>
        </r>
        <r>
          <rPr>
            <sz val="9"/>
            <color indexed="81"/>
            <rFont val="Tahoma"/>
            <family val="2"/>
          </rPr>
          <t xml:space="preserve">
2 wild unknown kelt/prespawn, so using commercial fishery samples from same week to estimate.</t>
        </r>
      </text>
    </comment>
    <comment ref="DQ23" authorId="0" shapeId="0" xr:uid="{CDE93299-F47E-46DC-9EBB-937E77C3297B}">
      <text>
        <r>
          <rPr>
            <b/>
            <sz val="9"/>
            <color indexed="81"/>
            <rFont val="Tahoma"/>
            <family val="2"/>
          </rPr>
          <t>Pete Kairis:
Type unknown</t>
        </r>
      </text>
    </comment>
    <comment ref="BC24" authorId="2" shapeId="0" xr:uid="{00000000-0006-0000-0400-000029000000}">
      <text>
        <r>
          <rPr>
            <b/>
            <sz val="9"/>
            <color indexed="81"/>
            <rFont val="Tahoma"/>
            <family val="2"/>
          </rPr>
          <t>rbernard:</t>
        </r>
        <r>
          <rPr>
            <sz val="9"/>
            <color indexed="81"/>
            <rFont val="Tahoma"/>
            <family val="2"/>
          </rPr>
          <t xml:space="preserve">
1 kelt, released after sampling</t>
        </r>
      </text>
    </comment>
    <comment ref="BE25" authorId="2" shapeId="0" xr:uid="{00000000-0006-0000-0400-00002A000000}">
      <text>
        <r>
          <rPr>
            <b/>
            <sz val="9"/>
            <color indexed="81"/>
            <rFont val="Tahoma"/>
            <family val="2"/>
          </rPr>
          <t>rbernard:</t>
        </r>
        <r>
          <rPr>
            <sz val="9"/>
            <color indexed="81"/>
            <rFont val="Tahoma"/>
            <family val="2"/>
          </rPr>
          <t xml:space="preserve">
1 kelt Blakes, released after collecting scale</t>
        </r>
      </text>
    </comment>
    <comment ref="BE26" authorId="2" shapeId="0" xr:uid="{00000000-0006-0000-0400-00002B000000}">
      <text>
        <r>
          <rPr>
            <b/>
            <sz val="9"/>
            <color indexed="81"/>
            <rFont val="Tahoma"/>
            <family val="2"/>
          </rPr>
          <t>rbernard:</t>
        </r>
        <r>
          <rPr>
            <sz val="9"/>
            <color indexed="81"/>
            <rFont val="Tahoma"/>
            <family val="2"/>
          </rPr>
          <t xml:space="preserve">
2 kelts Blakes, released after collecting scale</t>
        </r>
      </text>
    </comment>
    <comment ref="BE27" authorId="2" shapeId="0" xr:uid="{00000000-0006-0000-0400-00002C000000}">
      <text>
        <r>
          <rPr>
            <b/>
            <sz val="9"/>
            <color indexed="81"/>
            <rFont val="Tahoma"/>
            <family val="2"/>
          </rPr>
          <t>rbernard:</t>
        </r>
        <r>
          <rPr>
            <sz val="9"/>
            <color indexed="81"/>
            <rFont val="Tahoma"/>
            <family val="2"/>
          </rPr>
          <t xml:space="preserve">
2 wild kelts, released after collecting scale Blakes test; 2 wild kelts in sockeye test 78D3 </t>
        </r>
      </text>
    </comment>
    <comment ref="CB27" authorId="0" shapeId="0" xr:uid="{00000000-0006-0000-0400-00002D000000}">
      <text>
        <r>
          <rPr>
            <b/>
            <sz val="9"/>
            <color indexed="81"/>
            <rFont val="Tahoma"/>
            <family val="2"/>
          </rPr>
          <t>Pete Kairis:</t>
        </r>
        <r>
          <rPr>
            <sz val="9"/>
            <color indexed="81"/>
            <rFont val="Tahoma"/>
            <family val="2"/>
          </rPr>
          <t xml:space="preserve">
1 UM kelt and 1 UM unknown, so assuming kelt</t>
        </r>
      </text>
    </comment>
    <comment ref="DE27" authorId="0" shapeId="0" xr:uid="{2E6A3BE4-4CAD-46AD-AF4A-410228CB0F9A}">
      <text>
        <r>
          <rPr>
            <b/>
            <sz val="9"/>
            <color indexed="81"/>
            <rFont val="Tahoma"/>
            <family val="2"/>
          </rPr>
          <t>Pete Kairis:</t>
        </r>
        <r>
          <rPr>
            <sz val="9"/>
            <color indexed="81"/>
            <rFont val="Tahoma"/>
            <family val="2"/>
          </rPr>
          <t xml:space="preserve">
1 USIT Kelt/Prespawn unspecified, marking prespawn</t>
        </r>
      </text>
    </comment>
    <comment ref="BD28" authorId="2" shapeId="0" xr:uid="{00000000-0006-0000-0400-00002E000000}">
      <text>
        <r>
          <rPr>
            <b/>
            <sz val="9"/>
            <color indexed="81"/>
            <rFont val="Tahoma"/>
            <family val="2"/>
          </rPr>
          <t>rbernard:</t>
        </r>
        <r>
          <rPr>
            <sz val="9"/>
            <color indexed="81"/>
            <rFont val="Tahoma"/>
            <family val="2"/>
          </rPr>
          <t xml:space="preserve">
1 prespawn hatchery (was sampled as an unmarked fish, but scale came back hatchery--missed clip, or sampler error) sockeye test fishery area 3</t>
        </r>
      </text>
    </comment>
    <comment ref="A29" authorId="1" shapeId="0" xr:uid="{00000000-0006-0000-0400-00002F000000}">
      <text>
        <r>
          <rPr>
            <b/>
            <sz val="8"/>
            <color indexed="81"/>
            <rFont val="Tahoma"/>
            <family val="2"/>
          </rPr>
          <t xml:space="preserve"> Rebecca Bernard:</t>
        </r>
        <r>
          <rPr>
            <sz val="8"/>
            <color indexed="81"/>
            <rFont val="Tahoma"/>
            <family val="2"/>
          </rPr>
          <t xml:space="preserve">
end of management season</t>
        </r>
      </text>
    </comment>
    <comment ref="BB29" authorId="1" shapeId="0" xr:uid="{00000000-0006-0000-0400-000030000000}">
      <text>
        <r>
          <rPr>
            <b/>
            <sz val="8"/>
            <color indexed="81"/>
            <rFont val="Tahoma"/>
            <family val="2"/>
          </rPr>
          <t xml:space="preserve"> Rebecca Bernard:</t>
        </r>
        <r>
          <rPr>
            <sz val="8"/>
            <color indexed="81"/>
            <rFont val="Tahoma"/>
            <family val="2"/>
          </rPr>
          <t xml:space="preserve">
river area 3 sockeye test prespawn hatchery</t>
        </r>
      </text>
    </comment>
    <comment ref="BC29" authorId="1" shapeId="0" xr:uid="{00000000-0006-0000-0400-000031000000}">
      <text>
        <r>
          <rPr>
            <b/>
            <sz val="8"/>
            <color indexed="81"/>
            <rFont val="Tahoma"/>
            <family val="2"/>
          </rPr>
          <t xml:space="preserve"> Rebecca Bernard:</t>
        </r>
        <r>
          <rPr>
            <sz val="8"/>
            <color indexed="81"/>
            <rFont val="Tahoma"/>
            <family val="2"/>
          </rPr>
          <t xml:space="preserve">
released kelt--river area 3 sockeye test</t>
        </r>
      </text>
    </comment>
    <comment ref="DW29" authorId="0" shapeId="0" xr:uid="{CC11B337-2629-49FB-A411-9DDDB1CE5591}">
      <text>
        <r>
          <rPr>
            <b/>
            <sz val="9"/>
            <color indexed="81"/>
            <rFont val="Tahoma"/>
            <family val="2"/>
          </rPr>
          <t>Pete Kairis:
Type unknown</t>
        </r>
      </text>
    </comment>
    <comment ref="A30" authorId="1" shapeId="0" xr:uid="{00000000-0006-0000-0400-000032000000}">
      <text>
        <r>
          <rPr>
            <b/>
            <sz val="8"/>
            <color indexed="81"/>
            <rFont val="Tahoma"/>
            <family val="2"/>
          </rPr>
          <t xml:space="preserve"> Rebecca Bernard:</t>
        </r>
        <r>
          <rPr>
            <sz val="8"/>
            <color indexed="81"/>
            <rFont val="Tahoma"/>
            <family val="2"/>
          </rPr>
          <t xml:space="preserve">
start of new management season</t>
        </r>
      </text>
    </comment>
    <comment ref="BC31" authorId="1" shapeId="0" xr:uid="{00000000-0006-0000-0400-000033000000}">
      <text>
        <r>
          <rPr>
            <b/>
            <sz val="8"/>
            <color indexed="81"/>
            <rFont val="Tahoma"/>
            <family val="2"/>
          </rPr>
          <t xml:space="preserve"> Rebecca Bernard:</t>
        </r>
        <r>
          <rPr>
            <sz val="8"/>
            <color indexed="81"/>
            <rFont val="Tahoma"/>
            <family val="2"/>
          </rPr>
          <t xml:space="preserve">
river area 3 sockeye test--released kelt</t>
        </r>
      </text>
    </comment>
    <comment ref="BD31" authorId="2" shapeId="0" xr:uid="{00000000-0006-0000-0400-000034000000}">
      <text>
        <r>
          <rPr>
            <b/>
            <sz val="9"/>
            <color indexed="81"/>
            <rFont val="Tahoma"/>
            <family val="2"/>
          </rPr>
          <t>rbernard:</t>
        </r>
        <r>
          <rPr>
            <sz val="9"/>
            <color indexed="81"/>
            <rFont val="Tahoma"/>
            <family val="2"/>
          </rPr>
          <t xml:space="preserve">
1 prespawn hatchery fish--sockeye test fishery Area 3</t>
        </r>
      </text>
    </comment>
    <comment ref="DW31" authorId="0" shapeId="0" xr:uid="{98B04EA5-1049-40E5-9C7B-0FC02EB3761E}">
      <text>
        <r>
          <rPr>
            <b/>
            <sz val="9"/>
            <color indexed="81"/>
            <rFont val="Tahoma"/>
            <family val="2"/>
          </rPr>
          <t>Pete Kairis:
Type unknown</t>
        </r>
      </text>
    </comment>
    <comment ref="BE32" authorId="2" shapeId="0" xr:uid="{00000000-0006-0000-0400-000035000000}">
      <text>
        <r>
          <rPr>
            <b/>
            <sz val="9"/>
            <color indexed="81"/>
            <rFont val="Tahoma"/>
            <family val="2"/>
          </rPr>
          <t>rbernard:</t>
        </r>
        <r>
          <rPr>
            <sz val="9"/>
            <color indexed="81"/>
            <rFont val="Tahoma"/>
            <family val="2"/>
          </rPr>
          <t xml:space="preserve">
1 wild kelt, sockeye test Area 3</t>
        </r>
      </text>
    </comment>
    <comment ref="BJ32" authorId="0" shapeId="0" xr:uid="{00000000-0006-0000-0400-000036000000}">
      <text>
        <r>
          <rPr>
            <b/>
            <sz val="9"/>
            <color indexed="81"/>
            <rFont val="Tahoma"/>
            <family val="2"/>
          </rPr>
          <t>Pete Kairis:</t>
        </r>
        <r>
          <rPr>
            <sz val="9"/>
            <color indexed="81"/>
            <rFont val="Tahoma"/>
            <family val="2"/>
          </rPr>
          <t xml:space="preserve">
1 wild fish, unknown kelt/prespawn.  Only other sample from this week was 2011, which was a kelt, so assuming kelt.</t>
        </r>
      </text>
    </comment>
    <comment ref="DE32" authorId="0" shapeId="0" xr:uid="{4156E156-7E53-4872-B00F-CFFEBAA388BB}">
      <text>
        <r>
          <rPr>
            <b/>
            <sz val="9"/>
            <color indexed="81"/>
            <rFont val="Tahoma"/>
            <family val="2"/>
          </rPr>
          <t>Pete Kairis:</t>
        </r>
        <r>
          <rPr>
            <sz val="9"/>
            <color indexed="81"/>
            <rFont val="Tahoma"/>
            <family val="2"/>
          </rPr>
          <t xml:space="preserve">
Kelt/Prespawn unspecified</t>
        </r>
      </text>
    </comment>
    <comment ref="BJ33" authorId="0" shapeId="0" xr:uid="{00000000-0006-0000-0400-000037000000}">
      <text>
        <r>
          <rPr>
            <b/>
            <sz val="9"/>
            <color indexed="81"/>
            <rFont val="Tahoma"/>
            <family val="2"/>
          </rPr>
          <t>Pete Kairis:</t>
        </r>
        <r>
          <rPr>
            <sz val="9"/>
            <color indexed="81"/>
            <rFont val="Tahoma"/>
            <family val="2"/>
          </rPr>
          <t xml:space="preserve">
1 wild unknown kelt/prespawn.  No sample data from earlier years, so using previous week from 2011, which would make it a kelt.</t>
        </r>
      </text>
    </comment>
    <comment ref="BB37" authorId="2" shapeId="0" xr:uid="{00000000-0006-0000-0400-000038000000}">
      <text>
        <r>
          <rPr>
            <b/>
            <sz val="9"/>
            <color indexed="81"/>
            <rFont val="Tahoma"/>
            <family val="2"/>
          </rPr>
          <t>rbernard:</t>
        </r>
        <r>
          <rPr>
            <sz val="9"/>
            <color indexed="81"/>
            <rFont val="Tahoma"/>
            <family val="2"/>
          </rPr>
          <t xml:space="preserve">
prespawn hatchery</t>
        </r>
      </text>
    </comment>
    <comment ref="CD37" authorId="0" shapeId="0" xr:uid="{00000000-0006-0000-0400-000039000000}">
      <text>
        <r>
          <rPr>
            <b/>
            <sz val="9"/>
            <color indexed="81"/>
            <rFont val="Tahoma"/>
            <family val="2"/>
          </rPr>
          <t>Pete Kairis:</t>
        </r>
        <r>
          <rPr>
            <sz val="9"/>
            <color indexed="81"/>
            <rFont val="Tahoma"/>
            <family val="2"/>
          </rPr>
          <t xml:space="preserve">
Spawn status unknown, assuming prespawn</t>
        </r>
      </text>
    </comment>
    <comment ref="BB38" authorId="2" shapeId="0" xr:uid="{00000000-0006-0000-0400-00003A000000}">
      <text>
        <r>
          <rPr>
            <b/>
            <sz val="9"/>
            <color indexed="81"/>
            <rFont val="Tahoma"/>
            <family val="2"/>
          </rPr>
          <t>rbernard:</t>
        </r>
        <r>
          <rPr>
            <sz val="9"/>
            <color indexed="81"/>
            <rFont val="Tahoma"/>
            <family val="2"/>
          </rPr>
          <t xml:space="preserve">
prespawn hatchery</t>
        </r>
      </text>
    </comment>
    <comment ref="CG38" authorId="0" shapeId="0" xr:uid="{00000000-0006-0000-0400-00003B000000}">
      <text>
        <r>
          <rPr>
            <b/>
            <sz val="9"/>
            <color indexed="81"/>
            <rFont val="Tahoma"/>
            <family val="2"/>
          </rPr>
          <t>Pete Kairis:</t>
        </r>
        <r>
          <rPr>
            <sz val="9"/>
            <color indexed="81"/>
            <rFont val="Tahoma"/>
            <family val="2"/>
          </rPr>
          <t xml:space="preserve">
Spawn status unknown, assuming prespawn</t>
        </r>
      </text>
    </comment>
    <comment ref="DE39" authorId="0" shapeId="0" xr:uid="{49FDB1E2-1500-4AFD-9FCA-1EF076AD4FBF}">
      <text>
        <r>
          <rPr>
            <b/>
            <sz val="9"/>
            <color indexed="81"/>
            <rFont val="Tahoma"/>
            <family val="2"/>
          </rPr>
          <t>Pete Kairis:</t>
        </r>
        <r>
          <rPr>
            <sz val="9"/>
            <color indexed="81"/>
            <rFont val="Tahoma"/>
            <family val="2"/>
          </rPr>
          <t xml:space="preserve">
Kelt/Prespawn unspecified</t>
        </r>
      </text>
    </comment>
    <comment ref="DQ39" authorId="0" shapeId="0" xr:uid="{72CE56B5-A148-4FD7-97DF-E46D4952B982}">
      <text>
        <r>
          <rPr>
            <b/>
            <sz val="9"/>
            <color indexed="81"/>
            <rFont val="Tahoma"/>
            <family val="2"/>
          </rPr>
          <t>Pete Kairis:
Type unknown</t>
        </r>
      </text>
    </comment>
    <comment ref="BI40" authorId="0" shapeId="0" xr:uid="{00000000-0006-0000-0400-00003C000000}">
      <text>
        <r>
          <rPr>
            <b/>
            <sz val="9"/>
            <color indexed="81"/>
            <rFont val="Tahoma"/>
            <family val="2"/>
          </rPr>
          <t>Pete Kairis:</t>
        </r>
        <r>
          <rPr>
            <sz val="9"/>
            <color indexed="81"/>
            <rFont val="Tahoma"/>
            <family val="2"/>
          </rPr>
          <t xml:space="preserve">
1 wild unknown kelt/prespawn.  No historic kelt/prespawn status for this week.  Based on timing, assuming prespawn (really late for a kelt).  Stray?</t>
        </r>
      </text>
    </comment>
    <comment ref="CG41" authorId="0" shapeId="0" xr:uid="{00000000-0006-0000-0400-00003D000000}">
      <text>
        <r>
          <rPr>
            <b/>
            <sz val="9"/>
            <color indexed="81"/>
            <rFont val="Tahoma"/>
            <family val="2"/>
          </rPr>
          <t>Pete Kairis:</t>
        </r>
        <r>
          <rPr>
            <sz val="9"/>
            <color indexed="81"/>
            <rFont val="Tahoma"/>
            <family val="2"/>
          </rPr>
          <t xml:space="preserve">
Spawn status unknown, assuming prespawn</t>
        </r>
      </text>
    </comment>
    <comment ref="DE43" authorId="0" shapeId="0" xr:uid="{5C9B0039-5DCC-4285-9960-BFBCFCE40399}">
      <text>
        <r>
          <rPr>
            <b/>
            <sz val="9"/>
            <color indexed="81"/>
            <rFont val="Tahoma"/>
            <family val="2"/>
          </rPr>
          <t>Pete Kairis:</t>
        </r>
        <r>
          <rPr>
            <sz val="9"/>
            <color indexed="81"/>
            <rFont val="Tahoma"/>
            <family val="2"/>
          </rPr>
          <t xml:space="preserve">
1 blakes wild, unknown prespawn/kelt, so marking prespawn</t>
        </r>
      </text>
    </comment>
    <comment ref="BF44" authorId="0" shapeId="0" xr:uid="{00000000-0006-0000-0400-00003E000000}">
      <text>
        <r>
          <rPr>
            <b/>
            <sz val="9"/>
            <color indexed="81"/>
            <rFont val="Tahoma"/>
            <family val="2"/>
          </rPr>
          <t>Pete Kairis:</t>
        </r>
        <r>
          <rPr>
            <sz val="9"/>
            <color indexed="81"/>
            <rFont val="Tahoma"/>
            <family val="2"/>
          </rPr>
          <t xml:space="preserve">
1 hatchery unknown kelt/prespawn.  No historic kelt/prespawn status for this week.  Based on timing, assuming prespawn.</t>
        </r>
      </text>
    </comment>
    <comment ref="CY45" authorId="0" shapeId="0" xr:uid="{51FF9848-0562-4243-9391-0776F90E0E1C}">
      <text>
        <r>
          <rPr>
            <b/>
            <sz val="9"/>
            <color indexed="81"/>
            <rFont val="Tahoma"/>
            <family val="2"/>
          </rPr>
          <t>Pete Kairis:</t>
        </r>
        <r>
          <rPr>
            <sz val="9"/>
            <color indexed="81"/>
            <rFont val="Tahoma"/>
            <family val="2"/>
          </rPr>
          <t xml:space="preserve">
Kelt/Prespawn unspecified</t>
        </r>
      </text>
    </comment>
    <comment ref="A47" authorId="1" shapeId="0" xr:uid="{00000000-0006-0000-0400-00003F000000}">
      <text>
        <r>
          <rPr>
            <b/>
            <sz val="8"/>
            <color indexed="81"/>
            <rFont val="Tahoma"/>
            <family val="2"/>
          </rPr>
          <t xml:space="preserve"> Rebecca Bernard:</t>
        </r>
        <r>
          <rPr>
            <sz val="8"/>
            <color indexed="81"/>
            <rFont val="Tahoma"/>
            <family val="2"/>
          </rPr>
          <t xml:space="preserve">
end of summer run hatchery fish management season</t>
        </r>
      </text>
    </comment>
    <comment ref="BE47" authorId="2" shapeId="0" xr:uid="{00000000-0006-0000-0400-000040000000}">
      <text>
        <r>
          <rPr>
            <b/>
            <sz val="9"/>
            <color indexed="81"/>
            <rFont val="Tahoma"/>
            <family val="2"/>
          </rPr>
          <t>rbernard:</t>
        </r>
        <r>
          <rPr>
            <sz val="9"/>
            <color indexed="81"/>
            <rFont val="Tahoma"/>
            <family val="2"/>
          </rPr>
          <t xml:space="preserve">
prespawn</t>
        </r>
      </text>
    </comment>
    <comment ref="A48" authorId="1" shapeId="0" xr:uid="{00000000-0006-0000-0400-000041000000}">
      <text>
        <r>
          <rPr>
            <b/>
            <sz val="8"/>
            <color indexed="81"/>
            <rFont val="Tahoma"/>
            <family val="2"/>
          </rPr>
          <t xml:space="preserve"> Rebecca Bernard:</t>
        </r>
        <r>
          <rPr>
            <sz val="8"/>
            <color indexed="81"/>
            <rFont val="Tahoma"/>
            <family val="2"/>
          </rPr>
          <t xml:space="preserve">
beginning of winter run hatchery fish season</t>
        </r>
      </text>
    </comment>
    <comment ref="BX48" authorId="0" shapeId="0" xr:uid="{00000000-0006-0000-0400-000042000000}">
      <text>
        <r>
          <rPr>
            <b/>
            <sz val="9"/>
            <color indexed="81"/>
            <rFont val="Tahoma"/>
            <family val="2"/>
          </rPr>
          <t>Pete Kairis:</t>
        </r>
        <r>
          <rPr>
            <sz val="9"/>
            <color indexed="81"/>
            <rFont val="Tahoma"/>
            <family val="2"/>
          </rPr>
          <t xml:space="preserve">
1 AD clipped unknown status, assuming prespawn based on timing</t>
        </r>
      </text>
    </comment>
    <comment ref="A56" authorId="2" shapeId="0" xr:uid="{00000000-0006-0000-0400-000043000000}">
      <text>
        <r>
          <rPr>
            <b/>
            <sz val="9"/>
            <color indexed="81"/>
            <rFont val="Tahoma"/>
            <family val="2"/>
          </rPr>
          <t>rbernard:</t>
        </r>
        <r>
          <rPr>
            <sz val="9"/>
            <color indexed="81"/>
            <rFont val="Tahoma"/>
            <family val="2"/>
          </rPr>
          <t xml:space="preserve">
Return May 1 through October 31, but spawn in next calendar year--so the "year" so the year is the year they spawn in
.</t>
        </r>
      </text>
    </comment>
    <comment ref="A58" authorId="2" shapeId="0" xr:uid="{00000000-0006-0000-0400-000044000000}">
      <text>
        <r>
          <rPr>
            <b/>
            <sz val="9"/>
            <color indexed="81"/>
            <rFont val="Tahoma"/>
            <family val="2"/>
          </rPr>
          <t xml:space="preserve">rbernard:
</t>
        </r>
        <r>
          <rPr>
            <sz val="9"/>
            <color indexed="81"/>
            <rFont val="Tahoma"/>
            <family val="2"/>
          </rPr>
          <t xml:space="preserve">The </t>
        </r>
        <r>
          <rPr>
            <sz val="9"/>
            <color indexed="81"/>
            <rFont val="Tahoma"/>
            <family val="2"/>
          </rPr>
          <t xml:space="preserve">"Return Year" for winter run fish is the year they spawn in--so November and December fish catch in 1964 are added to January to April 30 catch in 1965--this total is for run year 1965.  </t>
        </r>
      </text>
    </comment>
    <comment ref="A60" authorId="1" shapeId="0" xr:uid="{00000000-0006-0000-0400-000045000000}">
      <text>
        <r>
          <rPr>
            <b/>
            <sz val="8"/>
            <color indexed="81"/>
            <rFont val="Tahoma"/>
            <family val="2"/>
          </rPr>
          <t xml:space="preserve"> Rebecca Bernard:</t>
        </r>
        <r>
          <rPr>
            <sz val="8"/>
            <color indexed="81"/>
            <rFont val="Tahoma"/>
            <family val="2"/>
          </rPr>
          <t xml:space="preserve">
However, because  not able to account for catch midmonth--Bob Leland wants to use July 1 as the wild fish management period start.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 Kairis</author>
  </authors>
  <commentList>
    <comment ref="BM29" authorId="0" shapeId="0" xr:uid="{E4E21A2F-7274-4A01-AEC9-23FE0B036672}">
      <text>
        <r>
          <rPr>
            <b/>
            <sz val="9"/>
            <color indexed="81"/>
            <rFont val="Tahoma"/>
            <family val="2"/>
          </rPr>
          <t>Pete Kairis:</t>
        </r>
        <r>
          <rPr>
            <sz val="9"/>
            <color indexed="81"/>
            <rFont val="Tahoma"/>
            <family val="2"/>
          </rPr>
          <t xml:space="preserve">
Seems to be a mistake?  No sampling data and no fish tickets for Area 8.</t>
        </r>
      </text>
    </comment>
    <comment ref="X34" authorId="0" shapeId="0" xr:uid="{00000000-0006-0000-0500-000004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Y34" authorId="0" shapeId="0" xr:uid="{00000000-0006-0000-0500-000005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A34" authorId="0" shapeId="0" xr:uid="{00000000-0006-0000-0500-000006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B34" authorId="0" shapeId="0" xr:uid="{00000000-0006-0000-0500-000007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E34" authorId="0" shapeId="0" xr:uid="{00000000-0006-0000-0500-000008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F34" authorId="0" shapeId="0" xr:uid="{00000000-0006-0000-0500-000009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H34" authorId="0" shapeId="0" xr:uid="{00000000-0006-0000-0500-00000A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I34" authorId="0" shapeId="0" xr:uid="{00000000-0006-0000-0500-00000B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X35" authorId="0" shapeId="0" xr:uid="{00000000-0006-0000-0500-00000C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Y35" authorId="0" shapeId="0" xr:uid="{00000000-0006-0000-0500-00000D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A35" authorId="0" shapeId="0" xr:uid="{00000000-0006-0000-0500-00000E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B35" authorId="0" shapeId="0" xr:uid="{00000000-0006-0000-0500-00000F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E35" authorId="0" shapeId="0" xr:uid="{00000000-0006-0000-0500-000010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F35" authorId="0" shapeId="0" xr:uid="{00000000-0006-0000-0500-000011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H35" authorId="0" shapeId="0" xr:uid="{00000000-0006-0000-0500-000012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I35" authorId="0" shapeId="0" xr:uid="{00000000-0006-0000-0500-000013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X36" authorId="0" shapeId="0" xr:uid="{00000000-0006-0000-0500-000014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Y36" authorId="0" shapeId="0" xr:uid="{00000000-0006-0000-0500-000015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A36" authorId="0" shapeId="0" xr:uid="{00000000-0006-0000-0500-000016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B36" authorId="0" shapeId="0" xr:uid="{00000000-0006-0000-0500-000017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E36" authorId="0" shapeId="0" xr:uid="{00000000-0006-0000-0500-000018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F36" authorId="0" shapeId="0" xr:uid="{00000000-0006-0000-0500-000019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H36" authorId="0" shapeId="0" xr:uid="{00000000-0006-0000-0500-00001A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I36" authorId="0" shapeId="0" xr:uid="{00000000-0006-0000-0500-00001B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X86" authorId="0" shapeId="0" xr:uid="{00000000-0006-0000-0500-00001C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Y86" authorId="0" shapeId="0" xr:uid="{00000000-0006-0000-0500-00001D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A86" authorId="0" shapeId="0" xr:uid="{00000000-0006-0000-0500-00001E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B86" authorId="0" shapeId="0" xr:uid="{00000000-0006-0000-0500-00001F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E86" authorId="0" shapeId="0" xr:uid="{00000000-0006-0000-0500-000020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F86" authorId="0" shapeId="0" xr:uid="{00000000-0006-0000-0500-000021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H86" authorId="0" shapeId="0" xr:uid="{00000000-0006-0000-0500-000022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I86" authorId="0" shapeId="0" xr:uid="{00000000-0006-0000-0500-000023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L86" authorId="0" shapeId="0" xr:uid="{00000000-0006-0000-0500-000024000000}">
      <text>
        <r>
          <rPr>
            <b/>
            <sz val="9"/>
            <color indexed="81"/>
            <rFont val="Tahoma"/>
            <family val="2"/>
          </rPr>
          <t>Pete Kairis:</t>
        </r>
        <r>
          <rPr>
            <sz val="9"/>
            <color indexed="81"/>
            <rFont val="Tahoma"/>
            <family val="2"/>
          </rPr>
          <t xml:space="preserve">
Using H/W, and kelt/prespawn splits from 2017TreatyCommercialCatch spreadsheet, calculated independently for Swin, SSIT, and USIT (including their estimated release mortalities). </t>
        </r>
      </text>
    </comment>
    <comment ref="X87" authorId="0" shapeId="0" xr:uid="{00000000-0006-0000-0500-000025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Y87" authorId="0" shapeId="0" xr:uid="{00000000-0006-0000-0500-000026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A87" authorId="0" shapeId="0" xr:uid="{00000000-0006-0000-0500-000027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B87" authorId="0" shapeId="0" xr:uid="{00000000-0006-0000-0500-000028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E87" authorId="0" shapeId="0" xr:uid="{00000000-0006-0000-0500-000029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F87" authorId="0" shapeId="0" xr:uid="{00000000-0006-0000-0500-00002A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H87" authorId="0" shapeId="0" xr:uid="{00000000-0006-0000-0500-00002B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I87" authorId="0" shapeId="0" xr:uid="{00000000-0006-0000-0500-00002C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X88" authorId="0" shapeId="0" xr:uid="{00000000-0006-0000-0500-00002D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Y88" authorId="0" shapeId="0" xr:uid="{00000000-0006-0000-0500-00002E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A88" authorId="0" shapeId="0" xr:uid="{00000000-0006-0000-0500-00002F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B88" authorId="0" shapeId="0" xr:uid="{00000000-0006-0000-0500-000030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E88" authorId="0" shapeId="0" xr:uid="{00000000-0006-0000-0500-000031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F88" authorId="0" shapeId="0" xr:uid="{00000000-0006-0000-0500-000032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H88" authorId="0" shapeId="0" xr:uid="{00000000-0006-0000-0500-000033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I88" authorId="0" shapeId="0" xr:uid="{00000000-0006-0000-0500-000034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E93" authorId="0" shapeId="0" xr:uid="{00000000-0006-0000-0500-000035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F93" authorId="0" shapeId="0" xr:uid="{00000000-0006-0000-0500-000036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H93" authorId="0" shapeId="0" xr:uid="{00000000-0006-0000-0500-000037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I93" authorId="0" shapeId="0" xr:uid="{00000000-0006-0000-0500-000038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X94" authorId="0" shapeId="0" xr:uid="{00000000-0006-0000-0500-000039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Y94" authorId="0" shapeId="0" xr:uid="{00000000-0006-0000-0500-00003A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A94" authorId="0" shapeId="0" xr:uid="{00000000-0006-0000-0500-00003B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B94" authorId="0" shapeId="0" xr:uid="{00000000-0006-0000-0500-00003C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E94" authorId="0" shapeId="0" xr:uid="{00000000-0006-0000-0500-00003D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F94" authorId="0" shapeId="0" xr:uid="{00000000-0006-0000-0500-00003E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H94" authorId="0" shapeId="0" xr:uid="{00000000-0006-0000-0500-00003F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I94" authorId="0" shapeId="0" xr:uid="{00000000-0006-0000-0500-000040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BQ94" authorId="0" shapeId="0" xr:uid="{D858C1B0-2640-49A0-A849-C95C64BCAF5D}">
      <text>
        <r>
          <rPr>
            <b/>
            <sz val="9"/>
            <color indexed="81"/>
            <rFont val="Tahoma"/>
            <family val="2"/>
          </rPr>
          <t>Pete Kairis:</t>
        </r>
        <r>
          <rPr>
            <sz val="9"/>
            <color indexed="81"/>
            <rFont val="Tahoma"/>
            <family val="2"/>
          </rPr>
          <t xml:space="preserve">
Unknown status, so marking wild prespawn</t>
        </r>
      </text>
    </comment>
    <comment ref="X95" authorId="0" shapeId="0" xr:uid="{00000000-0006-0000-0500-000041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Y95" authorId="0" shapeId="0" xr:uid="{00000000-0006-0000-0500-000042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A95" authorId="0" shapeId="0" xr:uid="{00000000-0006-0000-0500-000043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B95" authorId="0" shapeId="0" xr:uid="{00000000-0006-0000-0500-000044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E95" authorId="0" shapeId="0" xr:uid="{00000000-0006-0000-0500-000045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F95" authorId="0" shapeId="0" xr:uid="{00000000-0006-0000-0500-000046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H95" authorId="0" shapeId="0" xr:uid="{00000000-0006-0000-0500-000047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I95" authorId="0" shapeId="0" xr:uid="{00000000-0006-0000-0500-000048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E96" authorId="0" shapeId="0" xr:uid="{00000000-0006-0000-0500-000049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F96" authorId="0" shapeId="0" xr:uid="{00000000-0006-0000-0500-00004A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H96" authorId="0" shapeId="0" xr:uid="{00000000-0006-0000-0500-00004B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I96" authorId="0" shapeId="0" xr:uid="{00000000-0006-0000-0500-00004C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BQ96" authorId="0" shapeId="0" xr:uid="{132D6CE9-1207-4588-A895-B5EA21C12385}">
      <text>
        <r>
          <rPr>
            <b/>
            <sz val="9"/>
            <color indexed="81"/>
            <rFont val="Tahoma"/>
            <family val="2"/>
          </rPr>
          <t>Pete Kairis:</t>
        </r>
        <r>
          <rPr>
            <sz val="9"/>
            <color indexed="81"/>
            <rFont val="Tahoma"/>
            <family val="2"/>
          </rPr>
          <t xml:space="preserve">
Unknown status, so marking wild prespawn</t>
        </r>
      </text>
    </comment>
    <comment ref="BJ97" authorId="0" shapeId="0" xr:uid="{E50EB195-C75F-48CC-8227-1A8F45A0190D}">
      <text>
        <r>
          <rPr>
            <b/>
            <sz val="9"/>
            <color indexed="81"/>
            <rFont val="Tahoma"/>
            <family val="2"/>
          </rPr>
          <t>Pete Kairis:</t>
        </r>
        <r>
          <rPr>
            <sz val="9"/>
            <color indexed="81"/>
            <rFont val="Tahoma"/>
            <family val="2"/>
          </rPr>
          <t xml:space="preserve">
Unknown status, so marking wild prespawn</t>
        </r>
      </text>
    </comment>
    <comment ref="X202" authorId="0" shapeId="0" xr:uid="{00000000-0006-0000-0500-00004D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Y202" authorId="0" shapeId="0" xr:uid="{00000000-0006-0000-0500-00004E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A202" authorId="0" shapeId="0" xr:uid="{00000000-0006-0000-0500-00004F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B202" authorId="0" shapeId="0" xr:uid="{00000000-0006-0000-0500-000050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E202" authorId="0" shapeId="0" xr:uid="{00000000-0006-0000-0500-000051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F202" authorId="0" shapeId="0" xr:uid="{00000000-0006-0000-0500-000052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H202" authorId="0" shapeId="0" xr:uid="{00000000-0006-0000-0500-000053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I202" authorId="0" shapeId="0" xr:uid="{00000000-0006-0000-0500-000054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L202" authorId="0" shapeId="0" xr:uid="{00000000-0006-0000-0500-000055000000}">
      <text>
        <r>
          <rPr>
            <b/>
            <sz val="9"/>
            <color indexed="81"/>
            <rFont val="Tahoma"/>
            <family val="2"/>
          </rPr>
          <t>Pete Kairis:</t>
        </r>
        <r>
          <rPr>
            <sz val="9"/>
            <color indexed="81"/>
            <rFont val="Tahoma"/>
            <family val="2"/>
          </rPr>
          <t xml:space="preserve">
Using H/W, and kelt/prespawn splits from 2017TreatyCommercialCatch spreadsheet, calculated independently for Swin, SSIT, and USIT (including their estimated release mortalities). </t>
        </r>
      </text>
    </comment>
    <comment ref="X203" authorId="0" shapeId="0" xr:uid="{00000000-0006-0000-0500-000056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Y203" authorId="0" shapeId="0" xr:uid="{00000000-0006-0000-0500-000057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A203" authorId="0" shapeId="0" xr:uid="{00000000-0006-0000-0500-000058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B203" authorId="0" shapeId="0" xr:uid="{00000000-0006-0000-0500-000059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E203" authorId="0" shapeId="0" xr:uid="{00000000-0006-0000-0500-00005A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F203" authorId="0" shapeId="0" xr:uid="{00000000-0006-0000-0500-00005B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H203" authorId="0" shapeId="0" xr:uid="{00000000-0006-0000-0500-00005C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I203" authorId="0" shapeId="0" xr:uid="{00000000-0006-0000-0500-00005D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X210" authorId="0" shapeId="0" xr:uid="{00000000-0006-0000-0500-00005E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Y210" authorId="0" shapeId="0" xr:uid="{00000000-0006-0000-0500-00005F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A210" authorId="0" shapeId="0" xr:uid="{00000000-0006-0000-0500-000060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B210" authorId="0" shapeId="0" xr:uid="{00000000-0006-0000-0500-000061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BQ252" authorId="0" shapeId="0" xr:uid="{C4429354-3FC2-4C00-B25B-16FAA2A4B3A9}">
      <text>
        <r>
          <rPr>
            <b/>
            <sz val="9"/>
            <color indexed="81"/>
            <rFont val="Tahoma"/>
            <family val="2"/>
          </rPr>
          <t>Pete Kairis:</t>
        </r>
        <r>
          <rPr>
            <sz val="9"/>
            <color indexed="81"/>
            <rFont val="Tahoma"/>
            <family val="2"/>
          </rPr>
          <t xml:space="preserve">
Unknown status, so marking as W Prespawn</t>
        </r>
      </text>
    </comment>
    <comment ref="AK260" authorId="0" shapeId="0" xr:uid="{00000000-0006-0000-0500-000062000000}">
      <text>
        <r>
          <rPr>
            <b/>
            <sz val="9"/>
            <color indexed="81"/>
            <rFont val="Tahoma"/>
            <family val="2"/>
          </rPr>
          <t>Pete Kairis:</t>
        </r>
        <r>
          <rPr>
            <sz val="9"/>
            <color indexed="81"/>
            <rFont val="Tahoma"/>
            <family val="2"/>
          </rPr>
          <t xml:space="preserve">
Encounters
</t>
        </r>
      </text>
    </comment>
    <comment ref="AN260" authorId="0" shapeId="0" xr:uid="{00000000-0006-0000-0500-000063000000}">
      <text>
        <r>
          <rPr>
            <b/>
            <sz val="9"/>
            <color indexed="81"/>
            <rFont val="Tahoma"/>
            <family val="2"/>
          </rPr>
          <t>Pete Kairis:</t>
        </r>
        <r>
          <rPr>
            <sz val="9"/>
            <color indexed="81"/>
            <rFont val="Tahoma"/>
            <family val="2"/>
          </rPr>
          <t xml:space="preserve">
Encounters
</t>
        </r>
      </text>
    </comment>
    <comment ref="AQ260" authorId="0" shapeId="0" xr:uid="{00000000-0006-0000-0500-000064000000}">
      <text>
        <r>
          <rPr>
            <b/>
            <sz val="9"/>
            <color indexed="81"/>
            <rFont val="Tahoma"/>
            <family val="2"/>
          </rPr>
          <t>Pete Kairis:</t>
        </r>
        <r>
          <rPr>
            <sz val="9"/>
            <color indexed="81"/>
            <rFont val="Tahoma"/>
            <family val="2"/>
          </rPr>
          <t xml:space="preserve">
Encounters
</t>
        </r>
      </text>
    </comment>
    <comment ref="W261" authorId="0" shapeId="0" xr:uid="{00000000-0006-0000-0500-000065000000}">
      <text>
        <r>
          <rPr>
            <b/>
            <sz val="9"/>
            <color indexed="81"/>
            <rFont val="Tahoma"/>
            <family val="2"/>
          </rPr>
          <t>Pete Kairis:</t>
        </r>
        <r>
          <rPr>
            <sz val="9"/>
            <color indexed="81"/>
            <rFont val="Tahoma"/>
            <family val="2"/>
          </rPr>
          <t xml:space="preserve">
Encounters</t>
        </r>
      </text>
    </comment>
    <comment ref="X261" authorId="0" shapeId="0" xr:uid="{00000000-0006-0000-0500-000066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These are total encounters, not mortalities, for HR model.</t>
        </r>
      </text>
    </comment>
    <comment ref="Y261" authorId="0" shapeId="0" xr:uid="{00000000-0006-0000-0500-000067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These are total encounters, not mortalities, for HR model.</t>
        </r>
      </text>
    </comment>
    <comment ref="AA261" authorId="0" shapeId="0" xr:uid="{00000000-0006-0000-0500-000068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These are total encounters, not mortalities, for HR model.</t>
        </r>
      </text>
    </comment>
    <comment ref="AB261" authorId="0" shapeId="0" xr:uid="{00000000-0006-0000-0500-000069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These are total encounters, not mortalities, for HR model.</t>
        </r>
      </text>
    </comment>
    <comment ref="AD261" authorId="0" shapeId="0" xr:uid="{00000000-0006-0000-0500-00006A000000}">
      <text>
        <r>
          <rPr>
            <b/>
            <sz val="9"/>
            <color indexed="81"/>
            <rFont val="Tahoma"/>
            <family val="2"/>
          </rPr>
          <t>Pete Kairis:</t>
        </r>
        <r>
          <rPr>
            <sz val="9"/>
            <color indexed="81"/>
            <rFont val="Tahoma"/>
            <family val="2"/>
          </rPr>
          <t xml:space="preserve">
Encounters
</t>
        </r>
      </text>
    </comment>
    <comment ref="AH261" authorId="0" shapeId="0" xr:uid="{00000000-0006-0000-0500-00006B000000}">
      <text>
        <r>
          <rPr>
            <b/>
            <sz val="9"/>
            <color indexed="81"/>
            <rFont val="Tahoma"/>
            <family val="2"/>
          </rPr>
          <t>Pete Kairis:</t>
        </r>
        <r>
          <rPr>
            <sz val="9"/>
            <color indexed="81"/>
            <rFont val="Tahoma"/>
            <family val="2"/>
          </rPr>
          <t xml:space="preserve">
Encounters</t>
        </r>
      </text>
    </comment>
    <comment ref="AI261" authorId="0" shapeId="0" xr:uid="{00000000-0006-0000-0500-00006C000000}">
      <text>
        <r>
          <rPr>
            <b/>
            <sz val="9"/>
            <color indexed="81"/>
            <rFont val="Tahoma"/>
            <family val="2"/>
          </rPr>
          <t>Pete Kairis:</t>
        </r>
        <r>
          <rPr>
            <sz val="9"/>
            <color indexed="81"/>
            <rFont val="Tahoma"/>
            <family val="2"/>
          </rPr>
          <t xml:space="preserve">
Encounters</t>
        </r>
      </text>
    </comment>
    <comment ref="AK261" authorId="0" shapeId="0" xr:uid="{00000000-0006-0000-0500-00006D000000}">
      <text>
        <r>
          <rPr>
            <b/>
            <sz val="9"/>
            <color indexed="81"/>
            <rFont val="Tahoma"/>
            <family val="2"/>
          </rPr>
          <t>Pete Kairis:</t>
        </r>
        <r>
          <rPr>
            <sz val="9"/>
            <color indexed="81"/>
            <rFont val="Tahoma"/>
            <family val="2"/>
          </rPr>
          <t xml:space="preserve">
Encounters
</t>
        </r>
      </text>
    </comment>
    <comment ref="AN261" authorId="0" shapeId="0" xr:uid="{00000000-0006-0000-0500-00006E000000}">
      <text>
        <r>
          <rPr>
            <b/>
            <sz val="9"/>
            <color indexed="81"/>
            <rFont val="Tahoma"/>
            <family val="2"/>
          </rPr>
          <t>Pete Kairis:</t>
        </r>
        <r>
          <rPr>
            <sz val="9"/>
            <color indexed="81"/>
            <rFont val="Tahoma"/>
            <family val="2"/>
          </rPr>
          <t xml:space="preserve">
Encounters
</t>
        </r>
      </text>
    </comment>
    <comment ref="AQ261" authorId="0" shapeId="0" xr:uid="{00000000-0006-0000-0500-00006F000000}">
      <text>
        <r>
          <rPr>
            <b/>
            <sz val="9"/>
            <color indexed="81"/>
            <rFont val="Tahoma"/>
            <family val="2"/>
          </rPr>
          <t>Pete Kairis:</t>
        </r>
        <r>
          <rPr>
            <sz val="9"/>
            <color indexed="81"/>
            <rFont val="Tahoma"/>
            <family val="2"/>
          </rPr>
          <t xml:space="preserve">
Encounters
</t>
        </r>
      </text>
    </comment>
    <comment ref="W262" authorId="0" shapeId="0" xr:uid="{00000000-0006-0000-0500-000070000000}">
      <text>
        <r>
          <rPr>
            <b/>
            <sz val="9"/>
            <color indexed="81"/>
            <rFont val="Tahoma"/>
            <family val="2"/>
          </rPr>
          <t>Pete Kairis:</t>
        </r>
        <r>
          <rPr>
            <sz val="9"/>
            <color indexed="81"/>
            <rFont val="Tahoma"/>
            <family val="2"/>
          </rPr>
          <t xml:space="preserve">
Encounters</t>
        </r>
      </text>
    </comment>
    <comment ref="X262" authorId="0" shapeId="0" xr:uid="{00000000-0006-0000-0500-000071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These are total encounters, not mortalities, for HR model.</t>
        </r>
      </text>
    </comment>
    <comment ref="Y262" authorId="0" shapeId="0" xr:uid="{00000000-0006-0000-0500-000072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These are total encounters, not mortalities, for HR model.</t>
        </r>
      </text>
    </comment>
    <comment ref="AA262" authorId="0" shapeId="0" xr:uid="{00000000-0006-0000-0500-000073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These are total encounters, not mortalities, for HR model.</t>
        </r>
      </text>
    </comment>
    <comment ref="AB262" authorId="0" shapeId="0" xr:uid="{00000000-0006-0000-0500-000074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These are total encounters, not mortalities, for HR model.</t>
        </r>
      </text>
    </comment>
    <comment ref="AD262" authorId="0" shapeId="0" xr:uid="{00000000-0006-0000-0500-000075000000}">
      <text>
        <r>
          <rPr>
            <b/>
            <sz val="9"/>
            <color indexed="81"/>
            <rFont val="Tahoma"/>
            <family val="2"/>
          </rPr>
          <t>Pete Kairis:</t>
        </r>
        <r>
          <rPr>
            <sz val="9"/>
            <color indexed="81"/>
            <rFont val="Tahoma"/>
            <family val="2"/>
          </rPr>
          <t xml:space="preserve">
Encounters
</t>
        </r>
      </text>
    </comment>
    <comment ref="AH262" authorId="0" shapeId="0" xr:uid="{00000000-0006-0000-0500-000076000000}">
      <text>
        <r>
          <rPr>
            <b/>
            <sz val="9"/>
            <color indexed="81"/>
            <rFont val="Tahoma"/>
            <family val="2"/>
          </rPr>
          <t>Pete Kairis:</t>
        </r>
        <r>
          <rPr>
            <sz val="9"/>
            <color indexed="81"/>
            <rFont val="Tahoma"/>
            <family val="2"/>
          </rPr>
          <t xml:space="preserve">
Encounters</t>
        </r>
      </text>
    </comment>
    <comment ref="AI262" authorId="0" shapeId="0" xr:uid="{00000000-0006-0000-0500-000077000000}">
      <text>
        <r>
          <rPr>
            <b/>
            <sz val="9"/>
            <color indexed="81"/>
            <rFont val="Tahoma"/>
            <family val="2"/>
          </rPr>
          <t>Pete Kairis:</t>
        </r>
        <r>
          <rPr>
            <sz val="9"/>
            <color indexed="81"/>
            <rFont val="Tahoma"/>
            <family val="2"/>
          </rPr>
          <t xml:space="preserve">
Encounters</t>
        </r>
      </text>
    </comment>
    <comment ref="W268" authorId="0" shapeId="0" xr:uid="{00000000-0006-0000-0500-000078000000}">
      <text>
        <r>
          <rPr>
            <b/>
            <sz val="9"/>
            <color indexed="81"/>
            <rFont val="Tahoma"/>
            <family val="2"/>
          </rPr>
          <t>Pete Kairis:</t>
        </r>
        <r>
          <rPr>
            <sz val="9"/>
            <color indexed="81"/>
            <rFont val="Tahoma"/>
            <family val="2"/>
          </rPr>
          <t xml:space="preserve">
Encounters</t>
        </r>
      </text>
    </comment>
    <comment ref="X268" authorId="0" shapeId="0" xr:uid="{00000000-0006-0000-0500-000079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These are total encounters, not mortalities, for HR model.</t>
        </r>
      </text>
    </comment>
    <comment ref="Y268" authorId="0" shapeId="0" xr:uid="{00000000-0006-0000-0500-00007A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These are total encounters, not mortalities, for HR model.</t>
        </r>
      </text>
    </comment>
    <comment ref="AA268" authorId="0" shapeId="0" xr:uid="{00000000-0006-0000-0500-00007B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These are total encounters, not mortalities, for HR model.</t>
        </r>
      </text>
    </comment>
    <comment ref="AB268" authorId="0" shapeId="0" xr:uid="{00000000-0006-0000-0500-00007C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These are total encounters, not mortalities, for HR model.</t>
        </r>
      </text>
    </comment>
    <comment ref="BJ280" authorId="0" shapeId="0" xr:uid="{F7DD96A0-0161-4576-BFA4-811543E5FFC2}">
      <text>
        <r>
          <rPr>
            <b/>
            <sz val="9"/>
            <color indexed="81"/>
            <rFont val="Tahoma"/>
            <family val="2"/>
          </rPr>
          <t>Pete Kairis:</t>
        </r>
        <r>
          <rPr>
            <sz val="9"/>
            <color indexed="81"/>
            <rFont val="Tahoma"/>
            <family val="2"/>
          </rPr>
          <t xml:space="preserve">
Unknown status, so marking wild prespawn</t>
        </r>
      </text>
    </comment>
    <comment ref="BJ282" authorId="0" shapeId="0" xr:uid="{A97FBF4A-6905-4F62-9B49-D31F82B54DDB}">
      <text>
        <r>
          <rPr>
            <b/>
            <sz val="9"/>
            <color indexed="81"/>
            <rFont val="Tahoma"/>
            <family val="2"/>
          </rPr>
          <t>Pete Kairis:</t>
        </r>
        <r>
          <rPr>
            <sz val="9"/>
            <color indexed="81"/>
            <rFont val="Tahoma"/>
            <family val="2"/>
          </rPr>
          <t xml:space="preserve">
Unknown status, so marking wild prespawn</t>
        </r>
      </text>
    </comment>
    <comment ref="BJ283" authorId="0" shapeId="0" xr:uid="{33220E9A-B867-45DD-94BE-0770191D1C23}">
      <text>
        <r>
          <rPr>
            <b/>
            <sz val="9"/>
            <color indexed="81"/>
            <rFont val="Tahoma"/>
            <family val="2"/>
          </rPr>
          <t>Pete Kairis:</t>
        </r>
        <r>
          <rPr>
            <sz val="9"/>
            <color indexed="81"/>
            <rFont val="Tahoma"/>
            <family val="2"/>
          </rPr>
          <t xml:space="preserve">
Unknown status, so marking wild prespawn</t>
        </r>
      </text>
    </comment>
    <comment ref="AK319" authorId="0" shapeId="0" xr:uid="{31F1AB93-A0CE-474A-8D46-2566544F949E}">
      <text>
        <r>
          <rPr>
            <b/>
            <sz val="9"/>
            <color indexed="81"/>
            <rFont val="Tahoma"/>
            <family val="2"/>
          </rPr>
          <t>Pete Kairis:</t>
        </r>
        <r>
          <rPr>
            <sz val="9"/>
            <color indexed="81"/>
            <rFont val="Tahoma"/>
            <family val="2"/>
          </rPr>
          <t xml:space="preserve">
Encounters
</t>
        </r>
      </text>
    </comment>
    <comment ref="AN319" authorId="0" shapeId="0" xr:uid="{B8B41997-DD13-4EE5-9F58-D5B79A1C7A4F}">
      <text>
        <r>
          <rPr>
            <b/>
            <sz val="9"/>
            <color indexed="81"/>
            <rFont val="Tahoma"/>
            <family val="2"/>
          </rPr>
          <t>Pete Kairis:</t>
        </r>
        <r>
          <rPr>
            <sz val="9"/>
            <color indexed="81"/>
            <rFont val="Tahoma"/>
            <family val="2"/>
          </rPr>
          <t xml:space="preserve">
Encounters
</t>
        </r>
      </text>
    </comment>
    <comment ref="AQ319" authorId="0" shapeId="0" xr:uid="{F4B5B9E8-A9EA-4731-AB7B-AE6103FAF9E5}">
      <text>
        <r>
          <rPr>
            <b/>
            <sz val="9"/>
            <color indexed="81"/>
            <rFont val="Tahoma"/>
            <family val="2"/>
          </rPr>
          <t>Pete Kairis:</t>
        </r>
        <r>
          <rPr>
            <sz val="9"/>
            <color indexed="81"/>
            <rFont val="Tahoma"/>
            <family val="2"/>
          </rPr>
          <t xml:space="preserve">
Encounters
</t>
        </r>
      </text>
    </comment>
    <comment ref="W320" authorId="0" shapeId="0" xr:uid="{2ED8D8C2-A06E-4262-8A93-BF4B21B9C6A8}">
      <text>
        <r>
          <rPr>
            <b/>
            <sz val="9"/>
            <color indexed="81"/>
            <rFont val="Tahoma"/>
            <family val="2"/>
          </rPr>
          <t>Pete Kairis:</t>
        </r>
        <r>
          <rPr>
            <sz val="9"/>
            <color indexed="81"/>
            <rFont val="Tahoma"/>
            <family val="2"/>
          </rPr>
          <t xml:space="preserve">
Encounters</t>
        </r>
      </text>
    </comment>
    <comment ref="X320" authorId="0" shapeId="0" xr:uid="{404E9279-D50C-4AE0-8A13-308AD0082327}">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These are total encounters, not mortalities, for HR model.</t>
        </r>
      </text>
    </comment>
    <comment ref="Y320" authorId="0" shapeId="0" xr:uid="{ABB2109D-D1F6-4F6E-A296-BEFE481EFC5F}">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These are total encounters, not mortalities, for HR model.</t>
        </r>
      </text>
    </comment>
    <comment ref="AA320" authorId="0" shapeId="0" xr:uid="{FEAC225C-245F-4DC9-9337-69EF11C9AC0C}">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These are total encounters, not mortalities, for HR model.</t>
        </r>
      </text>
    </comment>
    <comment ref="AB320" authorId="0" shapeId="0" xr:uid="{F9046902-F54D-42EC-9E08-87A262266CE1}">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These are total encounters, not mortalities, for HR model.</t>
        </r>
      </text>
    </comment>
    <comment ref="AD320" authorId="0" shapeId="0" xr:uid="{00C14452-A122-4C6C-91D8-672173F05D09}">
      <text>
        <r>
          <rPr>
            <b/>
            <sz val="9"/>
            <color indexed="81"/>
            <rFont val="Tahoma"/>
            <family val="2"/>
          </rPr>
          <t>Pete Kairis:</t>
        </r>
        <r>
          <rPr>
            <sz val="9"/>
            <color indexed="81"/>
            <rFont val="Tahoma"/>
            <family val="2"/>
          </rPr>
          <t xml:space="preserve">
Encounters
</t>
        </r>
      </text>
    </comment>
    <comment ref="AH320" authorId="0" shapeId="0" xr:uid="{1F258CB7-513C-4EDD-AD9B-1F95DE9F3F21}">
      <text>
        <r>
          <rPr>
            <b/>
            <sz val="9"/>
            <color indexed="81"/>
            <rFont val="Tahoma"/>
            <family val="2"/>
          </rPr>
          <t>Pete Kairis:</t>
        </r>
        <r>
          <rPr>
            <sz val="9"/>
            <color indexed="81"/>
            <rFont val="Tahoma"/>
            <family val="2"/>
          </rPr>
          <t xml:space="preserve">
Encounters</t>
        </r>
      </text>
    </comment>
    <comment ref="AI320" authorId="0" shapeId="0" xr:uid="{0CB83BDA-F92E-4D66-B715-DD93C9EB87D0}">
      <text>
        <r>
          <rPr>
            <b/>
            <sz val="9"/>
            <color indexed="81"/>
            <rFont val="Tahoma"/>
            <family val="2"/>
          </rPr>
          <t>Pete Kairis:</t>
        </r>
        <r>
          <rPr>
            <sz val="9"/>
            <color indexed="81"/>
            <rFont val="Tahoma"/>
            <family val="2"/>
          </rPr>
          <t xml:space="preserve">
Encounters</t>
        </r>
      </text>
    </comment>
    <comment ref="AK320" authorId="0" shapeId="0" xr:uid="{B6C0398A-7777-48E1-AEAD-C2AAF207D3DD}">
      <text>
        <r>
          <rPr>
            <b/>
            <sz val="9"/>
            <color indexed="81"/>
            <rFont val="Tahoma"/>
            <family val="2"/>
          </rPr>
          <t>Pete Kairis:</t>
        </r>
        <r>
          <rPr>
            <sz val="9"/>
            <color indexed="81"/>
            <rFont val="Tahoma"/>
            <family val="2"/>
          </rPr>
          <t xml:space="preserve">
Encounters
</t>
        </r>
      </text>
    </comment>
    <comment ref="AN320" authorId="0" shapeId="0" xr:uid="{19E47486-AEEB-41E9-928B-916B9EC6AECF}">
      <text>
        <r>
          <rPr>
            <b/>
            <sz val="9"/>
            <color indexed="81"/>
            <rFont val="Tahoma"/>
            <family val="2"/>
          </rPr>
          <t>Pete Kairis:</t>
        </r>
        <r>
          <rPr>
            <sz val="9"/>
            <color indexed="81"/>
            <rFont val="Tahoma"/>
            <family val="2"/>
          </rPr>
          <t xml:space="preserve">
Encounters
</t>
        </r>
      </text>
    </comment>
    <comment ref="AQ320" authorId="0" shapeId="0" xr:uid="{5F73DE47-6470-43E1-85ED-41EE693661D1}">
      <text>
        <r>
          <rPr>
            <b/>
            <sz val="9"/>
            <color indexed="81"/>
            <rFont val="Tahoma"/>
            <family val="2"/>
          </rPr>
          <t>Pete Kairis:</t>
        </r>
        <r>
          <rPr>
            <sz val="9"/>
            <color indexed="81"/>
            <rFont val="Tahoma"/>
            <family val="2"/>
          </rPr>
          <t xml:space="preserve">
Encounters
</t>
        </r>
      </text>
    </comment>
    <comment ref="W321" authorId="0" shapeId="0" xr:uid="{42C2D0F1-4CFB-462E-9D1B-F4A2BDFAEE4A}">
      <text>
        <r>
          <rPr>
            <b/>
            <sz val="9"/>
            <color indexed="81"/>
            <rFont val="Tahoma"/>
            <family val="2"/>
          </rPr>
          <t>Pete Kairis:</t>
        </r>
        <r>
          <rPr>
            <sz val="9"/>
            <color indexed="81"/>
            <rFont val="Tahoma"/>
            <family val="2"/>
          </rPr>
          <t xml:space="preserve">
Encounters</t>
        </r>
      </text>
    </comment>
    <comment ref="X321" authorId="0" shapeId="0" xr:uid="{EFA7E921-56B2-4B36-8E43-189A47D362E8}">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These are total encounters, not mortalities, for HR model.</t>
        </r>
      </text>
    </comment>
    <comment ref="Y321" authorId="0" shapeId="0" xr:uid="{6C3D7D99-08EF-4227-B8DA-AF99612D692D}">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These are total encounters, not mortalities, for HR model.</t>
        </r>
      </text>
    </comment>
    <comment ref="AA321" authorId="0" shapeId="0" xr:uid="{E1AA1E34-C9AF-4537-9369-6E6D975C0B63}">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These are total encounters, not mortalities, for HR model.</t>
        </r>
      </text>
    </comment>
    <comment ref="AB321" authorId="0" shapeId="0" xr:uid="{32B02713-2D94-4C1E-8C01-B463563810A2}">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These are total encounters, not mortalities, for HR model.</t>
        </r>
      </text>
    </comment>
    <comment ref="AD321" authorId="0" shapeId="0" xr:uid="{3063F371-86D9-48E9-AA2D-97A08EAE2794}">
      <text>
        <r>
          <rPr>
            <b/>
            <sz val="9"/>
            <color indexed="81"/>
            <rFont val="Tahoma"/>
            <family val="2"/>
          </rPr>
          <t>Pete Kairis:</t>
        </r>
        <r>
          <rPr>
            <sz val="9"/>
            <color indexed="81"/>
            <rFont val="Tahoma"/>
            <family val="2"/>
          </rPr>
          <t xml:space="preserve">
Encounters
</t>
        </r>
      </text>
    </comment>
    <comment ref="AH321" authorId="0" shapeId="0" xr:uid="{4998E27A-58CA-4128-BC73-C9758812E747}">
      <text>
        <r>
          <rPr>
            <b/>
            <sz val="9"/>
            <color indexed="81"/>
            <rFont val="Tahoma"/>
            <family val="2"/>
          </rPr>
          <t>Pete Kairis:</t>
        </r>
        <r>
          <rPr>
            <sz val="9"/>
            <color indexed="81"/>
            <rFont val="Tahoma"/>
            <family val="2"/>
          </rPr>
          <t xml:space="preserve">
Encounters</t>
        </r>
      </text>
    </comment>
    <comment ref="AI321" authorId="0" shapeId="0" xr:uid="{BAA555A5-7E18-4E8E-B546-BBFFD2DEE5D5}">
      <text>
        <r>
          <rPr>
            <b/>
            <sz val="9"/>
            <color indexed="81"/>
            <rFont val="Tahoma"/>
            <family val="2"/>
          </rPr>
          <t>Pete Kairis:</t>
        </r>
        <r>
          <rPr>
            <sz val="9"/>
            <color indexed="81"/>
            <rFont val="Tahoma"/>
            <family val="2"/>
          </rPr>
          <t xml:space="preserve">
Encounters</t>
        </r>
      </text>
    </comment>
    <comment ref="W327" authorId="0" shapeId="0" xr:uid="{922CA1A0-E9D1-43EE-9654-FB936F7247C2}">
      <text>
        <r>
          <rPr>
            <b/>
            <sz val="9"/>
            <color indexed="81"/>
            <rFont val="Tahoma"/>
            <family val="2"/>
          </rPr>
          <t>Pete Kairis:</t>
        </r>
        <r>
          <rPr>
            <sz val="9"/>
            <color indexed="81"/>
            <rFont val="Tahoma"/>
            <family val="2"/>
          </rPr>
          <t xml:space="preserve">
Encounters</t>
        </r>
      </text>
    </comment>
    <comment ref="X327" authorId="0" shapeId="0" xr:uid="{C02ED892-B355-4F09-AE5D-3F7DA87A6EBE}">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These are total encounters, not mortalities, for HR model.</t>
        </r>
      </text>
    </comment>
    <comment ref="Y327" authorId="0" shapeId="0" xr:uid="{68DE7C22-C91A-4CB5-84BD-DF4D15FE2E07}">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These are total encounters, not mortalities, for HR model.</t>
        </r>
      </text>
    </comment>
    <comment ref="AA327" authorId="0" shapeId="0" xr:uid="{8D6DF09C-027C-4568-8092-3A4E0936883D}">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These are total encounters, not mortalities, for HR model.</t>
        </r>
      </text>
    </comment>
    <comment ref="AB327" authorId="0" shapeId="0" xr:uid="{4A833878-88BF-4AC6-82DF-B29F24A90479}">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These are total encounters, not mortalities, for HR model.</t>
        </r>
      </text>
    </comment>
    <comment ref="O357" authorId="0" shapeId="0" xr:uid="{D0A1D6BA-B8E8-40BE-A994-BFFCE2FE5D57}">
      <text>
        <r>
          <rPr>
            <b/>
            <sz val="9"/>
            <color indexed="81"/>
            <rFont val="Tahoma"/>
            <family val="2"/>
          </rPr>
          <t>Pete Kairis:</t>
        </r>
        <r>
          <rPr>
            <sz val="9"/>
            <color indexed="81"/>
            <rFont val="Tahoma"/>
            <family val="2"/>
          </rPr>
          <t xml:space="preserve">
May not match because C&amp;S is NOT included in the totals on this tab, but it is included in the TreatyCatch tab.</t>
        </r>
      </text>
    </comment>
    <comment ref="V357" authorId="0" shapeId="0" xr:uid="{03FB1E8E-0B9A-4584-9A8F-0F2CA3F40392}">
      <text>
        <r>
          <rPr>
            <b/>
            <sz val="9"/>
            <color indexed="81"/>
            <rFont val="Tahoma"/>
            <family val="2"/>
          </rPr>
          <t>Pete Kairis:</t>
        </r>
        <r>
          <rPr>
            <sz val="9"/>
            <color indexed="81"/>
            <rFont val="Tahoma"/>
            <family val="2"/>
          </rPr>
          <t xml:space="preserve">
May not match because C&amp;S is NOT included in the totals on this tab, but it is included in the TreatyCatch tab.</t>
        </r>
      </text>
    </comment>
    <comment ref="AC357" authorId="0" shapeId="0" xr:uid="{C903C5E8-0B34-493C-9FAD-CACE49FC765A}">
      <text>
        <r>
          <rPr>
            <b/>
            <sz val="9"/>
            <color indexed="81"/>
            <rFont val="Tahoma"/>
            <family val="2"/>
          </rPr>
          <t>Pete Kairis:</t>
        </r>
        <r>
          <rPr>
            <sz val="9"/>
            <color indexed="81"/>
            <rFont val="Tahoma"/>
            <family val="2"/>
          </rPr>
          <t xml:space="preserve">
May not match because C&amp;S is NOT included in the totals on this tab, but it is included in the TreatyCatch tab.</t>
        </r>
      </text>
    </comment>
    <comment ref="AX357" authorId="0" shapeId="0" xr:uid="{0A99FF17-C7FB-48B9-83C6-AB8331D7EADF}">
      <text>
        <r>
          <rPr>
            <b/>
            <sz val="9"/>
            <color indexed="81"/>
            <rFont val="Tahoma"/>
            <family val="2"/>
          </rPr>
          <t>Pete Kairis:</t>
        </r>
        <r>
          <rPr>
            <sz val="9"/>
            <color indexed="81"/>
            <rFont val="Tahoma"/>
            <family val="2"/>
          </rPr>
          <t xml:space="preserve">
May not match because C&amp;S is NOT included in the totals on this tab, but it is included in the TreatyCatch tab.</t>
        </r>
      </text>
    </comment>
    <comment ref="BE357" authorId="0" shapeId="0" xr:uid="{7C841F7F-AA19-4D9D-8ABA-4C1228C02E83}">
      <text>
        <r>
          <rPr>
            <b/>
            <sz val="9"/>
            <color indexed="81"/>
            <rFont val="Tahoma"/>
            <family val="2"/>
          </rPr>
          <t>Pete Kairis:</t>
        </r>
        <r>
          <rPr>
            <sz val="9"/>
            <color indexed="81"/>
            <rFont val="Tahoma"/>
            <family val="2"/>
          </rPr>
          <t xml:space="preserve">
May not match because C&amp;S is NOT included in the totals on this tab, but it is included in the TreatyCatch tab.</t>
        </r>
      </text>
    </comment>
    <comment ref="BL357" authorId="0" shapeId="0" xr:uid="{706FB600-C56F-492D-82B9-F23B2D2F22E6}">
      <text>
        <r>
          <rPr>
            <b/>
            <sz val="9"/>
            <color indexed="81"/>
            <rFont val="Tahoma"/>
            <family val="2"/>
          </rPr>
          <t>Pete Kairis:</t>
        </r>
        <r>
          <rPr>
            <sz val="9"/>
            <color indexed="81"/>
            <rFont val="Tahoma"/>
            <family val="2"/>
          </rPr>
          <t xml:space="preserve">
May not match because C&amp;S is NOT included in the totals on this tab, but it is included in the TreatyCatch tab.</t>
        </r>
      </text>
    </comment>
    <comment ref="BS357" authorId="0" shapeId="0" xr:uid="{DEF33A37-5129-4266-B9AC-BB59B0D97245}">
      <text>
        <r>
          <rPr>
            <b/>
            <sz val="9"/>
            <color indexed="81"/>
            <rFont val="Tahoma"/>
            <family val="2"/>
          </rPr>
          <t>Pete Kairis:</t>
        </r>
        <r>
          <rPr>
            <sz val="9"/>
            <color indexed="81"/>
            <rFont val="Tahoma"/>
            <family val="2"/>
          </rPr>
          <t xml:space="preserve">
May not match because C&amp;S is NOT included in the totals on this tab, but it is included in the TreatyCatch tab.</t>
        </r>
      </text>
    </comment>
    <comment ref="BZ357" authorId="0" shapeId="0" xr:uid="{237E0095-BB1F-440C-AD1D-690190911712}">
      <text>
        <r>
          <rPr>
            <b/>
            <sz val="9"/>
            <color indexed="81"/>
            <rFont val="Tahoma"/>
            <family val="2"/>
          </rPr>
          <t>Pete Kairis:</t>
        </r>
        <r>
          <rPr>
            <sz val="9"/>
            <color indexed="81"/>
            <rFont val="Tahoma"/>
            <family val="2"/>
          </rPr>
          <t xml:space="preserve">
May not match because C&amp;S is NOT included in the totals on this tab, but it is included in the TreatyCatch tab.</t>
        </r>
      </text>
    </comment>
    <comment ref="CG357" authorId="0" shapeId="0" xr:uid="{C4D0B8EB-BDDA-4D5E-A6C0-F4F53C4B7ADB}">
      <text>
        <r>
          <rPr>
            <b/>
            <sz val="9"/>
            <color indexed="81"/>
            <rFont val="Tahoma"/>
            <family val="2"/>
          </rPr>
          <t>Pete Kairis:</t>
        </r>
        <r>
          <rPr>
            <sz val="9"/>
            <color indexed="81"/>
            <rFont val="Tahoma"/>
            <family val="2"/>
          </rPr>
          <t xml:space="preserve">
May not match because C&amp;S is NOT included in the totals on this tab, but it is included in the TreatyCatch tab.</t>
        </r>
      </text>
    </comment>
    <comment ref="CN357" authorId="0" shapeId="0" xr:uid="{062BD4D2-30F8-4C5E-9CE0-8D8FEC1529E3}">
      <text>
        <r>
          <rPr>
            <b/>
            <sz val="9"/>
            <color indexed="81"/>
            <rFont val="Tahoma"/>
            <family val="2"/>
          </rPr>
          <t>Pete Kairis:</t>
        </r>
        <r>
          <rPr>
            <sz val="9"/>
            <color indexed="81"/>
            <rFont val="Tahoma"/>
            <family val="2"/>
          </rPr>
          <t xml:space="preserve">
May not match because C&amp;S is NOT included in the totals on this tab, but it is included in the TreatyCatch tab.</t>
        </r>
      </text>
    </comment>
  </commentList>
</comments>
</file>

<file path=xl/sharedStrings.xml><?xml version="1.0" encoding="utf-8"?>
<sst xmlns="http://schemas.openxmlformats.org/spreadsheetml/2006/main" count="2505" uniqueCount="553">
  <si>
    <t>~May Release</t>
  </si>
  <si>
    <t>Hatchery</t>
  </si>
  <si>
    <t>Wild</t>
  </si>
  <si>
    <t>Baker, Cascade, Sauk, Siuattle harvest included</t>
  </si>
  <si>
    <t>Hatchery returns Dec and Jan; spawn mid-Jan</t>
  </si>
  <si>
    <t>Wild peak returns Mar and Apr for system</t>
  </si>
  <si>
    <t>Range: L. Oct - L. May for components</t>
  </si>
  <si>
    <t>Wild peak spawn Apr and May for system</t>
  </si>
  <si>
    <t>Range: E. Mar - M. Jul for components</t>
  </si>
  <si>
    <t>Segregated hatchery programs</t>
  </si>
  <si>
    <t>1992 SaSSI status "Healthy"</t>
  </si>
  <si>
    <t>No surveys - high flows</t>
  </si>
  <si>
    <t>WSR</t>
  </si>
  <si>
    <t>2002 SaSI status Depressed</t>
  </si>
  <si>
    <t>Catch Record Card (CRC) reporting season change:</t>
  </si>
  <si>
    <t>Prior to 2000: 1 May to 30 April CRC year</t>
  </si>
  <si>
    <t>Year 2000: 1 May to 31 Mar CRC year</t>
  </si>
  <si>
    <t>2001 and on: 1 April to 31 March CRC year</t>
  </si>
  <si>
    <t>winter run</t>
  </si>
  <si>
    <t>summer run</t>
  </si>
  <si>
    <t>Return Year</t>
  </si>
  <si>
    <t>Smolt Release</t>
  </si>
  <si>
    <t>H</t>
  </si>
  <si>
    <t>W</t>
  </si>
  <si>
    <t>Non-Treaty Steelhead Sport Catch</t>
  </si>
  <si>
    <t>M = Marine and FW = Freshwater</t>
  </si>
  <si>
    <t>Average</t>
  </si>
  <si>
    <t>Marine is Area 8 (8.1 and 8.2)</t>
  </si>
  <si>
    <t>January-M</t>
  </si>
  <si>
    <t>January-FW</t>
  </si>
  <si>
    <t>February-M</t>
  </si>
  <si>
    <t>February-FW</t>
  </si>
  <si>
    <t>March-M</t>
  </si>
  <si>
    <t>March-FW</t>
  </si>
  <si>
    <t>April-M</t>
  </si>
  <si>
    <t>April-FW</t>
  </si>
  <si>
    <t>May-M</t>
  </si>
  <si>
    <t>May-FW</t>
  </si>
  <si>
    <t>June-M</t>
  </si>
  <si>
    <t>June-FW</t>
  </si>
  <si>
    <t>July-M</t>
  </si>
  <si>
    <t>July-FW</t>
  </si>
  <si>
    <t>August-M</t>
  </si>
  <si>
    <t>August-FW</t>
  </si>
  <si>
    <t>September-M</t>
  </si>
  <si>
    <t>September-FW</t>
  </si>
  <si>
    <t>October-M</t>
  </si>
  <si>
    <t>October-FW</t>
  </si>
  <si>
    <t>November-M</t>
  </si>
  <si>
    <t>November-FW</t>
  </si>
  <si>
    <t>December-M</t>
  </si>
  <si>
    <t>December-FW</t>
  </si>
  <si>
    <t>Total catch (H+W)</t>
  </si>
  <si>
    <t>1991-1992</t>
  </si>
  <si>
    <t>1992-1993</t>
  </si>
  <si>
    <t>1993-1994</t>
  </si>
  <si>
    <t>1994-1995</t>
  </si>
  <si>
    <t>1995-1996</t>
  </si>
  <si>
    <t>1996-1997</t>
  </si>
  <si>
    <t>1997-1998</t>
  </si>
  <si>
    <t>1998-1999</t>
  </si>
  <si>
    <t>1999-2000</t>
  </si>
  <si>
    <t>2000-2001</t>
  </si>
  <si>
    <t>2001-2002</t>
  </si>
  <si>
    <t>2002-2003</t>
  </si>
  <si>
    <t>2003-2004</t>
  </si>
  <si>
    <t>2004-2005</t>
  </si>
  <si>
    <t>2005-2006</t>
  </si>
  <si>
    <t>2006-2007</t>
  </si>
  <si>
    <t>2007-2008</t>
  </si>
  <si>
    <t>2008-2009</t>
  </si>
  <si>
    <t>2009-2010</t>
  </si>
  <si>
    <t>July 1-June 30</t>
  </si>
  <si>
    <t>Wild fish management season is July 1 through June 30</t>
  </si>
  <si>
    <t>May 1-October 31 (summer run) Hatchery</t>
  </si>
  <si>
    <t>Summer run Hatchery  management season</t>
  </si>
  <si>
    <t>November 1-April 30 (winter run) Hatchery</t>
  </si>
  <si>
    <t>Winter run management season--hatchery</t>
  </si>
  <si>
    <t>July 1-June 30 (single stock) wild stock</t>
  </si>
  <si>
    <t>Winter run management season--hatchery and wild</t>
  </si>
  <si>
    <t xml:space="preserve">for sport caught wild--year at end of management season is year they spawn </t>
  </si>
  <si>
    <t>July 1, 1992 mangement season start</t>
  </si>
  <si>
    <t xml:space="preserve">for sport caught wild--year at begining of management season is season start </t>
  </si>
  <si>
    <t>June 30, 1993 management season end and spawn year</t>
  </si>
  <si>
    <t>Open Days--(Commercial, take home, and C&amp;S) --stippled patterned cells are open days--all three Tribes combined.</t>
  </si>
  <si>
    <t xml:space="preserve">Majority of last hatchery summer releases in 1998 returned in 2000 </t>
  </si>
  <si>
    <t>No hatchery summer releases in return--last release in 1998 and majority return two years later</t>
  </si>
  <si>
    <t>MW</t>
  </si>
  <si>
    <t>Grand Total</t>
  </si>
  <si>
    <t>Scale Sample--(Commercial, test, take home, and C&amp;S) see file "SteelheadTimingCurve" for steelhead samples by week and year then H/W composition--purple colored cells are sample data.</t>
  </si>
  <si>
    <t>age data available</t>
  </si>
  <si>
    <t>Test, Commercial, take home, and C&amp;S samples</t>
  </si>
  <si>
    <t>Average H/W comp by Wk</t>
  </si>
  <si>
    <t>1985-2000 ave sampled</t>
  </si>
  <si>
    <t>H Samples</t>
  </si>
  <si>
    <t>W Samples</t>
  </si>
  <si>
    <t>H Proportions</t>
  </si>
  <si>
    <t>W Proportions</t>
  </si>
  <si>
    <t>Reflects Time Period after Summer-run Hatchery Program discontinued--</t>
  </si>
  <si>
    <t xml:space="preserve">last releases in 1998--May and summer run hatchery fish were </t>
  </si>
  <si>
    <t xml:space="preserve">predominately 2 ocean age fish </t>
  </si>
  <si>
    <t>1985-2000</t>
  </si>
  <si>
    <t>Commercial, takehome, and C&amp;S Catch</t>
  </si>
  <si>
    <t>Year Total</t>
  </si>
  <si>
    <t>During Summer-run hatchery releases</t>
  </si>
  <si>
    <t>Post summer-run hatchery releases</t>
  </si>
  <si>
    <t>TRR</t>
  </si>
  <si>
    <t>H summer</t>
  </si>
  <si>
    <t>H winter</t>
  </si>
  <si>
    <t>Sum&amp;Win</t>
  </si>
  <si>
    <t>July 1 is annual start of new management season--MW 27</t>
  </si>
  <si>
    <t>Season</t>
  </si>
  <si>
    <t>1984-1985</t>
  </si>
  <si>
    <t>1985-1986</t>
  </si>
  <si>
    <t>1986-1987</t>
  </si>
  <si>
    <t>1987-1988</t>
  </si>
  <si>
    <t>1988-1989</t>
  </si>
  <si>
    <t>1989-1990</t>
  </si>
  <si>
    <t>1990-1991</t>
  </si>
  <si>
    <t>2010-2011</t>
  </si>
  <si>
    <t>2011-2012</t>
  </si>
  <si>
    <t>2012-2013</t>
  </si>
  <si>
    <t>2013-2014</t>
  </si>
  <si>
    <t>2014-2015</t>
  </si>
  <si>
    <t>2015-2016</t>
  </si>
  <si>
    <t>2016-2017</t>
  </si>
  <si>
    <t>2017-2018</t>
  </si>
  <si>
    <t>2018-2019</t>
  </si>
  <si>
    <t>2019-2020</t>
  </si>
  <si>
    <t>Calendar Total</t>
  </si>
  <si>
    <t>sum</t>
  </si>
  <si>
    <t>Calendar Calc'd Total</t>
  </si>
  <si>
    <t>Calendar Observed Catch</t>
  </si>
  <si>
    <t>May 1 (Wk 18)-October 31 (Wk 44) (summer run) Hatchery</t>
  </si>
  <si>
    <t>November 1 (Wk 45)-April 30 (Wk 17) (winter run) Hatchery</t>
  </si>
  <si>
    <t>1983-1984</t>
  </si>
  <si>
    <t>July 1 (Wk 27)-June 30 (Wk 26) (single stock) wild stock</t>
  </si>
  <si>
    <t xml:space="preserve">Summer run </t>
  </si>
  <si>
    <t>1 May-31 Oct</t>
  </si>
  <si>
    <t>Winter run</t>
  </si>
  <si>
    <t>one stock</t>
  </si>
  <si>
    <t>1 Nov-30 Apr</t>
  </si>
  <si>
    <t>Just Freshwater Sport Catches, but Freshwater and Area 8 Marine Treaty Catches</t>
  </si>
  <si>
    <t>Skagit Steelhead</t>
  </si>
  <si>
    <t>Out of Basin strays</t>
  </si>
  <si>
    <t>Escapement</t>
  </si>
  <si>
    <t>Estimated</t>
  </si>
  <si>
    <t>Release</t>
  </si>
  <si>
    <t>Year</t>
  </si>
  <si>
    <t>One stock</t>
  </si>
  <si>
    <t>winter</t>
  </si>
  <si>
    <t>summer</t>
  </si>
  <si>
    <t>hatchery</t>
  </si>
  <si>
    <t>wild</t>
  </si>
  <si>
    <t xml:space="preserve">July 1, 2001 is start of 2001-2002 management season and the beginning of single stock--returns of releases of summer run hatchery steelhead completed end of 2000-2001 season  </t>
  </si>
  <si>
    <t>Bill Gill Comments</t>
  </si>
  <si>
    <t>Winter-run</t>
  </si>
  <si>
    <t>Summer-run</t>
  </si>
  <si>
    <t>Skagit Hatchery</t>
  </si>
  <si>
    <t>Skagit</t>
  </si>
  <si>
    <t>Estimated Terminal Run Size</t>
  </si>
  <si>
    <t>Hatchery/Wild Proportions of Scale Samples--see file "SteelheadTimingCurve" for steelhead samples by week and year then H/W composition</t>
  </si>
  <si>
    <t>unspawned</t>
  </si>
  <si>
    <t>kelt</t>
  </si>
  <si>
    <t>1989 week 18-24 May and June Commercial fishery</t>
  </si>
  <si>
    <t>"unknown"</t>
  </si>
  <si>
    <t>Baker Trap</t>
  </si>
  <si>
    <t>Test Fishery--Hatchery and wild origin was assigned based on adipose fin clips, whether stubbed dorsal--or no stubbed dorsal fin was noted, and age.</t>
  </si>
  <si>
    <t>Swinomish Area 8</t>
  </si>
  <si>
    <t>Swinomish Area 78C</t>
  </si>
  <si>
    <t>Sauk-Suiattle</t>
  </si>
  <si>
    <t>Total</t>
  </si>
  <si>
    <t>H Kelt</t>
  </si>
  <si>
    <t>W Kelt</t>
  </si>
  <si>
    <t>Prespawn</t>
  </si>
  <si>
    <t>% Catch By Month = Encounter rate</t>
  </si>
  <si>
    <t>Spawn year Average</t>
  </si>
  <si>
    <t>Month</t>
  </si>
  <si>
    <t>1993-2000</t>
  </si>
  <si>
    <t>Corresponds to steelhead season</t>
  </si>
  <si>
    <t>July</t>
  </si>
  <si>
    <t>Spring Chinook catch year</t>
  </si>
  <si>
    <t>August</t>
  </si>
  <si>
    <t>Steelhead Released</t>
  </si>
  <si>
    <t>N/A</t>
  </si>
  <si>
    <t>September</t>
  </si>
  <si>
    <t>Escapement + Sport catch (assume no wild retention in sport)</t>
  </si>
  <si>
    <t>October</t>
  </si>
  <si>
    <t>Est. Kelts( assume 80%)</t>
  </si>
  <si>
    <t>November</t>
  </si>
  <si>
    <t>December</t>
  </si>
  <si>
    <t>January</t>
  </si>
  <si>
    <t>February</t>
  </si>
  <si>
    <t>March</t>
  </si>
  <si>
    <t>April</t>
  </si>
  <si>
    <t>May</t>
  </si>
  <si>
    <t>June</t>
  </si>
  <si>
    <t>Total Sport</t>
  </si>
  <si>
    <t>Total Treaty</t>
  </si>
  <si>
    <t xml:space="preserve">Spawn year Escapement </t>
  </si>
  <si>
    <t>Total Runsize</t>
  </si>
  <si>
    <t xml:space="preserve">Escapement + Sport (no Treaty) </t>
  </si>
  <si>
    <t>Basin encounter rate June 1-Feb 1.</t>
  </si>
  <si>
    <t>Basin Hooking mort rate June 1-Feb 1.</t>
  </si>
  <si>
    <t>Only 1992-1993 through 1999-2000 used</t>
  </si>
  <si>
    <t>(10% hookng mortality rate used)</t>
  </si>
  <si>
    <t>Hooking Mortality February</t>
  </si>
  <si>
    <t>Hooking Mortality February 1-15</t>
  </si>
  <si>
    <t>Percent of Total River Miles in terminal areas</t>
  </si>
  <si>
    <t>Total Skagit Basin River Miles open</t>
  </si>
  <si>
    <t>Miles Open after Feb 1, 2011</t>
  </si>
  <si>
    <t>% of total</t>
  </si>
  <si>
    <t>Hooking Mortality, sections open</t>
  </si>
  <si>
    <t>Total hooking Mortality</t>
  </si>
  <si>
    <t>June 1-Feb 1 and Feb 1-15 Rockport reach, and Cascade River</t>
  </si>
  <si>
    <t>Skagit Wild steelhead Catches from CRC's edited by Eric Kraig and Adam Couto in 2009 and 2010--Brett Barkdull 11/2/2010</t>
  </si>
  <si>
    <t>Calendar Year Total Marine</t>
  </si>
  <si>
    <t>Calendar Year Total Freshwater</t>
  </si>
  <si>
    <t>Calendar Year Total All</t>
  </si>
  <si>
    <t>Average treaty catch</t>
  </si>
  <si>
    <t>Average wild</t>
  </si>
  <si>
    <t>Average hatchery</t>
  </si>
  <si>
    <t>1985-2011</t>
  </si>
  <si>
    <t>2001-2011</t>
  </si>
  <si>
    <t>2001-2011 ave sampled</t>
  </si>
  <si>
    <t>Nov1-Apr30</t>
  </si>
  <si>
    <t>May1-Oct31</t>
  </si>
  <si>
    <t>Jul1-Jun30</t>
  </si>
  <si>
    <t>2001-11 Ave. Samples</t>
  </si>
  <si>
    <t>1985-2000 Ave. Samples</t>
  </si>
  <si>
    <t>1985-2011 Ave. Samples</t>
  </si>
  <si>
    <t>1985-2011 ave sampled</t>
  </si>
  <si>
    <t>2001-2011 Ave. H/W comp by Wk</t>
  </si>
  <si>
    <t>1985-2000 Ave. H/W comp by Wk</t>
  </si>
  <si>
    <t>Ave wild comp.</t>
  </si>
  <si>
    <t>Ave hatchery comp.</t>
  </si>
  <si>
    <t>1985-2011 Average H/W comp by Wk</t>
  </si>
  <si>
    <t>Prespawn mortality</t>
  </si>
  <si>
    <t>1993-2000 average sport catch</t>
  </si>
  <si>
    <t>HR</t>
  </si>
  <si>
    <t>mortalities</t>
  </si>
  <si>
    <t>included in TRS</t>
  </si>
  <si>
    <t>NDO mortality</t>
  </si>
  <si>
    <t>June adjusted 2 weeks and just 78D2 open</t>
  </si>
  <si>
    <t xml:space="preserve">Expanded Hatchery and Wild catch--gold is sample data, but not on fish ticket (sample data during commercial is inserted in for catch)--some H/W proportions from test where no commerical catch occurred-that's why 0.0 in some weekly H and W cells </t>
  </si>
  <si>
    <r>
      <t xml:space="preserve">Treaty Commercial, TKHM, and C&amp;S </t>
    </r>
    <r>
      <rPr>
        <b/>
        <sz val="10"/>
        <color theme="1"/>
        <rFont val="Arial"/>
        <family val="2"/>
      </rPr>
      <t>Catch</t>
    </r>
    <r>
      <rPr>
        <b/>
        <sz val="8"/>
        <color theme="1"/>
        <rFont val="Arial"/>
        <family val="2"/>
      </rPr>
      <t xml:space="preserve"> only (no Test Fishery Catch)--see "QuerySept112009" in File "SkagitSTHDCatchmasterHWComp".  Purple color overlay is available sample data for catch noted and pink is catch but no sample data.</t>
    </r>
  </si>
  <si>
    <t>2011/2012</t>
  </si>
  <si>
    <r>
      <rPr>
        <sz val="9"/>
        <color rgb="FFFF0000"/>
        <rFont val="Arial"/>
        <family val="2"/>
      </rPr>
      <t>1985-2011</t>
    </r>
    <r>
      <rPr>
        <sz val="8"/>
        <color rgb="FFFF0000"/>
        <rFont val="Arial"/>
        <family val="2"/>
      </rPr>
      <t xml:space="preserve"> ave. weekly catch</t>
    </r>
  </si>
  <si>
    <r>
      <rPr>
        <sz val="9"/>
        <color rgb="FFFF0000"/>
        <rFont val="Arial"/>
        <family val="2"/>
      </rPr>
      <t>1985-2000</t>
    </r>
    <r>
      <rPr>
        <sz val="8"/>
        <color rgb="FFFF0000"/>
        <rFont val="Arial"/>
        <family val="2"/>
      </rPr>
      <t xml:space="preserve"> ave. weekly catch</t>
    </r>
  </si>
  <si>
    <r>
      <rPr>
        <sz val="9"/>
        <color rgb="FFFF0000"/>
        <rFont val="Arial"/>
        <family val="2"/>
      </rPr>
      <t>2001-2011</t>
    </r>
    <r>
      <rPr>
        <sz val="8"/>
        <color rgb="FFFF0000"/>
        <rFont val="Arial"/>
        <family val="2"/>
      </rPr>
      <t xml:space="preserve"> ave weekly catch</t>
    </r>
  </si>
  <si>
    <t>2010-2012 average</t>
  </si>
  <si>
    <t>Total NT HR</t>
  </si>
  <si>
    <t>Sockeye catch year</t>
  </si>
  <si>
    <t>Sport</t>
  </si>
  <si>
    <t>Treaty</t>
  </si>
  <si>
    <t>Test</t>
  </si>
  <si>
    <t>2012/2013</t>
  </si>
  <si>
    <t>H Pre</t>
  </si>
  <si>
    <t>H Unk</t>
  </si>
  <si>
    <t>W Pre</t>
  </si>
  <si>
    <t>W Unk</t>
  </si>
  <si>
    <t>H Adj Tot</t>
  </si>
  <si>
    <t>W Adj Tot</t>
  </si>
  <si>
    <t>Kelt Adj.</t>
  </si>
  <si>
    <t>Un-adj.</t>
  </si>
  <si>
    <t>Mgmt Week</t>
  </si>
  <si>
    <t>Upper Skagit</t>
  </si>
  <si>
    <t>Total catches From TOCAS, split into categories based on proportions on TreatyCatch tab.</t>
  </si>
  <si>
    <t>Wild Hr:</t>
  </si>
  <si>
    <t>Wild HR w/NDO:</t>
  </si>
  <si>
    <t>w/NDO</t>
  </si>
  <si>
    <t>W Sthd (Kelt Adjusted)</t>
  </si>
  <si>
    <t>Test Fishery w/NDO</t>
  </si>
  <si>
    <t>Treaty Commercial + C&amp;S</t>
  </si>
  <si>
    <t>Treaty Commercial + C&amp;S w/NDO</t>
  </si>
  <si>
    <t>Sport Other</t>
  </si>
  <si>
    <t>Sport Sockeye</t>
  </si>
  <si>
    <t>Sport Spr Chinook</t>
  </si>
  <si>
    <t>Sport Total</t>
  </si>
  <si>
    <t>Total w/NDO</t>
  </si>
  <si>
    <t>Total NT Mortality Kelt Adjusted</t>
  </si>
  <si>
    <t>Total TR Mortality Kelt Adjusted</t>
  </si>
  <si>
    <t>Total Test Mortality Kelt Adjusted</t>
  </si>
  <si>
    <t>Wild Forecast:</t>
  </si>
  <si>
    <t>2012-13 Kelt Adj. Factor</t>
  </si>
  <si>
    <t>2012-13 Kelt Adjustment Factor</t>
  </si>
  <si>
    <t>2013-14</t>
  </si>
  <si>
    <t>2013-14 Kelt Adj. Factor</t>
  </si>
  <si>
    <t>2013/2014</t>
  </si>
  <si>
    <t>2013-14 Kelt Adjustment Factor</t>
  </si>
  <si>
    <t>Purple cells are Hatchery Summer run May 1 through October 31</t>
  </si>
  <si>
    <t>No Fishery</t>
  </si>
  <si>
    <t>Wild Steelhead Released</t>
  </si>
  <si>
    <t>Sockeye River Fishery impacts</t>
  </si>
  <si>
    <t>2014-15 Kelt Adjustment Factor</t>
  </si>
  <si>
    <t>May not exactly match the splits on the TreatyCommercialCatch spreadsheet because those are based on a single tribe's samples rather than the aggregate.</t>
  </si>
  <si>
    <t>Commercial and Takehome Catch By Tribe -- These will go into the commercial catch tables of the Harvest Rate Model spreadsheet, so don't include any other catch disposition here.</t>
  </si>
  <si>
    <t>Swinomish Area 78D</t>
  </si>
  <si>
    <t>2014-15</t>
  </si>
  <si>
    <t>2014-15 Kelt Adj. Factor</t>
  </si>
  <si>
    <t xml:space="preserve">Hatchery </t>
  </si>
  <si>
    <t>Winter HR</t>
  </si>
  <si>
    <t>Total TR HR w/ NDO</t>
  </si>
  <si>
    <t>Total Test HR w/ NDO</t>
  </si>
  <si>
    <t>Adjusted Kelt mortality (w/ annual kelt adjustment factor)</t>
  </si>
  <si>
    <t>Morts</t>
  </si>
  <si>
    <t>Fishery</t>
  </si>
  <si>
    <t>Spr Chin</t>
  </si>
  <si>
    <t>Sockeye</t>
  </si>
  <si>
    <t>Other</t>
  </si>
  <si>
    <t>Total number of mortalities (kelt adjusted)</t>
  </si>
  <si>
    <t>HR (Kelt Adjusted)</t>
  </si>
  <si>
    <t>Mort w/o NDO</t>
  </si>
  <si>
    <t>Miles with 3 fish limit</t>
  </si>
  <si>
    <t>Total Encounter rate Dec 1-Feb 15</t>
  </si>
  <si>
    <t>Cascade Only</t>
  </si>
  <si>
    <t>Additional hooking mortality, 3 fish</t>
  </si>
  <si>
    <t>Dec 1-Feb 15</t>
  </si>
  <si>
    <t>One stock River</t>
  </si>
  <si>
    <t>One stock MAs</t>
  </si>
  <si>
    <t>One stock Skagit Basin</t>
  </si>
  <si>
    <t>Hatchery creel/scale Adjustment</t>
  </si>
  <si>
    <t>Summer run</t>
  </si>
  <si>
    <t>No Hatchery #s from creel</t>
  </si>
  <si>
    <t>---</t>
  </si>
  <si>
    <t>July 1 - June 30</t>
  </si>
  <si>
    <t>Wild C&amp;R Morts</t>
  </si>
  <si>
    <t>Wild Retained</t>
  </si>
  <si>
    <t xml:space="preserve">From Bob Leland </t>
  </si>
  <si>
    <t>From Bob Leland</t>
  </si>
  <si>
    <t xml:space="preserve">Smolt Release </t>
  </si>
  <si>
    <t>Basin Estimates During non-Salmon Fisheries</t>
  </si>
  <si>
    <t>No Creel, so using average</t>
  </si>
  <si>
    <t>Adjusted Kelt mortality ( 10% release mort)</t>
  </si>
  <si>
    <t>2014/2015</t>
  </si>
  <si>
    <t>2015-16</t>
  </si>
  <si>
    <t>Wild Steelhead Retained</t>
  </si>
  <si>
    <t>Wild Steelhead Morts (@10%)</t>
  </si>
  <si>
    <t>Prespawn Morts</t>
  </si>
  <si>
    <t>Total Adjusted Mortality</t>
  </si>
  <si>
    <t>Terminal Run Size (w/o sport release morts)</t>
  </si>
  <si>
    <t>Yellow Cells are Hatchery Winter Run November 1-April 30</t>
  </si>
  <si>
    <t>TRS*</t>
  </si>
  <si>
    <t>2015-16 Kelt Adjustment Factor</t>
  </si>
  <si>
    <t>2015-16 Kelt Adj. Factor</t>
  </si>
  <si>
    <t>Harvest Rate w/o NDO</t>
  </si>
  <si>
    <t>Total Mortality (Kelt Adjusted)</t>
  </si>
  <si>
    <t>Fishing Mortality</t>
  </si>
  <si>
    <t>&lt;-- includes additional morts with 3 fish adjustment in Cascade</t>
  </si>
  <si>
    <t>Total HR w/ NDO</t>
  </si>
  <si>
    <t>Total Mortality w/ NDO</t>
  </si>
  <si>
    <r>
      <t>3 Fish Hooking Mortality adjustment, Cascade River Only (</t>
    </r>
    <r>
      <rPr>
        <b/>
        <u/>
        <sz val="10"/>
        <rFont val="Arial"/>
        <family val="2"/>
      </rPr>
      <t>for 2014-15 season only</t>
    </r>
    <r>
      <rPr>
        <u/>
        <sz val="10"/>
        <rFont val="Arial"/>
        <family val="2"/>
      </rPr>
      <t>)</t>
    </r>
  </si>
  <si>
    <t>Spawn Year</t>
  </si>
  <si>
    <t>2011-15 Avg Wild HR</t>
  </si>
  <si>
    <t>Wild HR</t>
  </si>
  <si>
    <t>with NDO</t>
  </si>
  <si>
    <t>Wild NR</t>
  </si>
  <si>
    <t>USIT Tanglenet Study</t>
  </si>
  <si>
    <t>Encounters:</t>
  </si>
  <si>
    <t>Mortality:</t>
  </si>
  <si>
    <t>Release Mort Rate:</t>
  </si>
  <si>
    <t>HR:</t>
  </si>
  <si>
    <t>2015/2016</t>
  </si>
  <si>
    <t>&lt;- only used for 2014-15</t>
  </si>
  <si>
    <t>2016-17</t>
  </si>
  <si>
    <t>2016-17 Kelt Adjustment Factor</t>
  </si>
  <si>
    <t>2016-17 Kelt Adj. Factor</t>
  </si>
  <si>
    <t>Wild Forecast 2016-17</t>
  </si>
  <si>
    <t>HR and Mortalities Projected for 2016-17</t>
  </si>
  <si>
    <t>Note: The wild management season breakpoint is June30/July1, so catch during a sockeye fishery may be split into different steelhead management seasons.</t>
  </si>
  <si>
    <t>Genetic Sampling</t>
  </si>
  <si>
    <t>Hook &amp; Line Genetic Sampling Mortality</t>
  </si>
  <si>
    <t>Mortality</t>
  </si>
  <si>
    <t>Encounters</t>
  </si>
  <si>
    <t>Without Test &amp; Genetic Sampling</t>
  </si>
  <si>
    <t>&amp;Test/Genetic</t>
  </si>
  <si>
    <t>No Test/Genetic</t>
  </si>
  <si>
    <t>&lt;-- assume same HR as last year</t>
  </si>
  <si>
    <t>&lt;-- no net drop out for tanglenets</t>
  </si>
  <si>
    <t>Test Fishery including Steelhead Tanglenet</t>
  </si>
  <si>
    <t>Test Fishery -- Salmon Only</t>
  </si>
  <si>
    <t>Total w/NDO Excluding Test and Genetic Sampling</t>
  </si>
  <si>
    <t>2005-2012 average, not including no creel years</t>
  </si>
  <si>
    <t>2016/2017</t>
  </si>
  <si>
    <t>2017-18</t>
  </si>
  <si>
    <t>2017-18 Kelt Adj. Factor</t>
  </si>
  <si>
    <t>2017-18 Kelt Adjustment Factor</t>
  </si>
  <si>
    <r>
      <rPr>
        <b/>
        <sz val="11"/>
        <color theme="1"/>
        <rFont val="Calibri"/>
        <family val="2"/>
        <scheme val="minor"/>
      </rPr>
      <t>Return</t>
    </r>
    <r>
      <rPr>
        <sz val="11"/>
        <color theme="1"/>
        <rFont val="Calibri"/>
        <family val="2"/>
        <scheme val="minor"/>
      </rPr>
      <t xml:space="preserve"> Season</t>
    </r>
  </si>
  <si>
    <r>
      <rPr>
        <sz val="11"/>
        <color rgb="FFFF0000"/>
        <rFont val="Calibri"/>
        <family val="2"/>
        <scheme val="minor"/>
      </rPr>
      <t>Hatchery</t>
    </r>
    <r>
      <rPr>
        <sz val="11"/>
        <color theme="1"/>
        <rFont val="Calibri"/>
        <family val="2"/>
        <scheme val="minor"/>
      </rPr>
      <t xml:space="preserve"> CRC </t>
    </r>
  </si>
  <si>
    <r>
      <rPr>
        <b/>
        <sz val="11"/>
        <color rgb="FFFF0000"/>
        <rFont val="Calibri"/>
        <family val="2"/>
        <scheme val="minor"/>
      </rPr>
      <t>Wild</t>
    </r>
    <r>
      <rPr>
        <sz val="11"/>
        <color theme="1"/>
        <rFont val="Calibri"/>
        <family val="2"/>
        <scheme val="minor"/>
      </rPr>
      <t xml:space="preserve"> CRC </t>
    </r>
  </si>
  <si>
    <r>
      <rPr>
        <sz val="11"/>
        <color rgb="FFFF0000"/>
        <rFont val="Calibri"/>
        <family val="2"/>
        <scheme val="minor"/>
      </rPr>
      <t>Wild</t>
    </r>
    <r>
      <rPr>
        <sz val="11"/>
        <color theme="1"/>
        <rFont val="Calibri"/>
        <family val="2"/>
        <scheme val="minor"/>
      </rPr>
      <t xml:space="preserve"> creel/scale Adjustment</t>
    </r>
  </si>
  <si>
    <r>
      <t>1977/</t>
    </r>
    <r>
      <rPr>
        <b/>
        <sz val="11"/>
        <color theme="1"/>
        <rFont val="Calibri"/>
        <family val="2"/>
        <scheme val="minor"/>
      </rPr>
      <t>1978</t>
    </r>
  </si>
  <si>
    <r>
      <t>1978/</t>
    </r>
    <r>
      <rPr>
        <b/>
        <sz val="11"/>
        <color theme="1"/>
        <rFont val="Calibri"/>
        <family val="2"/>
        <scheme val="minor"/>
      </rPr>
      <t>1979</t>
    </r>
  </si>
  <si>
    <r>
      <t>1979/</t>
    </r>
    <r>
      <rPr>
        <b/>
        <sz val="11"/>
        <color theme="1"/>
        <rFont val="Calibri"/>
        <family val="2"/>
        <scheme val="minor"/>
      </rPr>
      <t>1980</t>
    </r>
  </si>
  <si>
    <r>
      <t>1980/</t>
    </r>
    <r>
      <rPr>
        <b/>
        <sz val="11"/>
        <color theme="1"/>
        <rFont val="Calibri"/>
        <family val="2"/>
        <scheme val="minor"/>
      </rPr>
      <t>1981</t>
    </r>
  </si>
  <si>
    <r>
      <t>1981/</t>
    </r>
    <r>
      <rPr>
        <b/>
        <sz val="11"/>
        <color theme="1"/>
        <rFont val="Calibri"/>
        <family val="2"/>
        <scheme val="minor"/>
      </rPr>
      <t>1982</t>
    </r>
  </si>
  <si>
    <r>
      <t>1982/</t>
    </r>
    <r>
      <rPr>
        <b/>
        <sz val="11"/>
        <color theme="1"/>
        <rFont val="Calibri"/>
        <family val="2"/>
        <scheme val="minor"/>
      </rPr>
      <t>1983</t>
    </r>
  </si>
  <si>
    <r>
      <t>1983/</t>
    </r>
    <r>
      <rPr>
        <b/>
        <sz val="11"/>
        <color theme="1"/>
        <rFont val="Calibri"/>
        <family val="2"/>
        <scheme val="minor"/>
      </rPr>
      <t>1984</t>
    </r>
  </si>
  <si>
    <r>
      <t>1984/</t>
    </r>
    <r>
      <rPr>
        <b/>
        <sz val="11"/>
        <color theme="1"/>
        <rFont val="Calibri"/>
        <family val="2"/>
        <scheme val="minor"/>
      </rPr>
      <t>1985</t>
    </r>
  </si>
  <si>
    <r>
      <t>1985/</t>
    </r>
    <r>
      <rPr>
        <b/>
        <sz val="11"/>
        <color theme="1"/>
        <rFont val="Calibri"/>
        <family val="2"/>
        <scheme val="minor"/>
      </rPr>
      <t>1986</t>
    </r>
  </si>
  <si>
    <r>
      <t xml:space="preserve">73 </t>
    </r>
    <r>
      <rPr>
        <sz val="6"/>
        <color theme="1"/>
        <rFont val="Calibri"/>
        <family val="2"/>
        <scheme val="minor"/>
      </rPr>
      <t>(summer timed only, no winter #)</t>
    </r>
  </si>
  <si>
    <r>
      <t>1986/</t>
    </r>
    <r>
      <rPr>
        <b/>
        <sz val="11"/>
        <color theme="1"/>
        <rFont val="Calibri"/>
        <family val="2"/>
        <scheme val="minor"/>
      </rPr>
      <t>1987</t>
    </r>
  </si>
  <si>
    <r>
      <t>1987/</t>
    </r>
    <r>
      <rPr>
        <b/>
        <sz val="11"/>
        <color theme="1"/>
        <rFont val="Calibri"/>
        <family val="2"/>
        <scheme val="minor"/>
      </rPr>
      <t>1988</t>
    </r>
  </si>
  <si>
    <r>
      <t>1988/</t>
    </r>
    <r>
      <rPr>
        <b/>
        <sz val="11"/>
        <color theme="1"/>
        <rFont val="Calibri"/>
        <family val="2"/>
        <scheme val="minor"/>
      </rPr>
      <t>1989</t>
    </r>
  </si>
  <si>
    <r>
      <t>1989/</t>
    </r>
    <r>
      <rPr>
        <b/>
        <sz val="11"/>
        <color theme="1"/>
        <rFont val="Calibri"/>
        <family val="2"/>
        <scheme val="minor"/>
      </rPr>
      <t>1990</t>
    </r>
  </si>
  <si>
    <r>
      <t>1990/</t>
    </r>
    <r>
      <rPr>
        <b/>
        <sz val="11"/>
        <color theme="1"/>
        <rFont val="Calibri"/>
        <family val="2"/>
        <scheme val="minor"/>
      </rPr>
      <t>1991</t>
    </r>
  </si>
  <si>
    <r>
      <t>1991/</t>
    </r>
    <r>
      <rPr>
        <b/>
        <sz val="11"/>
        <color theme="1"/>
        <rFont val="Calibri"/>
        <family val="2"/>
        <scheme val="minor"/>
      </rPr>
      <t>1992</t>
    </r>
  </si>
  <si>
    <r>
      <t>1992/</t>
    </r>
    <r>
      <rPr>
        <b/>
        <sz val="11"/>
        <color theme="1"/>
        <rFont val="Calibri"/>
        <family val="2"/>
        <scheme val="minor"/>
      </rPr>
      <t>1993</t>
    </r>
  </si>
  <si>
    <r>
      <t>1993/</t>
    </r>
    <r>
      <rPr>
        <b/>
        <sz val="11"/>
        <color theme="1"/>
        <rFont val="Calibri"/>
        <family val="2"/>
        <scheme val="minor"/>
      </rPr>
      <t>1994</t>
    </r>
  </si>
  <si>
    <r>
      <t>1994/</t>
    </r>
    <r>
      <rPr>
        <b/>
        <sz val="11"/>
        <color theme="1"/>
        <rFont val="Calibri"/>
        <family val="2"/>
        <scheme val="minor"/>
      </rPr>
      <t>1995</t>
    </r>
  </si>
  <si>
    <r>
      <t>1995/</t>
    </r>
    <r>
      <rPr>
        <b/>
        <sz val="11"/>
        <color theme="1"/>
        <rFont val="Calibri"/>
        <family val="2"/>
        <scheme val="minor"/>
      </rPr>
      <t>1996</t>
    </r>
  </si>
  <si>
    <r>
      <t>1996/</t>
    </r>
    <r>
      <rPr>
        <b/>
        <sz val="11"/>
        <color theme="1"/>
        <rFont val="Calibri"/>
        <family val="2"/>
        <scheme val="minor"/>
      </rPr>
      <t>1997</t>
    </r>
  </si>
  <si>
    <r>
      <t>1997/</t>
    </r>
    <r>
      <rPr>
        <b/>
        <sz val="11"/>
        <color theme="1"/>
        <rFont val="Calibri"/>
        <family val="2"/>
        <scheme val="minor"/>
      </rPr>
      <t>1998</t>
    </r>
  </si>
  <si>
    <r>
      <t>1998/</t>
    </r>
    <r>
      <rPr>
        <b/>
        <sz val="11"/>
        <color theme="1"/>
        <rFont val="Calibri"/>
        <family val="2"/>
        <scheme val="minor"/>
      </rPr>
      <t>1999</t>
    </r>
  </si>
  <si>
    <r>
      <t>1999/</t>
    </r>
    <r>
      <rPr>
        <b/>
        <sz val="11"/>
        <color theme="1"/>
        <rFont val="Calibri"/>
        <family val="2"/>
        <scheme val="minor"/>
      </rPr>
      <t>2000</t>
    </r>
  </si>
  <si>
    <r>
      <t>2000/</t>
    </r>
    <r>
      <rPr>
        <b/>
        <sz val="11"/>
        <color theme="1"/>
        <rFont val="Calibri"/>
        <family val="2"/>
        <scheme val="minor"/>
      </rPr>
      <t>2001</t>
    </r>
  </si>
  <si>
    <r>
      <t>2001/</t>
    </r>
    <r>
      <rPr>
        <b/>
        <sz val="11"/>
        <color theme="1"/>
        <rFont val="Calibri"/>
        <family val="2"/>
        <scheme val="minor"/>
      </rPr>
      <t>2002</t>
    </r>
  </si>
  <si>
    <r>
      <t>2002/</t>
    </r>
    <r>
      <rPr>
        <b/>
        <sz val="11"/>
        <color theme="1"/>
        <rFont val="Calibri"/>
        <family val="2"/>
        <scheme val="minor"/>
      </rPr>
      <t>2003</t>
    </r>
  </si>
  <si>
    <r>
      <t>2003/</t>
    </r>
    <r>
      <rPr>
        <b/>
        <sz val="11"/>
        <color theme="1"/>
        <rFont val="Calibri"/>
        <family val="2"/>
        <scheme val="minor"/>
      </rPr>
      <t>2004</t>
    </r>
  </si>
  <si>
    <r>
      <t>2004/</t>
    </r>
    <r>
      <rPr>
        <b/>
        <sz val="11"/>
        <color theme="1"/>
        <rFont val="Calibri"/>
        <family val="2"/>
        <scheme val="minor"/>
      </rPr>
      <t>2005</t>
    </r>
  </si>
  <si>
    <r>
      <t>2005/</t>
    </r>
    <r>
      <rPr>
        <b/>
        <sz val="11"/>
        <color theme="1"/>
        <rFont val="Calibri"/>
        <family val="2"/>
        <scheme val="minor"/>
      </rPr>
      <t>2006</t>
    </r>
  </si>
  <si>
    <r>
      <t>2006/</t>
    </r>
    <r>
      <rPr>
        <b/>
        <sz val="11"/>
        <color theme="1"/>
        <rFont val="Calibri"/>
        <family val="2"/>
        <scheme val="minor"/>
      </rPr>
      <t>2007</t>
    </r>
  </si>
  <si>
    <r>
      <t>2007/</t>
    </r>
    <r>
      <rPr>
        <b/>
        <sz val="11"/>
        <color theme="1"/>
        <rFont val="Calibri"/>
        <family val="2"/>
        <scheme val="minor"/>
      </rPr>
      <t>2008</t>
    </r>
  </si>
  <si>
    <r>
      <t>2008/</t>
    </r>
    <r>
      <rPr>
        <b/>
        <sz val="11"/>
        <color theme="1"/>
        <rFont val="Calibri"/>
        <family val="2"/>
        <scheme val="minor"/>
      </rPr>
      <t>2009</t>
    </r>
  </si>
  <si>
    <r>
      <t>2009/</t>
    </r>
    <r>
      <rPr>
        <b/>
        <sz val="11"/>
        <color theme="1"/>
        <rFont val="Calibri"/>
        <family val="2"/>
        <scheme val="minor"/>
      </rPr>
      <t>2010</t>
    </r>
  </si>
  <si>
    <r>
      <t>2010/</t>
    </r>
    <r>
      <rPr>
        <b/>
        <sz val="11"/>
        <color theme="1"/>
        <rFont val="Calibri"/>
        <family val="2"/>
        <scheme val="minor"/>
      </rPr>
      <t>2011</t>
    </r>
    <r>
      <rPr>
        <sz val="11"/>
        <color theme="1"/>
        <rFont val="Calibri"/>
        <family val="2"/>
        <scheme val="minor"/>
      </rPr>
      <t/>
    </r>
  </si>
  <si>
    <r>
      <t>2011/</t>
    </r>
    <r>
      <rPr>
        <b/>
        <sz val="11"/>
        <color theme="1"/>
        <rFont val="Calibri"/>
        <family val="2"/>
        <scheme val="minor"/>
      </rPr>
      <t>2012</t>
    </r>
    <r>
      <rPr>
        <sz val="11"/>
        <color theme="1"/>
        <rFont val="Calibri"/>
        <family val="2"/>
        <scheme val="minor"/>
      </rPr>
      <t/>
    </r>
  </si>
  <si>
    <r>
      <t>2012/</t>
    </r>
    <r>
      <rPr>
        <b/>
        <sz val="11"/>
        <color theme="1"/>
        <rFont val="Calibri"/>
        <family val="2"/>
        <scheme val="minor"/>
      </rPr>
      <t>2013</t>
    </r>
  </si>
  <si>
    <t>&lt;-- hardcoded adjustment to remove NDO from 19 kelt adjust tanglenet morts</t>
  </si>
  <si>
    <t>Ck MSF/Sockeye HR</t>
  </si>
  <si>
    <t>estimated Basin fishery HR</t>
  </si>
  <si>
    <t>est Basin mort</t>
  </si>
  <si>
    <t>Recap "Y"</t>
  </si>
  <si>
    <t>(blank)</t>
  </si>
  <si>
    <t>Count of Year</t>
  </si>
  <si>
    <t>Column Labels</t>
  </si>
  <si>
    <t>Adult Kelt</t>
  </si>
  <si>
    <t>Adult Prespawn</t>
  </si>
  <si>
    <t>Row Labels</t>
  </si>
  <si>
    <t>AD</t>
  </si>
  <si>
    <t>Unmarked</t>
  </si>
  <si>
    <t>AD Total</t>
  </si>
  <si>
    <t>Unmarked Total</t>
  </si>
  <si>
    <t>FishLog</t>
  </si>
  <si>
    <t>Recapture</t>
  </si>
  <si>
    <t>&lt;-- hardcoded adjustment to remove NDO from kelt adjusted tanglenet morts</t>
  </si>
  <si>
    <t>2018-19</t>
  </si>
  <si>
    <t>2018-19 Kelt Adj. Factor</t>
  </si>
  <si>
    <t>2017/2018</t>
  </si>
  <si>
    <t>2018-19 Kelt Adjustment Factor</t>
  </si>
  <si>
    <t>Ave 1990-2018</t>
  </si>
  <si>
    <t>Ave 2000-2018</t>
  </si>
  <si>
    <t>Ave 2007-2018</t>
  </si>
  <si>
    <t>Steelhead Fishery Impacts</t>
  </si>
  <si>
    <t>Catch Year</t>
  </si>
  <si>
    <t>Hatchery Steelhead Released</t>
  </si>
  <si>
    <t>Hatchery Steelhead Retained</t>
  </si>
  <si>
    <t>Wild Steelhead Morts</t>
  </si>
  <si>
    <t>Hatchery Steelhead Morts</t>
  </si>
  <si>
    <t>Steelhead Fishery</t>
  </si>
  <si>
    <t>Steelhead Fishery HR</t>
  </si>
  <si>
    <t>Overall Projected Harvest Rates and Catches for Forecast Year 2016-17  NOT UPDATED FOR 2018-19!</t>
  </si>
  <si>
    <t>Tribal Harvest Mortality Kelt Adj.</t>
  </si>
  <si>
    <t>Test Fishery Landed Harvest Kelt Adj.</t>
  </si>
  <si>
    <t>Sport Landed Harvest Mortality Kelt Adj.</t>
  </si>
  <si>
    <t>June 1 - Feb 1 only, cell F26</t>
  </si>
  <si>
    <t>2018/2019</t>
  </si>
  <si>
    <t>2019-20</t>
  </si>
  <si>
    <t>2019-20 Kelt Adj. Factor</t>
  </si>
  <si>
    <t>2019-20 Kelt Adjustment Factor</t>
  </si>
  <si>
    <t>2017 USIT Tangle-net</t>
  </si>
  <si>
    <t>Wild prespawn released</t>
  </si>
  <si>
    <t>Wild kelt released</t>
  </si>
  <si>
    <t>Hatchery retained</t>
  </si>
  <si>
    <t>Hatchery released</t>
  </si>
  <si>
    <t>Wild prespawn mort</t>
  </si>
  <si>
    <t>Wild kelt mort</t>
  </si>
  <si>
    <t>2020-21</t>
  </si>
  <si>
    <t>2020-21 Kelt Adj. Factor</t>
  </si>
  <si>
    <t>2020-21 Kelt Adjustment Factor</t>
  </si>
  <si>
    <t>2019/2020</t>
  </si>
  <si>
    <t>Tribal Harvest Mortality Kelt Adj. with NDO</t>
  </si>
  <si>
    <t>Test Fishery Landed Harvest Kelt Adj. with NDO</t>
  </si>
  <si>
    <t>Total Mort kelt Adj</t>
  </si>
  <si>
    <t>2021-22 Kelt Adj. Factor</t>
  </si>
  <si>
    <t>2020-2021</t>
  </si>
  <si>
    <t>2020/2021</t>
  </si>
  <si>
    <t>2021-22</t>
  </si>
  <si>
    <t>2021-22 Kelt Adjustment Factor</t>
  </si>
  <si>
    <t>TBD</t>
  </si>
  <si>
    <t>Using average for now as of 12/8/21</t>
  </si>
  <si>
    <t>2021/2022</t>
  </si>
  <si>
    <t>2022-23</t>
  </si>
  <si>
    <t>2022-23 Kelt Adj. Factor</t>
  </si>
  <si>
    <t>2022-23 Kelt Adjustment Factor</t>
  </si>
  <si>
    <t>2021-2022</t>
  </si>
  <si>
    <t>Full creel</t>
  </si>
  <si>
    <t>No steelhead directed fishery. No Skagit Steelhead RMP until 2018.</t>
  </si>
  <si>
    <t xml:space="preserve">Est. Kelts Morts </t>
  </si>
  <si>
    <t>Incidental steelhead during fall salmon</t>
  </si>
  <si>
    <t xml:space="preserve">Not monitored for incidental encounters. CRC estimates only. </t>
  </si>
  <si>
    <t>8/14/21-12/31/21</t>
  </si>
  <si>
    <t>Fishery period</t>
  </si>
  <si>
    <t>5/1/22-5/31/22</t>
  </si>
  <si>
    <t>No</t>
  </si>
  <si>
    <t>Fishery occured during two steelhead management seasons?</t>
  </si>
  <si>
    <t>All encounters from fishery in this table</t>
  </si>
  <si>
    <t>Yes</t>
  </si>
  <si>
    <t xml:space="preserve">Period to report next steelhead managed season? </t>
  </si>
  <si>
    <t>6/1/21 - 7/15/21</t>
  </si>
  <si>
    <t>Period reported in this table</t>
  </si>
  <si>
    <t>7/1/21-7/15/21, 6/1/22 - 6/30/22</t>
  </si>
  <si>
    <t>7/1/22-7/15/22</t>
  </si>
  <si>
    <t>Lower river area H Spring Chinook fishery creel</t>
  </si>
  <si>
    <t>Upper river areas H Chinook fishery impacts</t>
  </si>
  <si>
    <t>7/1/22 - 7/29/22</t>
  </si>
  <si>
    <t>6/16/2022 - 7/29/2022</t>
  </si>
  <si>
    <t>6/16/22 - 6/30/22</t>
  </si>
  <si>
    <t xml:space="preserve">Period not in this table and to report next steelhead managed season? </t>
  </si>
  <si>
    <t xml:space="preserve">Table A. </t>
  </si>
  <si>
    <t xml:space="preserve">Table B. Incidental steelhead encounters during hatchery spring Chinook sport fisheries in the Skagit upstream of the Sauk, and in the Cascade River in spring/summer. </t>
  </si>
  <si>
    <t xml:space="preserve">Table C. Incidental steelhead encounters during sport fisheries for Baker sockeye in the Skagit River downstream of the Baker River.  </t>
  </si>
  <si>
    <t>Entire period monitored?</t>
  </si>
  <si>
    <t>Estimated catch from direct monitoring</t>
  </si>
  <si>
    <t>Estimated catch from other methods (describe in notes)</t>
  </si>
  <si>
    <t>Period monitored</t>
  </si>
  <si>
    <t>August - December 2022</t>
  </si>
  <si>
    <t>9/1/22 - 11/30/22</t>
  </si>
  <si>
    <t>2022/2023</t>
  </si>
  <si>
    <t>2022-2023</t>
  </si>
  <si>
    <t>2023-2024</t>
  </si>
  <si>
    <t>2023-24</t>
  </si>
  <si>
    <t>2023-24 Kelt Adj. Factor</t>
  </si>
  <si>
    <t>2023-24 Kelt Adjustment Factor</t>
  </si>
  <si>
    <t>2012-13</t>
  </si>
  <si>
    <t>check</t>
  </si>
  <si>
    <t>2020/2022</t>
  </si>
  <si>
    <t>2022-23 Wild Post Season Assessment (All Values are Kelt-Adjusted Values)</t>
  </si>
  <si>
    <t>5/1/23-5/31/23</t>
  </si>
  <si>
    <t>7/1/23-7/15/23</t>
  </si>
  <si>
    <t>6/1/22 - 7/15/22 and 6/1/23-7/15/23</t>
  </si>
  <si>
    <t>7/1/22-7/15/22, 6/1/23-6/30/23</t>
  </si>
  <si>
    <t>6/16/23 - 7/15/23</t>
  </si>
  <si>
    <t>7/1/23 - 7/15/23</t>
  </si>
  <si>
    <t>6/16/23 - 6/30/23</t>
  </si>
  <si>
    <t>Estimated catch from current salmon run year</t>
  </si>
  <si>
    <t>Estimated catch from previous salmon run year</t>
  </si>
  <si>
    <t>Estimated Prespawn mortality</t>
  </si>
  <si>
    <t>Fall salmon catch year/run year</t>
  </si>
  <si>
    <t xml:space="preserve">Table D. Late summer/fall timed salmon directed river sport fishery incidental steelhead encounters and impacts . Space for salmon directed fisheries that usually occur from mid August up to end of calendar year. </t>
  </si>
  <si>
    <t xml:space="preserve">Table F. Steelhead encounters during steelhead directed catch and release sport fishery. </t>
  </si>
  <si>
    <t>Table E. Incidental steelhead encounters during January winter gamefish fishery</t>
  </si>
  <si>
    <t>Ck MSF/Sockeye Kelt Adjusted/Fall salmon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</si>
</sst>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General_)"/>
    <numFmt numFmtId="165" formatCode="0.000"/>
    <numFmt numFmtId="166" formatCode="0.00_)"/>
    <numFmt numFmtId="167" formatCode="0.0"/>
    <numFmt numFmtId="168" formatCode="0.0000"/>
    <numFmt numFmtId="169" formatCode="0.000%"/>
    <numFmt numFmtId="170" formatCode="0.000000"/>
    <numFmt numFmtId="171" formatCode="0.00000"/>
    <numFmt numFmtId="172" formatCode="0.0000%"/>
    <numFmt numFmtId="173" formatCode="#,##0.00000000000"/>
    <numFmt numFmtId="174" formatCode="0.0000000"/>
    <numFmt numFmtId="175" formatCode="0.00000000"/>
  </numFmts>
  <fonts count="61" x14ac:knownFonts="1">
    <font>
      <sz val="11"/>
      <color theme="1"/>
      <name val="Calibri"/>
      <family val="2"/>
      <scheme val="minor"/>
    </font>
    <font>
      <sz val="8"/>
      <name val="Arial"/>
      <family val="2"/>
    </font>
    <font>
      <b/>
      <sz val="8"/>
      <name val="Arial"/>
      <family val="2"/>
    </font>
    <font>
      <sz val="12"/>
      <name val="Helv"/>
    </font>
    <font>
      <sz val="8"/>
      <color indexed="81"/>
      <name val="Tahoma"/>
      <family val="2"/>
    </font>
    <font>
      <b/>
      <sz val="8"/>
      <color indexed="81"/>
      <name val="Tahoma"/>
      <family val="2"/>
    </font>
    <font>
      <sz val="8"/>
      <color rgb="FFFF0000"/>
      <name val="Arial"/>
      <family val="2"/>
    </font>
    <font>
      <sz val="8"/>
      <color theme="1"/>
      <name val="Calibri"/>
      <family val="2"/>
      <scheme val="minor"/>
    </font>
    <font>
      <sz val="8"/>
      <color theme="1"/>
      <name val="Arial"/>
      <family val="2"/>
    </font>
    <font>
      <b/>
      <sz val="9"/>
      <color indexed="81"/>
      <name val="Tahoma"/>
      <family val="2"/>
    </font>
    <font>
      <sz val="9"/>
      <color indexed="81"/>
      <name val="Tahoma"/>
      <family val="2"/>
    </font>
    <font>
      <b/>
      <sz val="8"/>
      <color theme="1"/>
      <name val="Arial"/>
      <family val="2"/>
    </font>
    <font>
      <sz val="8"/>
      <color rgb="FF0070C0"/>
      <name val="Arial"/>
      <family val="2"/>
    </font>
    <font>
      <sz val="8"/>
      <color indexed="10"/>
      <name val="Arial"/>
      <family val="2"/>
    </font>
    <font>
      <sz val="7"/>
      <name val="Arial"/>
      <family val="2"/>
    </font>
    <font>
      <sz val="8"/>
      <color theme="9" tint="-0.249977111117893"/>
      <name val="Arial"/>
      <family val="2"/>
    </font>
    <font>
      <sz val="10"/>
      <name val="Arial"/>
      <family val="2"/>
    </font>
    <font>
      <b/>
      <sz val="10"/>
      <name val="Arial"/>
      <family val="2"/>
    </font>
    <font>
      <u/>
      <sz val="8"/>
      <color indexed="81"/>
      <name val="Tahoma"/>
      <family val="2"/>
    </font>
    <font>
      <sz val="11"/>
      <color theme="1"/>
      <name val="Calibri"/>
      <family val="2"/>
      <scheme val="minor"/>
    </font>
    <font>
      <sz val="10"/>
      <color theme="1"/>
      <name val="Arial"/>
      <family val="2"/>
    </font>
    <font>
      <sz val="12"/>
      <color theme="1"/>
      <name val="Arial"/>
      <family val="2"/>
    </font>
    <font>
      <u/>
      <sz val="10"/>
      <color theme="1"/>
      <name val="Arial"/>
      <family val="2"/>
    </font>
    <font>
      <b/>
      <sz val="8"/>
      <color theme="1"/>
      <name val="Calibri"/>
      <family val="2"/>
      <scheme val="minor"/>
    </font>
    <font>
      <sz val="11"/>
      <color theme="1"/>
      <name val="Arial"/>
      <family val="2"/>
    </font>
    <font>
      <sz val="10"/>
      <color theme="3"/>
      <name val="Arial"/>
      <family val="2"/>
    </font>
    <font>
      <sz val="8"/>
      <color theme="3"/>
      <name val="Calibri"/>
      <family val="2"/>
      <scheme val="minor"/>
    </font>
    <font>
      <b/>
      <sz val="10"/>
      <color theme="1"/>
      <name val="Arial"/>
      <family val="2"/>
    </font>
    <font>
      <b/>
      <sz val="8"/>
      <color rgb="FFFF0000"/>
      <name val="Arial"/>
      <family val="2"/>
    </font>
    <font>
      <sz val="9"/>
      <color rgb="FFFF0000"/>
      <name val="Arial"/>
      <family val="2"/>
    </font>
    <font>
      <sz val="7"/>
      <color rgb="FFFF0000"/>
      <name val="Arial"/>
      <family val="2"/>
    </font>
    <font>
      <sz val="10"/>
      <color theme="4" tint="-0.499984740745262"/>
      <name val="Arial"/>
      <family val="2"/>
    </font>
    <font>
      <sz val="8"/>
      <color rgb="FFFF0000"/>
      <name val="Calibri"/>
      <family val="2"/>
      <scheme val="minor"/>
    </font>
    <font>
      <b/>
      <sz val="8"/>
      <color rgb="FFFF0000"/>
      <name val="Calibri"/>
      <family val="2"/>
      <scheme val="minor"/>
    </font>
    <font>
      <sz val="8"/>
      <name val="Calibri"/>
      <family val="2"/>
      <scheme val="minor"/>
    </font>
    <font>
      <b/>
      <sz val="11"/>
      <color theme="1"/>
      <name val="Calibri"/>
      <family val="2"/>
      <scheme val="minor"/>
    </font>
    <font>
      <b/>
      <sz val="11"/>
      <color rgb="FFFF0000"/>
      <name val="Calibri"/>
      <family val="2"/>
      <scheme val="minor"/>
    </font>
    <font>
      <sz val="11"/>
      <color rgb="FFFF0000"/>
      <name val="Calibri"/>
      <family val="2"/>
      <scheme val="minor"/>
    </font>
    <font>
      <b/>
      <sz val="11"/>
      <name val="Calibri"/>
      <family val="2"/>
      <scheme val="minor"/>
    </font>
    <font>
      <b/>
      <sz val="8"/>
      <name val="Calibri"/>
      <family val="2"/>
      <scheme val="minor"/>
    </font>
    <font>
      <sz val="11"/>
      <name val="Calibri"/>
      <family val="2"/>
      <scheme val="minor"/>
    </font>
    <font>
      <u/>
      <sz val="10"/>
      <name val="Arial"/>
      <family val="2"/>
    </font>
    <font>
      <sz val="10"/>
      <color rgb="FFFF0000"/>
      <name val="Arial"/>
      <family val="2"/>
    </font>
    <font>
      <b/>
      <u/>
      <sz val="10"/>
      <name val="Arial"/>
      <family val="2"/>
    </font>
    <font>
      <b/>
      <sz val="10"/>
      <color rgb="FFFF0000"/>
      <name val="Arial"/>
      <family val="2"/>
    </font>
    <font>
      <sz val="8"/>
      <name val="Arial"/>
      <family val="2"/>
    </font>
    <font>
      <b/>
      <sz val="8"/>
      <name val="Arial"/>
      <family val="2"/>
    </font>
    <font>
      <sz val="8"/>
      <color theme="1"/>
      <name val="Arial"/>
      <family val="2"/>
    </font>
    <font>
      <sz val="8"/>
      <color rgb="FF0070C0"/>
      <name val="Arial"/>
      <family val="2"/>
    </font>
    <font>
      <b/>
      <sz val="8"/>
      <color theme="1"/>
      <name val="Arial"/>
      <family val="2"/>
    </font>
    <font>
      <b/>
      <sz val="8"/>
      <color rgb="FFE50BC6"/>
      <name val="Arial"/>
      <family val="2"/>
    </font>
    <font>
      <sz val="8"/>
      <color rgb="FFE50BC6"/>
      <name val="Arial"/>
      <family val="2"/>
    </font>
    <font>
      <sz val="8"/>
      <color rgb="FFFF0000"/>
      <name val="Arial"/>
      <family val="2"/>
    </font>
    <font>
      <b/>
      <sz val="8"/>
      <color rgb="FF0070C0"/>
      <name val="Arial"/>
      <family val="2"/>
    </font>
    <font>
      <sz val="6"/>
      <color theme="1"/>
      <name val="Calibri"/>
      <family val="2"/>
      <scheme val="minor"/>
    </font>
    <font>
      <sz val="8"/>
      <color indexed="8"/>
      <name val="Arial"/>
      <family val="2"/>
    </font>
    <font>
      <b/>
      <sz val="11"/>
      <color indexed="81"/>
      <name val="Tahoma"/>
      <family val="2"/>
    </font>
    <font>
      <sz val="11"/>
      <color indexed="81"/>
      <name val="Tahoma"/>
      <family val="2"/>
    </font>
    <font>
      <sz val="9"/>
      <color theme="1"/>
      <name val="Arial"/>
      <family val="2"/>
    </font>
    <font>
      <u/>
      <sz val="11"/>
      <color theme="10"/>
      <name val="Calibri"/>
      <family val="2"/>
      <scheme val="minor"/>
    </font>
    <font>
      <i/>
      <sz val="9"/>
      <color theme="1"/>
      <name val="Calibri"/>
      <family val="2"/>
      <scheme val="minor"/>
    </font>
  </fonts>
  <fills count="31">
    <fill>
      <patternFill patternType="none"/>
    </fill>
    <fill>
      <patternFill patternType="gray125"/>
    </fill>
    <fill>
      <patternFill patternType="solid">
        <fgColor rgb="FF92D050"/>
        <bgColor indexed="64"/>
      </patternFill>
    </fill>
    <fill>
      <patternFill patternType="solid">
        <fgColor indexed="43"/>
        <bgColor indexed="64"/>
      </patternFill>
    </fill>
    <fill>
      <patternFill patternType="solid">
        <fgColor indexed="41"/>
        <bgColor indexed="64"/>
      </patternFill>
    </fill>
    <fill>
      <patternFill patternType="solid">
        <fgColor rgb="FFFFFF99"/>
        <bgColor indexed="64"/>
      </patternFill>
    </fill>
    <fill>
      <patternFill patternType="solid">
        <fgColor rgb="FFB49ACE"/>
        <bgColor indexed="64"/>
      </patternFill>
    </fill>
    <fill>
      <patternFill patternType="solid">
        <fgColor theme="9" tint="-0.249977111117893"/>
        <bgColor indexed="64"/>
      </patternFill>
    </fill>
    <fill>
      <patternFill patternType="gray0625"/>
    </fill>
    <fill>
      <patternFill patternType="solid">
        <fgColor theme="3"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C0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CCFFFF"/>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bgColor indexed="64"/>
      </patternFill>
    </fill>
    <fill>
      <patternFill patternType="solid">
        <fgColor rgb="FFFF00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rgb="FFCCC0D9"/>
        <bgColor indexed="64"/>
      </patternFill>
    </fill>
    <fill>
      <patternFill patternType="solid">
        <fgColor theme="4" tint="0.59999389629810485"/>
        <bgColor indexed="64"/>
      </patternFill>
    </fill>
    <fill>
      <patternFill patternType="solid">
        <fgColor theme="0"/>
        <bgColor indexed="64"/>
      </patternFill>
    </fill>
    <fill>
      <patternFill patternType="solid">
        <fgColor theme="0" tint="-0.249977111117893"/>
        <bgColor indexed="64"/>
      </patternFill>
    </fill>
  </fills>
  <borders count="98">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medium">
        <color indexed="64"/>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diagonal/>
    </border>
    <border>
      <left/>
      <right/>
      <top style="thin">
        <color indexed="8"/>
      </top>
      <bottom/>
      <diagonal/>
    </border>
    <border>
      <left style="thin">
        <color indexed="65"/>
      </left>
      <right/>
      <top style="thin">
        <color indexed="8"/>
      </top>
      <bottom/>
      <diagonal/>
    </border>
    <border>
      <left style="thin">
        <color indexed="8"/>
      </left>
      <right/>
      <top/>
      <bottom/>
      <diagonal/>
    </border>
    <border>
      <left style="thin">
        <color indexed="8"/>
      </left>
      <right/>
      <top style="thin">
        <color indexed="8"/>
      </top>
      <bottom/>
      <diagonal/>
    </border>
    <border>
      <left style="thin">
        <color indexed="8"/>
      </left>
      <right style="thin">
        <color indexed="64"/>
      </right>
      <top style="thin">
        <color indexed="8"/>
      </top>
      <bottom/>
      <diagonal/>
    </border>
    <border>
      <left style="thin">
        <color indexed="8"/>
      </left>
      <right/>
      <top/>
      <bottom style="thin">
        <color indexed="64"/>
      </bottom>
      <diagonal/>
    </border>
    <border>
      <left/>
      <right style="thin">
        <color indexed="64"/>
      </right>
      <top style="thin">
        <color indexed="8"/>
      </top>
      <bottom/>
      <diagonal/>
    </border>
    <border>
      <left style="thin">
        <color indexed="65"/>
      </left>
      <right style="thin">
        <color indexed="65"/>
      </right>
      <top style="thin">
        <color indexed="8"/>
      </top>
      <bottom style="thin">
        <color indexed="64"/>
      </bottom>
      <diagonal/>
    </border>
    <border>
      <left/>
      <right style="medium">
        <color indexed="64"/>
      </right>
      <top style="thin">
        <color indexed="8"/>
      </top>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rgb="FFE50BC6"/>
      </left>
      <right style="thick">
        <color rgb="FFE50BC6"/>
      </right>
      <top style="medium">
        <color rgb="FFE50BC6"/>
      </top>
      <bottom/>
      <diagonal/>
    </border>
    <border>
      <left style="thick">
        <color rgb="FFE50BC6"/>
      </left>
      <right style="thick">
        <color rgb="FFE50BC6"/>
      </right>
      <top/>
      <bottom/>
      <diagonal/>
    </border>
    <border>
      <left style="thick">
        <color rgb="FFE50BC6"/>
      </left>
      <right style="thick">
        <color rgb="FFE50BC6"/>
      </right>
      <top/>
      <bottom style="thin">
        <color indexed="64"/>
      </bottom>
      <diagonal/>
    </border>
    <border>
      <left style="thick">
        <color rgb="FFE50BC6"/>
      </left>
      <right style="thick">
        <color rgb="FFE50BC6"/>
      </right>
      <top/>
      <bottom style="medium">
        <color rgb="FFE50BC6"/>
      </bottom>
      <diagonal/>
    </border>
    <border>
      <left style="thick">
        <color rgb="FFE50BC6"/>
      </left>
      <right/>
      <top style="medium">
        <color rgb="FFE50BC6"/>
      </top>
      <bottom/>
      <diagonal/>
    </border>
    <border>
      <left/>
      <right style="thick">
        <color rgb="FFE50BC6"/>
      </right>
      <top style="medium">
        <color rgb="FFE50BC6"/>
      </top>
      <bottom/>
      <diagonal/>
    </border>
    <border>
      <left style="medium">
        <color rgb="FFE50BC6"/>
      </left>
      <right style="medium">
        <color rgb="FFE50BC6"/>
      </right>
      <top style="thin">
        <color rgb="FF00B0F0"/>
      </top>
      <bottom style="thin">
        <color rgb="FF00B0F0"/>
      </bottom>
      <diagonal/>
    </border>
    <border>
      <left style="medium">
        <color rgb="FFE50BC6"/>
      </left>
      <right style="thick">
        <color rgb="FFE50BC6"/>
      </right>
      <top style="thin">
        <color indexed="64"/>
      </top>
      <bottom/>
      <diagonal/>
    </border>
    <border>
      <left style="medium">
        <color rgb="FFE50BC6"/>
      </left>
      <right style="thick">
        <color rgb="FFE50BC6"/>
      </right>
      <top/>
      <bottom/>
      <diagonal/>
    </border>
    <border>
      <left style="medium">
        <color rgb="FFE50BC6"/>
      </left>
      <right style="medium">
        <color rgb="FFE50BC6"/>
      </right>
      <top style="thin">
        <color rgb="FF00B0F0"/>
      </top>
      <bottom/>
      <diagonal/>
    </border>
    <border>
      <left style="medium">
        <color rgb="FFE50BC6"/>
      </left>
      <right style="medium">
        <color rgb="FFE50BC6"/>
      </right>
      <top style="medium">
        <color rgb="FF00B0F0"/>
      </top>
      <bottom/>
      <diagonal/>
    </border>
    <border>
      <left style="medium">
        <color rgb="FFE50BC6"/>
      </left>
      <right style="thick">
        <color rgb="FFE50BC6"/>
      </right>
      <top style="medium">
        <color rgb="FF00B0F0"/>
      </top>
      <bottom/>
      <diagonal/>
    </border>
    <border>
      <left style="medium">
        <color rgb="FFE50BC6"/>
      </left>
      <right style="medium">
        <color rgb="FFE50BC6"/>
      </right>
      <top/>
      <bottom/>
      <diagonal/>
    </border>
    <border>
      <left style="medium">
        <color rgb="FFE50BC6"/>
      </left>
      <right style="medium">
        <color rgb="FFE50BC6"/>
      </right>
      <top/>
      <bottom style="medium">
        <color rgb="FFE50BC6"/>
      </bottom>
      <diagonal/>
    </border>
    <border>
      <left style="medium">
        <color rgb="FFE50BC6"/>
      </left>
      <right style="thick">
        <color rgb="FFE50BC6"/>
      </right>
      <top/>
      <bottom style="medium">
        <color rgb="FFE50BC6"/>
      </bottom>
      <diagonal/>
    </border>
    <border>
      <left/>
      <right style="thick">
        <color rgb="FFE50BC6"/>
      </right>
      <top/>
      <bottom/>
      <diagonal/>
    </border>
    <border>
      <left/>
      <right style="thick">
        <color rgb="FFE50BC6"/>
      </right>
      <top/>
      <bottom style="thin">
        <color indexed="64"/>
      </bottom>
      <diagonal/>
    </border>
    <border>
      <left style="thick">
        <color rgb="FFE50BC6"/>
      </left>
      <right/>
      <top/>
      <bottom/>
      <diagonal/>
    </border>
    <border>
      <left/>
      <right style="medium">
        <color rgb="FFE50BC6"/>
      </right>
      <top style="medium">
        <color rgb="FF00B0F0"/>
      </top>
      <bottom/>
      <diagonal/>
    </border>
    <border>
      <left/>
      <right style="medium">
        <color rgb="FFE50BC6"/>
      </right>
      <top/>
      <bottom/>
      <diagonal/>
    </border>
    <border>
      <left/>
      <right style="medium">
        <color rgb="FFE50BC6"/>
      </right>
      <top style="medium">
        <color rgb="FFE50BC6"/>
      </top>
      <bottom style="thin">
        <color rgb="FF00B0F0"/>
      </bottom>
      <diagonal/>
    </border>
    <border>
      <left/>
      <right style="medium">
        <color rgb="FFE50BC6"/>
      </right>
      <top style="thin">
        <color rgb="FF00B0F0"/>
      </top>
      <bottom style="thin">
        <color rgb="FF00B0F0"/>
      </bottom>
      <diagonal/>
    </border>
    <border>
      <left/>
      <right style="medium">
        <color rgb="FFE50BC6"/>
      </right>
      <top style="thin">
        <color rgb="FF00B0F0"/>
      </top>
      <bottom/>
      <diagonal/>
    </border>
    <border>
      <left/>
      <right style="medium">
        <color rgb="FFE50BC6"/>
      </right>
      <top/>
      <bottom style="medium">
        <color rgb="FFE50BC6"/>
      </bottom>
      <diagonal/>
    </border>
    <border>
      <left/>
      <right style="thick">
        <color rgb="FFE50BC6"/>
      </right>
      <top/>
      <bottom style="medium">
        <color rgb="FFE50BC6"/>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top style="thin">
        <color rgb="FF000000"/>
      </top>
      <bottom style="thin">
        <color rgb="FF000000"/>
      </bottom>
      <diagonal/>
    </border>
    <border>
      <left/>
      <right style="thin">
        <color rgb="FF000000"/>
      </right>
      <top style="thin">
        <color rgb="FF000000"/>
      </top>
      <bottom/>
      <diagonal/>
    </border>
    <border>
      <left/>
      <right/>
      <top style="thin">
        <color rgb="FF000000"/>
      </top>
      <bottom/>
      <diagonal/>
    </border>
    <border>
      <left/>
      <right style="thin">
        <color rgb="FF000000"/>
      </right>
      <top/>
      <bottom style="thin">
        <color rgb="FF000000"/>
      </bottom>
      <diagonal/>
    </border>
    <border>
      <left/>
      <right style="thin">
        <color rgb="FF000000"/>
      </right>
      <top/>
      <bottom style="thin">
        <color indexed="64"/>
      </bottom>
      <diagonal/>
    </border>
  </borders>
  <cellStyleXfs count="5">
    <xf numFmtId="0" fontId="0" fillId="0" borderId="0"/>
    <xf numFmtId="164" fontId="3" fillId="0" borderId="0"/>
    <xf numFmtId="9" fontId="19" fillId="0" borderId="0" applyFont="0" applyFill="0" applyBorder="0" applyAlignment="0" applyProtection="0"/>
    <xf numFmtId="0" fontId="16" fillId="0" borderId="0"/>
    <xf numFmtId="0" fontId="59" fillId="0" borderId="0" applyNumberFormat="0" applyFill="0" applyBorder="0" applyAlignment="0" applyProtection="0"/>
  </cellStyleXfs>
  <cellXfs count="1903">
    <xf numFmtId="0" fontId="0" fillId="0" borderId="0" xfId="0"/>
    <xf numFmtId="0" fontId="1" fillId="0" borderId="0" xfId="0" applyFont="1" applyBorder="1"/>
    <xf numFmtId="0" fontId="1" fillId="0" borderId="0" xfId="0" applyFont="1" applyFill="1" applyBorder="1"/>
    <xf numFmtId="0" fontId="1" fillId="0" borderId="0" xfId="0" applyFont="1" applyBorder="1" applyAlignment="1">
      <alignment horizontal="center"/>
    </xf>
    <xf numFmtId="0" fontId="1" fillId="0" borderId="0" xfId="0" applyFont="1" applyBorder="1" applyAlignment="1">
      <alignment horizontal="left"/>
    </xf>
    <xf numFmtId="0" fontId="1" fillId="0" borderId="0" xfId="0" applyFont="1" applyFill="1" applyBorder="1" applyAlignment="1">
      <alignment horizontal="left"/>
    </xf>
    <xf numFmtId="0" fontId="2" fillId="0" borderId="0" xfId="0" applyFont="1" applyFill="1" applyBorder="1" applyAlignment="1">
      <alignment horizontal="center"/>
    </xf>
    <xf numFmtId="3" fontId="8" fillId="0" borderId="0" xfId="0" applyNumberFormat="1" applyFont="1" applyBorder="1" applyAlignment="1">
      <alignment horizontal="center"/>
    </xf>
    <xf numFmtId="3" fontId="1" fillId="2" borderId="0" xfId="0" applyNumberFormat="1" applyFont="1" applyFill="1" applyBorder="1" applyAlignment="1">
      <alignment horizontal="center"/>
    </xf>
    <xf numFmtId="0" fontId="1" fillId="0" borderId="5" xfId="0" applyFont="1" applyFill="1" applyBorder="1" applyAlignment="1">
      <alignment horizontal="center"/>
    </xf>
    <xf numFmtId="0" fontId="7" fillId="0" borderId="2" xfId="0" applyFont="1" applyBorder="1"/>
    <xf numFmtId="3" fontId="8" fillId="0" borderId="8" xfId="0" applyNumberFormat="1" applyFont="1" applyBorder="1" applyAlignment="1">
      <alignment horizontal="center"/>
    </xf>
    <xf numFmtId="3" fontId="1" fillId="0" borderId="12" xfId="0" applyNumberFormat="1" applyFont="1" applyBorder="1" applyAlignment="1">
      <alignment horizontal="center"/>
    </xf>
    <xf numFmtId="3" fontId="1" fillId="0" borderId="0" xfId="0" applyNumberFormat="1" applyFont="1" applyBorder="1" applyAlignment="1">
      <alignment horizontal="center"/>
    </xf>
    <xf numFmtId="0" fontId="1" fillId="0" borderId="0" xfId="0" applyFont="1" applyAlignment="1">
      <alignment horizontal="center" vertical="center"/>
    </xf>
    <xf numFmtId="0" fontId="1" fillId="2" borderId="0" xfId="0" applyFont="1" applyFill="1" applyAlignment="1">
      <alignment horizontal="center" vertical="center"/>
    </xf>
    <xf numFmtId="0" fontId="2" fillId="0" borderId="0" xfId="0" applyFont="1" applyAlignment="1">
      <alignment horizontal="left"/>
    </xf>
    <xf numFmtId="0" fontId="7" fillId="0" borderId="0" xfId="0" applyFont="1" applyAlignment="1">
      <alignment horizontal="center"/>
    </xf>
    <xf numFmtId="0" fontId="7" fillId="0" borderId="0" xfId="0" applyFont="1"/>
    <xf numFmtId="0" fontId="2" fillId="3" borderId="0" xfId="0" applyFont="1" applyFill="1" applyAlignment="1">
      <alignment horizontal="left"/>
    </xf>
    <xf numFmtId="0" fontId="2" fillId="0" borderId="0" xfId="0" applyFont="1" applyFill="1" applyAlignment="1">
      <alignment horizontal="left"/>
    </xf>
    <xf numFmtId="0" fontId="1" fillId="0" borderId="0" xfId="0" applyFont="1" applyAlignment="1">
      <alignment horizontal="left"/>
    </xf>
    <xf numFmtId="0" fontId="2" fillId="0" borderId="28" xfId="0" applyFont="1" applyBorder="1" applyAlignment="1">
      <alignment horizontal="right"/>
    </xf>
    <xf numFmtId="3" fontId="2" fillId="0" borderId="16" xfId="0" applyNumberFormat="1" applyFont="1" applyBorder="1" applyAlignment="1">
      <alignment horizontal="center"/>
    </xf>
    <xf numFmtId="0" fontId="2" fillId="0" borderId="0" xfId="0" applyFont="1" applyBorder="1"/>
    <xf numFmtId="0" fontId="1" fillId="0" borderId="0" xfId="0" applyFont="1" applyFill="1" applyBorder="1" applyAlignment="1">
      <alignment horizontal="right"/>
    </xf>
    <xf numFmtId="3" fontId="1" fillId="0" borderId="0" xfId="0" applyNumberFormat="1" applyFont="1" applyAlignment="1">
      <alignment horizontal="center"/>
    </xf>
    <xf numFmtId="0" fontId="1" fillId="0" borderId="0" xfId="0" applyFont="1"/>
    <xf numFmtId="0" fontId="7" fillId="0" borderId="14" xfId="0" applyFont="1" applyBorder="1" applyAlignment="1">
      <alignment horizontal="center"/>
    </xf>
    <xf numFmtId="0" fontId="7" fillId="0" borderId="5" xfId="0" applyFont="1" applyBorder="1" applyAlignment="1">
      <alignment horizontal="center"/>
    </xf>
    <xf numFmtId="3" fontId="2" fillId="2" borderId="0" xfId="0" applyNumberFormat="1" applyFont="1" applyFill="1" applyAlignment="1">
      <alignment horizontal="left"/>
    </xf>
    <xf numFmtId="0" fontId="2" fillId="2" borderId="0" xfId="0" applyFont="1" applyFill="1" applyAlignment="1">
      <alignment horizontal="left"/>
    </xf>
    <xf numFmtId="0" fontId="1" fillId="0" borderId="1" xfId="0" applyFont="1" applyFill="1" applyBorder="1" applyAlignment="1">
      <alignment horizontal="center"/>
    </xf>
    <xf numFmtId="0" fontId="7" fillId="0" borderId="1" xfId="0" applyFont="1" applyBorder="1" applyAlignment="1">
      <alignment horizontal="center"/>
    </xf>
    <xf numFmtId="0" fontId="1" fillId="0" borderId="0" xfId="0" applyFont="1" applyFill="1" applyBorder="1" applyAlignment="1">
      <alignment horizontal="center"/>
    </xf>
    <xf numFmtId="0" fontId="2" fillId="0" borderId="5" xfId="0" applyFont="1" applyFill="1" applyBorder="1" applyAlignment="1">
      <alignment horizontal="left"/>
    </xf>
    <xf numFmtId="0" fontId="1" fillId="0" borderId="5" xfId="0" applyFont="1" applyBorder="1" applyAlignment="1">
      <alignment horizontal="left"/>
    </xf>
    <xf numFmtId="0" fontId="8" fillId="0" borderId="0" xfId="0" applyFont="1" applyAlignment="1">
      <alignment horizontal="center"/>
    </xf>
    <xf numFmtId="0" fontId="8" fillId="0" borderId="0" xfId="0" applyFont="1"/>
    <xf numFmtId="0" fontId="2" fillId="5" borderId="0" xfId="0" applyFont="1" applyFill="1" applyAlignment="1">
      <alignment horizontal="left"/>
    </xf>
    <xf numFmtId="0" fontId="2" fillId="6" borderId="0" xfId="0" applyFont="1" applyFill="1" applyAlignment="1">
      <alignment horizontal="left"/>
    </xf>
    <xf numFmtId="0" fontId="2" fillId="6" borderId="0" xfId="0" applyFont="1" applyFill="1" applyBorder="1" applyAlignment="1">
      <alignment horizontal="left"/>
    </xf>
    <xf numFmtId="0" fontId="2" fillId="6" borderId="5" xfId="0" applyFont="1" applyFill="1" applyBorder="1" applyAlignment="1">
      <alignment horizontal="left"/>
    </xf>
    <xf numFmtId="0" fontId="8" fillId="0" borderId="5" xfId="0" applyFont="1" applyBorder="1" applyAlignment="1">
      <alignment horizontal="center"/>
    </xf>
    <xf numFmtId="0" fontId="8" fillId="0" borderId="0" xfId="0" applyFont="1" applyBorder="1" applyAlignment="1">
      <alignment horizontal="center"/>
    </xf>
    <xf numFmtId="0" fontId="8" fillId="0" borderId="5" xfId="0" applyFont="1" applyBorder="1"/>
    <xf numFmtId="0" fontId="1" fillId="2" borderId="1" xfId="0" applyFont="1" applyFill="1" applyBorder="1" applyAlignment="1">
      <alignment horizontal="center"/>
    </xf>
    <xf numFmtId="0" fontId="8" fillId="0" borderId="1" xfId="0" applyFont="1" applyBorder="1" applyAlignment="1">
      <alignment horizontal="center"/>
    </xf>
    <xf numFmtId="0" fontId="8" fillId="2" borderId="1" xfId="0" applyFont="1" applyFill="1" applyBorder="1" applyAlignment="1">
      <alignment horizontal="center"/>
    </xf>
    <xf numFmtId="0" fontId="8" fillId="0" borderId="13" xfId="0" applyFont="1" applyBorder="1" applyAlignment="1">
      <alignment horizontal="center"/>
    </xf>
    <xf numFmtId="0" fontId="8" fillId="2" borderId="30" xfId="0" applyFont="1" applyFill="1" applyBorder="1" applyAlignment="1">
      <alignment horizontal="center"/>
    </xf>
    <xf numFmtId="0" fontId="8" fillId="3" borderId="9" xfId="0" applyFont="1" applyFill="1" applyBorder="1" applyAlignment="1">
      <alignment horizontal="right"/>
    </xf>
    <xf numFmtId="3" fontId="8" fillId="4" borderId="13" xfId="0" applyNumberFormat="1" applyFont="1" applyFill="1" applyBorder="1" applyAlignment="1">
      <alignment horizontal="center"/>
    </xf>
    <xf numFmtId="3" fontId="8" fillId="4" borderId="1" xfId="0" applyNumberFormat="1" applyFont="1" applyFill="1" applyBorder="1" applyAlignment="1">
      <alignment horizontal="center"/>
    </xf>
    <xf numFmtId="3" fontId="8" fillId="4" borderId="10" xfId="0" applyNumberFormat="1" applyFont="1" applyFill="1" applyBorder="1" applyAlignment="1">
      <alignment horizontal="center"/>
    </xf>
    <xf numFmtId="3" fontId="8" fillId="4" borderId="7" xfId="0" applyNumberFormat="1" applyFont="1" applyFill="1" applyBorder="1" applyAlignment="1">
      <alignment horizontal="center"/>
    </xf>
    <xf numFmtId="3" fontId="8" fillId="4" borderId="30" xfId="0" applyNumberFormat="1" applyFont="1" applyFill="1" applyBorder="1" applyAlignment="1">
      <alignment horizontal="center"/>
    </xf>
    <xf numFmtId="0" fontId="8" fillId="3" borderId="3" xfId="0" applyFont="1" applyFill="1" applyBorder="1" applyAlignment="1">
      <alignment horizontal="right"/>
    </xf>
    <xf numFmtId="3" fontId="8" fillId="0" borderId="13" xfId="0" applyNumberFormat="1" applyFont="1" applyBorder="1" applyAlignment="1">
      <alignment horizontal="center"/>
    </xf>
    <xf numFmtId="3" fontId="8" fillId="0" borderId="1" xfId="0" applyNumberFormat="1" applyFont="1" applyBorder="1" applyAlignment="1">
      <alignment horizontal="center"/>
    </xf>
    <xf numFmtId="3" fontId="8" fillId="0" borderId="30" xfId="0" applyNumberFormat="1" applyFont="1" applyBorder="1" applyAlignment="1">
      <alignment horizontal="center"/>
    </xf>
    <xf numFmtId="0" fontId="8" fillId="3" borderId="19" xfId="0" applyFont="1" applyFill="1" applyBorder="1" applyAlignment="1">
      <alignment horizontal="right"/>
    </xf>
    <xf numFmtId="3" fontId="8" fillId="0" borderId="20" xfId="0" applyNumberFormat="1" applyFont="1" applyBorder="1" applyAlignment="1">
      <alignment horizontal="center"/>
    </xf>
    <xf numFmtId="3" fontId="8" fillId="0" borderId="22" xfId="0" applyNumberFormat="1" applyFont="1" applyBorder="1" applyAlignment="1">
      <alignment horizontal="center"/>
    </xf>
    <xf numFmtId="3" fontId="8" fillId="0" borderId="31" xfId="0" applyNumberFormat="1" applyFont="1" applyBorder="1" applyAlignment="1">
      <alignment horizontal="center"/>
    </xf>
    <xf numFmtId="0" fontId="8" fillId="6" borderId="3" xfId="0" applyFont="1" applyFill="1" applyBorder="1" applyAlignment="1">
      <alignment horizontal="right"/>
    </xf>
    <xf numFmtId="3" fontId="8" fillId="4" borderId="32" xfId="0" applyNumberFormat="1" applyFont="1" applyFill="1" applyBorder="1" applyAlignment="1">
      <alignment horizontal="center"/>
    </xf>
    <xf numFmtId="3" fontId="8" fillId="4" borderId="8" xfId="0" applyNumberFormat="1" applyFont="1" applyFill="1" applyBorder="1" applyAlignment="1">
      <alignment horizontal="center"/>
    </xf>
    <xf numFmtId="3" fontId="8" fillId="4" borderId="9" xfId="0" applyNumberFormat="1" applyFont="1" applyFill="1" applyBorder="1" applyAlignment="1">
      <alignment horizontal="center"/>
    </xf>
    <xf numFmtId="3" fontId="8" fillId="4" borderId="33" xfId="0" applyNumberFormat="1" applyFont="1" applyFill="1" applyBorder="1" applyAlignment="1">
      <alignment horizontal="center"/>
    </xf>
    <xf numFmtId="3" fontId="8" fillId="4" borderId="23" xfId="0" applyNumberFormat="1" applyFont="1" applyFill="1" applyBorder="1" applyAlignment="1">
      <alignment horizontal="right"/>
    </xf>
    <xf numFmtId="3" fontId="8" fillId="4" borderId="24" xfId="0" applyNumberFormat="1" applyFont="1" applyFill="1" applyBorder="1" applyAlignment="1">
      <alignment horizontal="center"/>
    </xf>
    <xf numFmtId="3" fontId="8" fillId="4" borderId="26" xfId="0" applyNumberFormat="1" applyFont="1" applyFill="1" applyBorder="1" applyAlignment="1">
      <alignment horizontal="center"/>
    </xf>
    <xf numFmtId="3" fontId="8" fillId="4" borderId="34" xfId="0" applyNumberFormat="1" applyFont="1" applyFill="1" applyBorder="1" applyAlignment="1">
      <alignment horizontal="center"/>
    </xf>
    <xf numFmtId="3" fontId="8" fillId="0" borderId="0" xfId="0" applyNumberFormat="1" applyFont="1"/>
    <xf numFmtId="0" fontId="8" fillId="0" borderId="27" xfId="0" applyFont="1" applyBorder="1" applyAlignment="1">
      <alignment horizontal="right"/>
    </xf>
    <xf numFmtId="3" fontId="2" fillId="0" borderId="18" xfId="0" applyNumberFormat="1" applyFont="1" applyBorder="1" applyAlignment="1">
      <alignment horizontal="center"/>
    </xf>
    <xf numFmtId="3" fontId="2" fillId="0" borderId="36" xfId="0" applyNumberFormat="1" applyFont="1" applyBorder="1" applyAlignment="1">
      <alignment horizontal="center"/>
    </xf>
    <xf numFmtId="3" fontId="2" fillId="0" borderId="37" xfId="0" applyNumberFormat="1" applyFont="1" applyBorder="1" applyAlignment="1">
      <alignment horizontal="center"/>
    </xf>
    <xf numFmtId="0" fontId="1" fillId="6" borderId="0" xfId="0" applyFont="1" applyFill="1" applyAlignment="1">
      <alignment horizontal="right"/>
    </xf>
    <xf numFmtId="0" fontId="1" fillId="0" borderId="17" xfId="0" applyFont="1" applyFill="1" applyBorder="1" applyAlignment="1">
      <alignment horizontal="right"/>
    </xf>
    <xf numFmtId="3" fontId="1" fillId="6" borderId="11" xfId="0" applyNumberFormat="1" applyFont="1" applyFill="1" applyBorder="1" applyAlignment="1">
      <alignment horizontal="center"/>
    </xf>
    <xf numFmtId="0" fontId="1" fillId="0" borderId="8" xfId="0" applyFont="1" applyBorder="1"/>
    <xf numFmtId="0" fontId="1" fillId="0" borderId="38" xfId="0" applyFont="1" applyBorder="1"/>
    <xf numFmtId="3" fontId="1" fillId="7" borderId="12" xfId="0" applyNumberFormat="1" applyFont="1" applyFill="1" applyBorder="1" applyAlignment="1">
      <alignment horizontal="center"/>
    </xf>
    <xf numFmtId="0" fontId="1" fillId="0" borderId="12" xfId="0" applyFont="1" applyBorder="1"/>
    <xf numFmtId="3" fontId="1" fillId="7" borderId="11" xfId="0" applyNumberFormat="1" applyFont="1" applyFill="1" applyBorder="1" applyAlignment="1">
      <alignment horizontal="center"/>
    </xf>
    <xf numFmtId="0" fontId="8" fillId="0" borderId="0" xfId="0" applyFont="1" applyAlignment="1">
      <alignment horizontal="right"/>
    </xf>
    <xf numFmtId="0" fontId="8" fillId="0" borderId="10" xfId="0" applyFont="1" applyBorder="1" applyAlignment="1">
      <alignment horizontal="right"/>
    </xf>
    <xf numFmtId="0" fontId="8" fillId="0" borderId="10" xfId="0" applyFont="1" applyBorder="1"/>
    <xf numFmtId="0" fontId="8" fillId="0" borderId="6" xfId="0" applyFont="1" applyBorder="1" applyAlignment="1">
      <alignment horizontal="center"/>
    </xf>
    <xf numFmtId="0" fontId="8" fillId="0" borderId="10" xfId="0" applyFont="1" applyBorder="1" applyAlignment="1">
      <alignment horizontal="center"/>
    </xf>
    <xf numFmtId="0" fontId="8" fillId="0" borderId="39" xfId="0" applyFont="1" applyFill="1" applyBorder="1" applyAlignment="1">
      <alignment horizontal="left"/>
    </xf>
    <xf numFmtId="0" fontId="8" fillId="0" borderId="0" xfId="0" applyFont="1" applyBorder="1"/>
    <xf numFmtId="0" fontId="8" fillId="5" borderId="0" xfId="0" applyFont="1" applyFill="1" applyAlignment="1">
      <alignment horizontal="right"/>
    </xf>
    <xf numFmtId="3" fontId="1" fillId="5" borderId="11" xfId="0" applyNumberFormat="1" applyFont="1" applyFill="1" applyBorder="1" applyAlignment="1">
      <alignment horizontal="center"/>
    </xf>
    <xf numFmtId="3" fontId="1" fillId="0" borderId="8" xfId="0" applyNumberFormat="1" applyFont="1" applyBorder="1" applyAlignment="1">
      <alignment horizontal="center"/>
    </xf>
    <xf numFmtId="3" fontId="1" fillId="5" borderId="0" xfId="0" applyNumberFormat="1" applyFont="1" applyFill="1" applyBorder="1" applyAlignment="1">
      <alignment horizontal="center"/>
    </xf>
    <xf numFmtId="3" fontId="1" fillId="0" borderId="29" xfId="0" applyNumberFormat="1" applyFont="1" applyBorder="1" applyAlignment="1">
      <alignment horizontal="center"/>
    </xf>
    <xf numFmtId="0" fontId="1" fillId="0" borderId="2" xfId="0" applyFont="1" applyFill="1" applyBorder="1" applyAlignment="1">
      <alignment horizontal="left"/>
    </xf>
    <xf numFmtId="0" fontId="8" fillId="0" borderId="0" xfId="0" applyFont="1" applyAlignment="1">
      <alignment horizontal="left"/>
    </xf>
    <xf numFmtId="0" fontId="8" fillId="0" borderId="4" xfId="0" applyFont="1" applyFill="1" applyBorder="1" applyAlignment="1">
      <alignment horizontal="left"/>
    </xf>
    <xf numFmtId="0" fontId="8" fillId="0" borderId="2" xfId="0" applyFont="1" applyFill="1" applyBorder="1" applyAlignment="1">
      <alignment horizontal="left"/>
    </xf>
    <xf numFmtId="0" fontId="8" fillId="0" borderId="6" xfId="0" applyFont="1" applyFill="1" applyBorder="1" applyAlignment="1">
      <alignment horizontal="left"/>
    </xf>
    <xf numFmtId="0" fontId="8" fillId="0" borderId="29" xfId="0" applyFont="1" applyFill="1" applyBorder="1" applyAlignment="1">
      <alignment horizontal="left"/>
    </xf>
    <xf numFmtId="0" fontId="8" fillId="0" borderId="40" xfId="0" applyFont="1" applyFill="1" applyBorder="1" applyAlignment="1">
      <alignment horizontal="left"/>
    </xf>
    <xf numFmtId="0" fontId="8" fillId="0" borderId="10" xfId="0" applyFont="1" applyFill="1" applyBorder="1" applyAlignment="1">
      <alignment horizontal="left"/>
    </xf>
    <xf numFmtId="0" fontId="8" fillId="0" borderId="0" xfId="0" applyFont="1" applyFill="1" applyBorder="1" applyAlignment="1">
      <alignment horizontal="left"/>
    </xf>
    <xf numFmtId="0" fontId="8" fillId="2" borderId="0" xfId="0" applyFont="1" applyFill="1" applyAlignment="1">
      <alignment horizontal="right"/>
    </xf>
    <xf numFmtId="3" fontId="1" fillId="0" borderId="11" xfId="0" applyNumberFormat="1" applyFont="1" applyFill="1" applyBorder="1" applyAlignment="1">
      <alignment horizontal="center"/>
    </xf>
    <xf numFmtId="3" fontId="1" fillId="0" borderId="11" xfId="0" applyNumberFormat="1" applyFont="1" applyBorder="1" applyAlignment="1">
      <alignment horizontal="center"/>
    </xf>
    <xf numFmtId="3" fontId="1" fillId="2" borderId="8" xfId="0" applyNumberFormat="1" applyFont="1" applyFill="1" applyBorder="1" applyAlignment="1">
      <alignment horizontal="center"/>
    </xf>
    <xf numFmtId="0" fontId="1" fillId="2" borderId="38" xfId="0" applyFont="1" applyFill="1" applyBorder="1"/>
    <xf numFmtId="0" fontId="8" fillId="0" borderId="6" xfId="0" applyFont="1" applyBorder="1" applyAlignment="1">
      <alignment horizontal="left"/>
    </xf>
    <xf numFmtId="0" fontId="8" fillId="0" borderId="5" xfId="0" applyFont="1" applyFill="1" applyBorder="1" applyAlignment="1">
      <alignment horizontal="left"/>
    </xf>
    <xf numFmtId="0" fontId="11" fillId="0" borderId="0" xfId="0" applyFont="1" applyAlignment="1">
      <alignment horizontal="right"/>
    </xf>
    <xf numFmtId="0" fontId="11" fillId="0" borderId="0" xfId="0" applyFont="1"/>
    <xf numFmtId="3" fontId="8" fillId="0" borderId="0" xfId="0" applyNumberFormat="1" applyFont="1" applyAlignment="1">
      <alignment horizontal="right"/>
    </xf>
    <xf numFmtId="3" fontId="8" fillId="2" borderId="0" xfId="0" applyNumberFormat="1" applyFont="1" applyFill="1" applyAlignment="1">
      <alignment horizontal="right"/>
    </xf>
    <xf numFmtId="3" fontId="8" fillId="2" borderId="0" xfId="0" applyNumberFormat="1" applyFont="1" applyFill="1" applyAlignment="1">
      <alignment horizontal="center"/>
    </xf>
    <xf numFmtId="3" fontId="8" fillId="0" borderId="0" xfId="0" applyNumberFormat="1" applyFont="1" applyFill="1" applyAlignment="1">
      <alignment horizontal="center"/>
    </xf>
    <xf numFmtId="3" fontId="8" fillId="0" borderId="0" xfId="0" applyNumberFormat="1" applyFont="1" applyAlignment="1">
      <alignment horizontal="center"/>
    </xf>
    <xf numFmtId="0" fontId="8" fillId="7" borderId="0" xfId="0" applyFont="1" applyFill="1" applyAlignment="1">
      <alignment horizontal="left"/>
    </xf>
    <xf numFmtId="3" fontId="8" fillId="7" borderId="0" xfId="0" applyNumberFormat="1" applyFont="1" applyFill="1" applyAlignment="1">
      <alignment horizontal="center"/>
    </xf>
    <xf numFmtId="0" fontId="8" fillId="0" borderId="0" xfId="0" applyFont="1" applyFill="1" applyAlignment="1">
      <alignment horizontal="center"/>
    </xf>
    <xf numFmtId="0" fontId="8" fillId="2" borderId="0" xfId="0" applyFont="1" applyFill="1" applyAlignment="1">
      <alignment horizontal="center"/>
    </xf>
    <xf numFmtId="1" fontId="11" fillId="0" borderId="0" xfId="0" applyNumberFormat="1" applyFont="1" applyAlignment="1">
      <alignment horizontal="left"/>
    </xf>
    <xf numFmtId="1" fontId="8" fillId="0" borderId="0" xfId="0" applyNumberFormat="1" applyFont="1" applyAlignment="1">
      <alignment horizontal="center"/>
    </xf>
    <xf numFmtId="0" fontId="1" fillId="0" borderId="0" xfId="0" applyFont="1" applyAlignment="1">
      <alignment horizontal="center"/>
    </xf>
    <xf numFmtId="0" fontId="8" fillId="0" borderId="5" xfId="0" applyFont="1" applyBorder="1" applyAlignment="1">
      <alignment horizontal="left"/>
    </xf>
    <xf numFmtId="0" fontId="8" fillId="0" borderId="41" xfId="0" applyFont="1" applyFill="1" applyBorder="1" applyAlignment="1">
      <alignment horizontal="right"/>
    </xf>
    <xf numFmtId="0" fontId="8" fillId="0" borderId="2" xfId="0" applyFont="1" applyFill="1" applyBorder="1" applyAlignment="1">
      <alignment horizontal="center"/>
    </xf>
    <xf numFmtId="0" fontId="8" fillId="0" borderId="5" xfId="0" applyFont="1" applyFill="1" applyBorder="1" applyAlignment="1">
      <alignment horizontal="center"/>
    </xf>
    <xf numFmtId="0" fontId="8" fillId="0" borderId="10" xfId="0" applyFont="1" applyFill="1" applyBorder="1" applyAlignment="1">
      <alignment horizontal="center"/>
    </xf>
    <xf numFmtId="0" fontId="8" fillId="0" borderId="6" xfId="0" applyFont="1" applyFill="1" applyBorder="1" applyAlignment="1">
      <alignment horizontal="center"/>
    </xf>
    <xf numFmtId="0" fontId="8" fillId="0" borderId="0" xfId="0" applyFont="1" applyFill="1" applyBorder="1" applyAlignment="1">
      <alignment horizontal="center"/>
    </xf>
    <xf numFmtId="0" fontId="8" fillId="0" borderId="42" xfId="0" applyFont="1" applyFill="1" applyBorder="1" applyAlignment="1">
      <alignment horizontal="center"/>
    </xf>
    <xf numFmtId="1" fontId="8" fillId="5" borderId="8" xfId="0" applyNumberFormat="1" applyFont="1" applyFill="1" applyBorder="1" applyAlignment="1">
      <alignment horizontal="center"/>
    </xf>
    <xf numFmtId="2" fontId="1" fillId="0" borderId="0" xfId="0" applyNumberFormat="1" applyFont="1" applyFill="1" applyBorder="1" applyAlignment="1" applyProtection="1">
      <alignment horizontal="center"/>
    </xf>
    <xf numFmtId="0" fontId="8" fillId="0" borderId="8" xfId="0" applyFont="1" applyFill="1" applyBorder="1" applyAlignment="1">
      <alignment horizontal="center"/>
    </xf>
    <xf numFmtId="2" fontId="1" fillId="8" borderId="0" xfId="0" applyNumberFormat="1" applyFont="1" applyFill="1" applyBorder="1" applyAlignment="1" applyProtection="1">
      <alignment horizontal="center"/>
    </xf>
    <xf numFmtId="0" fontId="8" fillId="0" borderId="29" xfId="0" applyFont="1" applyFill="1" applyBorder="1" applyAlignment="1">
      <alignment horizontal="center"/>
    </xf>
    <xf numFmtId="0" fontId="8" fillId="8" borderId="4" xfId="0" applyFont="1" applyFill="1" applyBorder="1" applyAlignment="1">
      <alignment horizontal="center"/>
    </xf>
    <xf numFmtId="0" fontId="8" fillId="0" borderId="11" xfId="0" applyFont="1" applyFill="1" applyBorder="1" applyAlignment="1">
      <alignment horizontal="center"/>
    </xf>
    <xf numFmtId="1" fontId="8" fillId="5" borderId="2" xfId="0" applyNumberFormat="1" applyFont="1" applyFill="1" applyBorder="1" applyAlignment="1">
      <alignment horizontal="center"/>
    </xf>
    <xf numFmtId="0" fontId="1" fillId="8" borderId="0" xfId="0" applyFont="1" applyFill="1" applyBorder="1" applyAlignment="1">
      <alignment horizontal="center"/>
    </xf>
    <xf numFmtId="0" fontId="8" fillId="0" borderId="4" xfId="0" applyFont="1" applyFill="1" applyBorder="1" applyAlignment="1">
      <alignment horizontal="center"/>
    </xf>
    <xf numFmtId="2" fontId="1" fillId="0" borderId="0" xfId="0" applyNumberFormat="1" applyFont="1" applyFill="1" applyBorder="1" applyAlignment="1">
      <alignment horizontal="center"/>
    </xf>
    <xf numFmtId="2" fontId="1" fillId="0" borderId="0" xfId="0" applyNumberFormat="1" applyFont="1" applyFill="1" applyBorder="1"/>
    <xf numFmtId="2" fontId="1" fillId="0" borderId="0" xfId="0" applyNumberFormat="1" applyFont="1" applyFill="1" applyBorder="1" applyProtection="1"/>
    <xf numFmtId="1" fontId="8" fillId="5" borderId="10" xfId="0" applyNumberFormat="1" applyFont="1" applyFill="1" applyBorder="1" applyAlignment="1">
      <alignment horizontal="center"/>
    </xf>
    <xf numFmtId="2" fontId="1" fillId="0" borderId="5" xfId="0" applyNumberFormat="1" applyFont="1" applyFill="1" applyBorder="1"/>
    <xf numFmtId="2" fontId="1" fillId="0" borderId="5" xfId="0" applyNumberFormat="1" applyFont="1" applyFill="1" applyBorder="1" applyProtection="1"/>
    <xf numFmtId="0" fontId="8" fillId="0" borderId="39" xfId="0" applyFont="1" applyFill="1" applyBorder="1" applyAlignment="1">
      <alignment horizontal="center"/>
    </xf>
    <xf numFmtId="2" fontId="1" fillId="0" borderId="5" xfId="0" applyNumberFormat="1" applyFont="1" applyFill="1" applyBorder="1" applyAlignment="1">
      <alignment horizontal="center"/>
    </xf>
    <xf numFmtId="0" fontId="1" fillId="8" borderId="5" xfId="0" applyFont="1" applyFill="1" applyBorder="1" applyAlignment="1">
      <alignment horizontal="center"/>
    </xf>
    <xf numFmtId="1" fontId="8" fillId="9" borderId="9" xfId="0" applyNumberFormat="1" applyFont="1" applyFill="1" applyBorder="1" applyAlignment="1">
      <alignment horizontal="center"/>
    </xf>
    <xf numFmtId="2" fontId="1" fillId="0" borderId="2" xfId="0" applyNumberFormat="1" applyFont="1" applyFill="1" applyBorder="1" applyAlignment="1" applyProtection="1">
      <alignment horizontal="center"/>
    </xf>
    <xf numFmtId="0" fontId="1" fillId="0" borderId="0" xfId="0" applyFont="1" applyFill="1" applyBorder="1" applyAlignment="1" applyProtection="1">
      <alignment horizontal="center"/>
    </xf>
    <xf numFmtId="1" fontId="8" fillId="9" borderId="3" xfId="0" applyNumberFormat="1" applyFont="1" applyFill="1" applyBorder="1" applyAlignment="1">
      <alignment horizontal="center"/>
    </xf>
    <xf numFmtId="0" fontId="8" fillId="8" borderId="0" xfId="0" applyFont="1" applyFill="1" applyBorder="1" applyAlignment="1">
      <alignment horizontal="center"/>
    </xf>
    <xf numFmtId="1" fontId="8" fillId="9" borderId="2" xfId="0" applyNumberFormat="1" applyFont="1" applyFill="1" applyBorder="1" applyAlignment="1">
      <alignment horizontal="center"/>
    </xf>
    <xf numFmtId="2" fontId="1" fillId="8" borderId="6" xfId="0" applyNumberFormat="1" applyFont="1" applyFill="1" applyBorder="1" applyAlignment="1" applyProtection="1">
      <alignment horizontal="center"/>
    </xf>
    <xf numFmtId="2" fontId="1" fillId="8" borderId="5" xfId="0" applyNumberFormat="1" applyFont="1" applyFill="1" applyBorder="1" applyAlignment="1" applyProtection="1">
      <alignment horizontal="center"/>
    </xf>
    <xf numFmtId="2" fontId="1" fillId="0" borderId="5" xfId="0" applyNumberFormat="1" applyFont="1" applyFill="1" applyBorder="1" applyAlignment="1" applyProtection="1">
      <alignment horizontal="center"/>
    </xf>
    <xf numFmtId="165" fontId="1" fillId="0" borderId="5" xfId="0" applyNumberFormat="1" applyFont="1" applyFill="1" applyBorder="1" applyAlignment="1" applyProtection="1">
      <alignment horizontal="center"/>
    </xf>
    <xf numFmtId="1" fontId="8" fillId="9" borderId="8" xfId="0" applyNumberFormat="1" applyFont="1" applyFill="1" applyBorder="1" applyAlignment="1">
      <alignment horizontal="center"/>
    </xf>
    <xf numFmtId="165" fontId="1" fillId="0" borderId="0" xfId="0" applyNumberFormat="1" applyFont="1" applyFill="1" applyBorder="1" applyAlignment="1" applyProtection="1">
      <alignment horizontal="center"/>
    </xf>
    <xf numFmtId="165" fontId="1" fillId="0" borderId="0" xfId="0" applyNumberFormat="1" applyFont="1" applyFill="1" applyBorder="1" applyAlignment="1">
      <alignment horizontal="center"/>
    </xf>
    <xf numFmtId="1" fontId="8" fillId="9" borderId="7" xfId="0" applyNumberFormat="1" applyFont="1" applyFill="1" applyBorder="1" applyAlignment="1">
      <alignment horizontal="center"/>
    </xf>
    <xf numFmtId="2" fontId="1" fillId="0" borderId="6" xfId="0" applyNumberFormat="1" applyFont="1" applyFill="1" applyBorder="1" applyAlignment="1" applyProtection="1">
      <alignment horizontal="center"/>
    </xf>
    <xf numFmtId="165" fontId="1" fillId="0" borderId="5" xfId="0" applyNumberFormat="1" applyFont="1" applyFill="1" applyBorder="1" applyAlignment="1">
      <alignment horizontal="center"/>
    </xf>
    <xf numFmtId="1" fontId="8" fillId="5" borderId="9" xfId="0" applyNumberFormat="1" applyFont="1" applyFill="1" applyBorder="1" applyAlignment="1">
      <alignment horizontal="center"/>
    </xf>
    <xf numFmtId="1" fontId="8" fillId="5" borderId="3" xfId="0" applyNumberFormat="1" applyFont="1" applyFill="1" applyBorder="1" applyAlignment="1">
      <alignment horizontal="center"/>
    </xf>
    <xf numFmtId="166" fontId="1" fillId="0" borderId="0" xfId="0" applyNumberFormat="1" applyFont="1" applyFill="1" applyBorder="1" applyAlignment="1" applyProtection="1">
      <alignment horizontal="center"/>
    </xf>
    <xf numFmtId="0" fontId="8" fillId="8" borderId="5" xfId="0" applyFont="1" applyFill="1" applyBorder="1" applyAlignment="1">
      <alignment horizontal="center"/>
    </xf>
    <xf numFmtId="167" fontId="8" fillId="0" borderId="8" xfId="0" applyNumberFormat="1" applyFont="1" applyBorder="1" applyAlignment="1">
      <alignment horizontal="center"/>
    </xf>
    <xf numFmtId="167" fontId="8" fillId="0" borderId="6" xfId="0" applyNumberFormat="1" applyFont="1" applyFill="1" applyBorder="1" applyAlignment="1">
      <alignment horizontal="center"/>
    </xf>
    <xf numFmtId="167" fontId="8" fillId="0" borderId="5" xfId="0" applyNumberFormat="1" applyFont="1" applyBorder="1" applyAlignment="1">
      <alignment horizontal="center"/>
    </xf>
    <xf numFmtId="0" fontId="8" fillId="0" borderId="10" xfId="0" applyFont="1" applyBorder="1" applyAlignment="1">
      <alignment horizontal="left"/>
    </xf>
    <xf numFmtId="1" fontId="8" fillId="5" borderId="0" xfId="0" applyNumberFormat="1" applyFont="1" applyFill="1" applyAlignment="1">
      <alignment horizontal="center"/>
    </xf>
    <xf numFmtId="0" fontId="8" fillId="10" borderId="0" xfId="0" applyFont="1" applyFill="1" applyAlignment="1">
      <alignment horizontal="center"/>
    </xf>
    <xf numFmtId="0" fontId="8" fillId="10" borderId="4" xfId="0" applyFont="1" applyFill="1" applyBorder="1" applyAlignment="1">
      <alignment horizontal="center"/>
    </xf>
    <xf numFmtId="0" fontId="8" fillId="10" borderId="2" xfId="0" applyFont="1" applyFill="1" applyBorder="1" applyAlignment="1">
      <alignment horizontal="center"/>
    </xf>
    <xf numFmtId="0" fontId="8" fillId="0" borderId="38" xfId="0" applyFont="1" applyFill="1" applyBorder="1" applyAlignment="1">
      <alignment horizontal="center"/>
    </xf>
    <xf numFmtId="167" fontId="8" fillId="0" borderId="0" xfId="0" applyNumberFormat="1" applyFont="1" applyFill="1" applyAlignment="1">
      <alignment horizontal="center"/>
    </xf>
    <xf numFmtId="167" fontId="8" fillId="0" borderId="0" xfId="0" applyNumberFormat="1" applyFont="1" applyAlignment="1">
      <alignment horizontal="center"/>
    </xf>
    <xf numFmtId="1" fontId="8" fillId="5" borderId="5" xfId="0" applyNumberFormat="1" applyFont="1" applyFill="1" applyBorder="1" applyAlignment="1">
      <alignment horizontal="center"/>
    </xf>
    <xf numFmtId="0" fontId="8" fillId="10" borderId="0" xfId="0" applyFont="1" applyFill="1" applyBorder="1" applyAlignment="1">
      <alignment horizontal="center"/>
    </xf>
    <xf numFmtId="0" fontId="8" fillId="10" borderId="10" xfId="0" applyFont="1" applyFill="1" applyBorder="1" applyAlignment="1">
      <alignment horizontal="center"/>
    </xf>
    <xf numFmtId="0" fontId="8" fillId="10" borderId="5" xfId="0" applyFont="1" applyFill="1" applyBorder="1" applyAlignment="1">
      <alignment horizontal="center"/>
    </xf>
    <xf numFmtId="0" fontId="8" fillId="10" borderId="29" xfId="0" applyFont="1" applyFill="1" applyBorder="1" applyAlignment="1">
      <alignment horizontal="center"/>
    </xf>
    <xf numFmtId="0" fontId="8" fillId="10" borderId="6" xfId="0" applyFont="1" applyFill="1" applyBorder="1" applyAlignment="1">
      <alignment horizontal="center"/>
    </xf>
    <xf numFmtId="0" fontId="6" fillId="10" borderId="4" xfId="0" applyFont="1" applyFill="1" applyBorder="1" applyAlignment="1">
      <alignment horizontal="center"/>
    </xf>
    <xf numFmtId="0" fontId="8" fillId="0" borderId="43" xfId="0" applyFont="1" applyFill="1" applyBorder="1" applyAlignment="1">
      <alignment horizontal="right"/>
    </xf>
    <xf numFmtId="1" fontId="8" fillId="0" borderId="10" xfId="0" applyNumberFormat="1" applyFont="1" applyBorder="1" applyAlignment="1">
      <alignment horizontal="center"/>
    </xf>
    <xf numFmtId="1" fontId="8" fillId="0" borderId="0" xfId="0" applyNumberFormat="1" applyFont="1" applyFill="1" applyBorder="1" applyAlignment="1">
      <alignment horizontal="center"/>
    </xf>
    <xf numFmtId="165" fontId="8" fillId="0" borderId="4" xfId="0" applyNumberFormat="1" applyFont="1" applyFill="1" applyBorder="1" applyAlignment="1">
      <alignment horizontal="center"/>
    </xf>
    <xf numFmtId="165" fontId="8" fillId="0" borderId="2" xfId="0" applyNumberFormat="1" applyFont="1" applyFill="1" applyBorder="1" applyAlignment="1">
      <alignment horizontal="center"/>
    </xf>
    <xf numFmtId="165" fontId="8" fillId="0" borderId="0" xfId="0" applyNumberFormat="1" applyFont="1" applyFill="1" applyBorder="1" applyAlignment="1">
      <alignment horizontal="center"/>
    </xf>
    <xf numFmtId="165" fontId="8" fillId="0" borderId="11" xfId="0" applyNumberFormat="1" applyFont="1" applyFill="1" applyBorder="1" applyAlignment="1">
      <alignment horizontal="center"/>
    </xf>
    <xf numFmtId="165" fontId="8" fillId="0" borderId="8" xfId="0" applyNumberFormat="1" applyFont="1" applyFill="1" applyBorder="1" applyAlignment="1">
      <alignment horizontal="center"/>
    </xf>
    <xf numFmtId="168" fontId="8" fillId="0" borderId="0" xfId="0" applyNumberFormat="1" applyFont="1" applyFill="1" applyBorder="1" applyAlignment="1">
      <alignment horizontal="center"/>
    </xf>
    <xf numFmtId="165" fontId="8" fillId="0" borderId="6" xfId="0" applyNumberFormat="1" applyFont="1" applyFill="1" applyBorder="1" applyAlignment="1">
      <alignment horizontal="center"/>
    </xf>
    <xf numFmtId="165" fontId="8" fillId="0" borderId="10" xfId="0" applyNumberFormat="1" applyFont="1" applyFill="1" applyBorder="1" applyAlignment="1">
      <alignment horizontal="center"/>
    </xf>
    <xf numFmtId="1" fontId="8" fillId="0" borderId="0" xfId="0" applyNumberFormat="1" applyFont="1" applyFill="1" applyAlignment="1">
      <alignment horizontal="center"/>
    </xf>
    <xf numFmtId="165" fontId="8" fillId="0" borderId="12" xfId="0" applyNumberFormat="1" applyFont="1" applyFill="1" applyBorder="1" applyAlignment="1">
      <alignment horizontal="center"/>
    </xf>
    <xf numFmtId="0" fontId="1" fillId="0" borderId="0" xfId="0" applyFont="1" applyFill="1"/>
    <xf numFmtId="0" fontId="8" fillId="0" borderId="0" xfId="0" applyFont="1" applyFill="1" applyAlignment="1">
      <alignment horizontal="left"/>
    </xf>
    <xf numFmtId="0" fontId="8" fillId="0" borderId="38" xfId="0" applyFont="1" applyBorder="1" applyAlignment="1">
      <alignment horizontal="center"/>
    </xf>
    <xf numFmtId="1" fontId="8" fillId="0" borderId="0" xfId="0" applyNumberFormat="1" applyFont="1" applyBorder="1" applyAlignment="1">
      <alignment horizontal="center"/>
    </xf>
    <xf numFmtId="1" fontId="8" fillId="0" borderId="4" xfId="0" applyNumberFormat="1" applyFont="1" applyFill="1" applyBorder="1" applyAlignment="1">
      <alignment horizontal="center"/>
    </xf>
    <xf numFmtId="1" fontId="8" fillId="0" borderId="2" xfId="0" applyNumberFormat="1" applyFont="1" applyFill="1" applyBorder="1" applyAlignment="1">
      <alignment horizontal="center"/>
    </xf>
    <xf numFmtId="1" fontId="8" fillId="10" borderId="0" xfId="0" applyNumberFormat="1" applyFont="1" applyFill="1" applyAlignment="1">
      <alignment horizontal="center"/>
    </xf>
    <xf numFmtId="1" fontId="1" fillId="10" borderId="4" xfId="0" applyNumberFormat="1" applyFont="1" applyFill="1" applyBorder="1" applyAlignment="1">
      <alignment horizontal="center"/>
    </xf>
    <xf numFmtId="1" fontId="8" fillId="10" borderId="2" xfId="0" applyNumberFormat="1" applyFont="1" applyFill="1" applyBorder="1" applyAlignment="1">
      <alignment horizontal="center"/>
    </xf>
    <xf numFmtId="1" fontId="8" fillId="10" borderId="4" xfId="0" applyNumberFormat="1" applyFont="1" applyFill="1" applyBorder="1" applyAlignment="1">
      <alignment horizontal="center"/>
    </xf>
    <xf numFmtId="1" fontId="8" fillId="0" borderId="11" xfId="0" applyNumberFormat="1" applyFont="1" applyFill="1" applyBorder="1" applyAlignment="1">
      <alignment horizontal="center"/>
    </xf>
    <xf numFmtId="1" fontId="8" fillId="0" borderId="12" xfId="0" applyNumberFormat="1" applyFont="1" applyFill="1" applyBorder="1" applyAlignment="1">
      <alignment horizontal="center"/>
    </xf>
    <xf numFmtId="1" fontId="8" fillId="0" borderId="38" xfId="0" applyNumberFormat="1" applyFont="1" applyFill="1" applyBorder="1" applyAlignment="1">
      <alignment horizontal="center"/>
    </xf>
    <xf numFmtId="1" fontId="8" fillId="11" borderId="0" xfId="0" applyNumberFormat="1" applyFont="1" applyFill="1" applyBorder="1" applyAlignment="1">
      <alignment horizontal="center"/>
    </xf>
    <xf numFmtId="1" fontId="8" fillId="11" borderId="2" xfId="0" applyNumberFormat="1" applyFont="1" applyFill="1" applyBorder="1" applyAlignment="1">
      <alignment horizontal="center"/>
    </xf>
    <xf numFmtId="1" fontId="8" fillId="11" borderId="0" xfId="0" applyNumberFormat="1" applyFont="1" applyFill="1" applyAlignment="1">
      <alignment horizontal="center"/>
    </xf>
    <xf numFmtId="1" fontId="8" fillId="0" borderId="8" xfId="0" applyNumberFormat="1" applyFont="1" applyFill="1" applyBorder="1" applyAlignment="1">
      <alignment horizontal="center"/>
    </xf>
    <xf numFmtId="167" fontId="8" fillId="0" borderId="0" xfId="0" applyNumberFormat="1" applyFont="1" applyFill="1" applyBorder="1" applyAlignment="1">
      <alignment horizontal="center"/>
    </xf>
    <xf numFmtId="1" fontId="8" fillId="11" borderId="4" xfId="0" applyNumberFormat="1" applyFont="1" applyFill="1" applyBorder="1" applyAlignment="1">
      <alignment horizontal="center"/>
    </xf>
    <xf numFmtId="1" fontId="8" fillId="11" borderId="29" xfId="0" applyNumberFormat="1" applyFont="1" applyFill="1" applyBorder="1" applyAlignment="1">
      <alignment horizontal="center"/>
    </xf>
    <xf numFmtId="1" fontId="8" fillId="10" borderId="0" xfId="0" applyNumberFormat="1" applyFont="1" applyFill="1" applyBorder="1" applyAlignment="1">
      <alignment horizontal="center"/>
    </xf>
    <xf numFmtId="1" fontId="8" fillId="0" borderId="29" xfId="0" applyNumberFormat="1" applyFont="1" applyFill="1" applyBorder="1" applyAlignment="1">
      <alignment horizontal="center"/>
    </xf>
    <xf numFmtId="1" fontId="6" fillId="10" borderId="0" xfId="0" applyNumberFormat="1" applyFont="1" applyFill="1" applyAlignment="1">
      <alignment horizontal="center"/>
    </xf>
    <xf numFmtId="1" fontId="6" fillId="11" borderId="0" xfId="0" applyNumberFormat="1" applyFont="1" applyFill="1" applyAlignment="1">
      <alignment horizontal="center"/>
    </xf>
    <xf numFmtId="1" fontId="1" fillId="10" borderId="0" xfId="0" applyNumberFormat="1" applyFont="1" applyFill="1" applyAlignment="1">
      <alignment horizontal="center"/>
    </xf>
    <xf numFmtId="1" fontId="1" fillId="11" borderId="0" xfId="0" applyNumberFormat="1" applyFont="1" applyFill="1" applyAlignment="1">
      <alignment horizontal="center"/>
    </xf>
    <xf numFmtId="1" fontId="6" fillId="10" borderId="4" xfId="0" applyNumberFormat="1" applyFont="1" applyFill="1" applyBorder="1" applyAlignment="1">
      <alignment horizontal="center"/>
    </xf>
    <xf numFmtId="1" fontId="6" fillId="9" borderId="4" xfId="0" applyNumberFormat="1" applyFont="1" applyFill="1" applyBorder="1" applyAlignment="1">
      <alignment horizontal="center"/>
    </xf>
    <xf numFmtId="1" fontId="8" fillId="0" borderId="6" xfId="0" applyNumberFormat="1" applyFont="1" applyFill="1" applyBorder="1" applyAlignment="1">
      <alignment horizontal="center"/>
    </xf>
    <xf numFmtId="1" fontId="8" fillId="0" borderId="10" xfId="0" applyNumberFormat="1" applyFont="1" applyFill="1" applyBorder="1" applyAlignment="1">
      <alignment horizontal="center"/>
    </xf>
    <xf numFmtId="1" fontId="8" fillId="0" borderId="5" xfId="0" applyNumberFormat="1" applyFont="1" applyFill="1" applyBorder="1" applyAlignment="1">
      <alignment horizontal="center"/>
    </xf>
    <xf numFmtId="1" fontId="8" fillId="0" borderId="39" xfId="0" applyNumberFormat="1" applyFont="1" applyFill="1" applyBorder="1" applyAlignment="1">
      <alignment horizontal="center"/>
    </xf>
    <xf numFmtId="1" fontId="8" fillId="11" borderId="6" xfId="0" applyNumberFormat="1" applyFont="1" applyFill="1" applyBorder="1" applyAlignment="1">
      <alignment horizontal="center"/>
    </xf>
    <xf numFmtId="1" fontId="8" fillId="11" borderId="10" xfId="0" applyNumberFormat="1" applyFont="1" applyFill="1" applyBorder="1" applyAlignment="1">
      <alignment horizontal="center"/>
    </xf>
    <xf numFmtId="1" fontId="8" fillId="11" borderId="5" xfId="0" applyNumberFormat="1" applyFont="1" applyFill="1" applyBorder="1" applyAlignment="1">
      <alignment horizontal="center"/>
    </xf>
    <xf numFmtId="1" fontId="8" fillId="10" borderId="6" xfId="0" applyNumberFormat="1" applyFont="1" applyFill="1" applyBorder="1" applyAlignment="1">
      <alignment horizontal="center"/>
    </xf>
    <xf numFmtId="1" fontId="8" fillId="10" borderId="10" xfId="0" applyNumberFormat="1" applyFont="1" applyFill="1" applyBorder="1" applyAlignment="1">
      <alignment horizontal="center"/>
    </xf>
    <xf numFmtId="1" fontId="8" fillId="10" borderId="5" xfId="0" applyNumberFormat="1" applyFont="1" applyFill="1" applyBorder="1" applyAlignment="1">
      <alignment horizontal="center"/>
    </xf>
    <xf numFmtId="1" fontId="8" fillId="10" borderId="29" xfId="0" applyNumberFormat="1" applyFont="1" applyFill="1" applyBorder="1" applyAlignment="1">
      <alignment horizontal="center"/>
    </xf>
    <xf numFmtId="1" fontId="6" fillId="11" borderId="4" xfId="0" applyNumberFormat="1" applyFont="1" applyFill="1" applyBorder="1" applyAlignment="1">
      <alignment horizontal="center"/>
    </xf>
    <xf numFmtId="1" fontId="1" fillId="11" borderId="5" xfId="0" applyNumberFormat="1" applyFont="1" applyFill="1" applyBorder="1" applyAlignment="1">
      <alignment horizontal="center"/>
    </xf>
    <xf numFmtId="1" fontId="8" fillId="11" borderId="39" xfId="0" applyNumberFormat="1" applyFont="1" applyFill="1" applyBorder="1" applyAlignment="1">
      <alignment horizontal="center"/>
    </xf>
    <xf numFmtId="1" fontId="6" fillId="0" borderId="0" xfId="0" applyNumberFormat="1" applyFont="1" applyFill="1" applyAlignment="1">
      <alignment horizontal="center"/>
    </xf>
    <xf numFmtId="1" fontId="8" fillId="0" borderId="14" xfId="0" applyNumberFormat="1" applyFont="1" applyFill="1" applyBorder="1" applyAlignment="1">
      <alignment horizontal="center"/>
    </xf>
    <xf numFmtId="1" fontId="8" fillId="0" borderId="13" xfId="0" applyNumberFormat="1" applyFont="1" applyFill="1" applyBorder="1" applyAlignment="1">
      <alignment horizontal="center"/>
    </xf>
    <xf numFmtId="1" fontId="8" fillId="0" borderId="15" xfId="0" applyNumberFormat="1" applyFont="1" applyFill="1" applyBorder="1" applyAlignment="1">
      <alignment horizontal="center"/>
    </xf>
    <xf numFmtId="0" fontId="8" fillId="0" borderId="12" xfId="0" applyFont="1" applyFill="1" applyBorder="1" applyAlignment="1">
      <alignment horizontal="center"/>
    </xf>
    <xf numFmtId="167" fontId="8" fillId="0" borderId="14" xfId="0" applyNumberFormat="1" applyFont="1" applyBorder="1" applyAlignment="1">
      <alignment horizontal="center"/>
    </xf>
    <xf numFmtId="167" fontId="8" fillId="0" borderId="13" xfId="0" applyNumberFormat="1" applyFont="1" applyBorder="1" applyAlignment="1">
      <alignment horizontal="center"/>
    </xf>
    <xf numFmtId="167" fontId="8" fillId="0" borderId="15" xfId="0" applyNumberFormat="1" applyFont="1" applyBorder="1" applyAlignment="1">
      <alignment horizontal="center"/>
    </xf>
    <xf numFmtId="167" fontId="8" fillId="0" borderId="38" xfId="0" applyNumberFormat="1" applyFont="1" applyFill="1" applyBorder="1" applyAlignment="1">
      <alignment horizontal="center"/>
    </xf>
    <xf numFmtId="167" fontId="8" fillId="0" borderId="15" xfId="0" applyNumberFormat="1" applyFont="1" applyFill="1" applyBorder="1" applyAlignment="1">
      <alignment horizontal="center"/>
    </xf>
    <xf numFmtId="167" fontId="8" fillId="0" borderId="13" xfId="0" applyNumberFormat="1" applyFont="1" applyFill="1" applyBorder="1" applyAlignment="1">
      <alignment horizontal="center"/>
    </xf>
    <xf numFmtId="167" fontId="8" fillId="0" borderId="14" xfId="0" applyNumberFormat="1" applyFont="1" applyFill="1" applyBorder="1" applyAlignment="1">
      <alignment horizontal="center"/>
    </xf>
    <xf numFmtId="167" fontId="8" fillId="0" borderId="4" xfId="0" applyNumberFormat="1" applyFont="1" applyFill="1" applyBorder="1" applyAlignment="1">
      <alignment horizontal="center"/>
    </xf>
    <xf numFmtId="167" fontId="8" fillId="0" borderId="2" xfId="0" applyNumberFormat="1" applyFont="1" applyFill="1" applyBorder="1" applyAlignment="1">
      <alignment horizontal="center"/>
    </xf>
    <xf numFmtId="167" fontId="8" fillId="10" borderId="0" xfId="0" applyNumberFormat="1" applyFont="1" applyFill="1" applyAlignment="1">
      <alignment horizontal="center"/>
    </xf>
    <xf numFmtId="167" fontId="8" fillId="10" borderId="4" xfId="0" applyNumberFormat="1" applyFont="1" applyFill="1" applyBorder="1" applyAlignment="1">
      <alignment horizontal="center"/>
    </xf>
    <xf numFmtId="167" fontId="8" fillId="10" borderId="2" xfId="0" applyNumberFormat="1" applyFont="1" applyFill="1" applyBorder="1" applyAlignment="1">
      <alignment horizontal="center"/>
    </xf>
    <xf numFmtId="167" fontId="8" fillId="0" borderId="12" xfId="0" applyNumberFormat="1" applyFont="1" applyFill="1" applyBorder="1" applyAlignment="1">
      <alignment horizontal="center"/>
    </xf>
    <xf numFmtId="167" fontId="8" fillId="0" borderId="8" xfId="0" applyNumberFormat="1" applyFont="1" applyFill="1" applyBorder="1" applyAlignment="1">
      <alignment horizontal="center"/>
    </xf>
    <xf numFmtId="167" fontId="8" fillId="11" borderId="0" xfId="0" applyNumberFormat="1" applyFont="1" applyFill="1" applyBorder="1" applyAlignment="1">
      <alignment horizontal="center"/>
    </xf>
    <xf numFmtId="167" fontId="8" fillId="11" borderId="2" xfId="0" applyNumberFormat="1" applyFont="1" applyFill="1" applyBorder="1" applyAlignment="1">
      <alignment horizontal="center"/>
    </xf>
    <xf numFmtId="167" fontId="8" fillId="11" borderId="0" xfId="0" applyNumberFormat="1" applyFont="1" applyFill="1" applyAlignment="1">
      <alignment horizontal="center"/>
    </xf>
    <xf numFmtId="167" fontId="8" fillId="0" borderId="11" xfId="0" applyNumberFormat="1" applyFont="1" applyFill="1" applyBorder="1" applyAlignment="1">
      <alignment horizontal="center"/>
    </xf>
    <xf numFmtId="167" fontId="8" fillId="11" borderId="29" xfId="0" applyNumberFormat="1" applyFont="1" applyFill="1" applyBorder="1" applyAlignment="1">
      <alignment horizontal="center"/>
    </xf>
    <xf numFmtId="167" fontId="8" fillId="10" borderId="0" xfId="0" applyNumberFormat="1" applyFont="1" applyFill="1" applyBorder="1" applyAlignment="1">
      <alignment horizontal="center"/>
    </xf>
    <xf numFmtId="167" fontId="8" fillId="11" borderId="4" xfId="0" applyNumberFormat="1" applyFont="1" applyFill="1" applyBorder="1" applyAlignment="1">
      <alignment horizontal="center"/>
    </xf>
    <xf numFmtId="167" fontId="8" fillId="0" borderId="29" xfId="0" applyNumberFormat="1" applyFont="1" applyFill="1" applyBorder="1" applyAlignment="1">
      <alignment horizontal="center"/>
    </xf>
    <xf numFmtId="167" fontId="8" fillId="12" borderId="0" xfId="0" applyNumberFormat="1" applyFont="1" applyFill="1" applyAlignment="1">
      <alignment horizontal="center"/>
    </xf>
    <xf numFmtId="167" fontId="8" fillId="12" borderId="2" xfId="0" applyNumberFormat="1" applyFont="1" applyFill="1" applyBorder="1" applyAlignment="1">
      <alignment horizontal="center"/>
    </xf>
    <xf numFmtId="167" fontId="6" fillId="10" borderId="0" xfId="0" applyNumberFormat="1" applyFont="1" applyFill="1" applyAlignment="1">
      <alignment horizontal="center"/>
    </xf>
    <xf numFmtId="167" fontId="8" fillId="12" borderId="4" xfId="0" applyNumberFormat="1" applyFont="1" applyFill="1" applyBorder="1" applyAlignment="1">
      <alignment horizontal="center"/>
    </xf>
    <xf numFmtId="167" fontId="8" fillId="0" borderId="10" xfId="0" applyNumberFormat="1" applyFont="1" applyFill="1" applyBorder="1" applyAlignment="1">
      <alignment horizontal="center"/>
    </xf>
    <xf numFmtId="167" fontId="8" fillId="0" borderId="5" xfId="0" applyNumberFormat="1" applyFont="1" applyFill="1" applyBorder="1" applyAlignment="1">
      <alignment horizontal="center"/>
    </xf>
    <xf numFmtId="167" fontId="8" fillId="0" borderId="39" xfId="0" applyNumberFormat="1" applyFont="1" applyFill="1" applyBorder="1" applyAlignment="1">
      <alignment horizontal="center"/>
    </xf>
    <xf numFmtId="167" fontId="8" fillId="0" borderId="40" xfId="0" applyNumberFormat="1" applyFont="1" applyFill="1" applyBorder="1" applyAlignment="1">
      <alignment horizontal="center"/>
    </xf>
    <xf numFmtId="167" fontId="8" fillId="11" borderId="12" xfId="0" applyNumberFormat="1" applyFont="1" applyFill="1" applyBorder="1" applyAlignment="1">
      <alignment horizontal="center"/>
    </xf>
    <xf numFmtId="167" fontId="8" fillId="11" borderId="8" xfId="0" applyNumberFormat="1" applyFont="1" applyFill="1" applyBorder="1" applyAlignment="1">
      <alignment horizontal="center"/>
    </xf>
    <xf numFmtId="167" fontId="8" fillId="10" borderId="12" xfId="0" applyNumberFormat="1" applyFont="1" applyFill="1" applyBorder="1" applyAlignment="1">
      <alignment horizontal="center"/>
    </xf>
    <xf numFmtId="167" fontId="8" fillId="10" borderId="8" xfId="0" applyNumberFormat="1" applyFont="1" applyFill="1" applyBorder="1" applyAlignment="1">
      <alignment horizontal="center"/>
    </xf>
    <xf numFmtId="167" fontId="8" fillId="10" borderId="29" xfId="0" applyNumberFormat="1" applyFont="1" applyFill="1" applyBorder="1" applyAlignment="1">
      <alignment horizontal="center"/>
    </xf>
    <xf numFmtId="167" fontId="8" fillId="10" borderId="6" xfId="0" applyNumberFormat="1" applyFont="1" applyFill="1" applyBorder="1" applyAlignment="1">
      <alignment horizontal="center"/>
    </xf>
    <xf numFmtId="167" fontId="8" fillId="10" borderId="10" xfId="0" applyNumberFormat="1" applyFont="1" applyFill="1" applyBorder="1" applyAlignment="1">
      <alignment horizontal="center"/>
    </xf>
    <xf numFmtId="167" fontId="8" fillId="10" borderId="5" xfId="0" applyNumberFormat="1" applyFont="1" applyFill="1" applyBorder="1" applyAlignment="1">
      <alignment horizontal="center"/>
    </xf>
    <xf numFmtId="167" fontId="8" fillId="11" borderId="5" xfId="0" applyNumberFormat="1" applyFont="1" applyFill="1" applyBorder="1" applyAlignment="1">
      <alignment horizontal="center"/>
    </xf>
    <xf numFmtId="167" fontId="8" fillId="11" borderId="6" xfId="0" applyNumberFormat="1" applyFont="1" applyFill="1" applyBorder="1" applyAlignment="1">
      <alignment horizontal="center"/>
    </xf>
    <xf numFmtId="167" fontId="8" fillId="11" borderId="10" xfId="0" applyNumberFormat="1" applyFont="1" applyFill="1" applyBorder="1" applyAlignment="1">
      <alignment horizontal="center"/>
    </xf>
    <xf numFmtId="167" fontId="8" fillId="11" borderId="39" xfId="0" applyNumberFormat="1" applyFont="1" applyFill="1" applyBorder="1" applyAlignment="1">
      <alignment horizontal="center"/>
    </xf>
    <xf numFmtId="167" fontId="8" fillId="12" borderId="0" xfId="0" applyNumberFormat="1" applyFont="1" applyFill="1" applyBorder="1" applyAlignment="1">
      <alignment horizontal="center"/>
    </xf>
    <xf numFmtId="1" fontId="8" fillId="0" borderId="0" xfId="0" applyNumberFormat="1" applyFont="1" applyAlignment="1">
      <alignment horizontal="right"/>
    </xf>
    <xf numFmtId="167" fontId="8" fillId="0" borderId="10" xfId="0" applyNumberFormat="1" applyFont="1" applyBorder="1" applyAlignment="1">
      <alignment horizontal="center"/>
    </xf>
    <xf numFmtId="167" fontId="8" fillId="0" borderId="30" xfId="0" applyNumberFormat="1" applyFont="1" applyFill="1" applyBorder="1" applyAlignment="1">
      <alignment horizontal="center"/>
    </xf>
    <xf numFmtId="1" fontId="1" fillId="0" borderId="0" xfId="0" applyNumberFormat="1" applyFont="1" applyBorder="1" applyAlignment="1">
      <alignment horizontal="center"/>
    </xf>
    <xf numFmtId="1" fontId="8" fillId="0" borderId="5" xfId="0" applyNumberFormat="1" applyFont="1" applyBorder="1" applyAlignment="1">
      <alignment horizontal="right"/>
    </xf>
    <xf numFmtId="1" fontId="8" fillId="0" borderId="5" xfId="0" applyNumberFormat="1" applyFont="1" applyBorder="1" applyAlignment="1">
      <alignment horizontal="center"/>
    </xf>
    <xf numFmtId="1" fontId="1" fillId="0" borderId="5" xfId="0" applyNumberFormat="1" applyFont="1" applyBorder="1" applyAlignment="1">
      <alignment horizontal="center"/>
    </xf>
    <xf numFmtId="3" fontId="1" fillId="9" borderId="0" xfId="0" applyNumberFormat="1" applyFont="1" applyFill="1" applyAlignment="1">
      <alignment horizontal="right"/>
    </xf>
    <xf numFmtId="3" fontId="8" fillId="9" borderId="11" xfId="0" applyNumberFormat="1" applyFont="1" applyFill="1" applyBorder="1" applyAlignment="1">
      <alignment horizontal="center"/>
    </xf>
    <xf numFmtId="3" fontId="8" fillId="7" borderId="11" xfId="0" applyNumberFormat="1" applyFont="1" applyFill="1" applyBorder="1" applyAlignment="1">
      <alignment horizontal="center"/>
    </xf>
    <xf numFmtId="3" fontId="8" fillId="0" borderId="8" xfId="0" applyNumberFormat="1" applyFont="1" applyFill="1" applyBorder="1" applyAlignment="1">
      <alignment horizontal="center"/>
    </xf>
    <xf numFmtId="3" fontId="1" fillId="0" borderId="0" xfId="0" applyNumberFormat="1" applyFont="1"/>
    <xf numFmtId="3" fontId="8" fillId="5" borderId="0" xfId="0" applyNumberFormat="1" applyFont="1" applyFill="1" applyAlignment="1">
      <alignment horizontal="right"/>
    </xf>
    <xf numFmtId="3" fontId="8" fillId="5" borderId="11" xfId="0" applyNumberFormat="1" applyFont="1" applyFill="1" applyBorder="1" applyAlignment="1">
      <alignment horizontal="center"/>
    </xf>
    <xf numFmtId="3" fontId="11" fillId="0" borderId="0" xfId="0" applyNumberFormat="1" applyFont="1" applyAlignment="1">
      <alignment horizontal="right"/>
    </xf>
    <xf numFmtId="3" fontId="11" fillId="0" borderId="14" xfId="0" applyNumberFormat="1" applyFont="1" applyBorder="1" applyAlignment="1">
      <alignment horizontal="center"/>
    </xf>
    <xf numFmtId="3" fontId="11" fillId="0" borderId="13" xfId="0" applyNumberFormat="1" applyFont="1" applyBorder="1" applyAlignment="1">
      <alignment horizontal="center"/>
    </xf>
    <xf numFmtId="167" fontId="8" fillId="0" borderId="42" xfId="0" applyNumberFormat="1" applyFont="1" applyFill="1" applyBorder="1" applyAlignment="1">
      <alignment horizontal="center"/>
    </xf>
    <xf numFmtId="3" fontId="11" fillId="0" borderId="0" xfId="0" applyNumberFormat="1" applyFont="1" applyAlignment="1">
      <alignment horizontal="center"/>
    </xf>
    <xf numFmtId="3" fontId="2" fillId="0" borderId="0" xfId="0" applyNumberFormat="1" applyFont="1"/>
    <xf numFmtId="3" fontId="2" fillId="0" borderId="0" xfId="0" applyNumberFormat="1" applyFont="1" applyAlignment="1">
      <alignment horizontal="center"/>
    </xf>
    <xf numFmtId="0" fontId="8" fillId="6" borderId="19" xfId="0" applyFont="1" applyFill="1" applyBorder="1" applyAlignment="1">
      <alignment horizontal="right"/>
    </xf>
    <xf numFmtId="0" fontId="1" fillId="2" borderId="12" xfId="0" applyFont="1" applyFill="1" applyBorder="1" applyAlignment="1">
      <alignment horizontal="center"/>
    </xf>
    <xf numFmtId="3" fontId="1" fillId="5" borderId="4" xfId="0" applyNumberFormat="1" applyFont="1" applyFill="1" applyBorder="1" applyAlignment="1">
      <alignment horizontal="center"/>
    </xf>
    <xf numFmtId="3" fontId="8" fillId="0" borderId="2" xfId="0" applyNumberFormat="1" applyFont="1" applyFill="1" applyBorder="1" applyAlignment="1">
      <alignment horizontal="center"/>
    </xf>
    <xf numFmtId="0" fontId="7" fillId="0" borderId="44" xfId="0" applyFont="1" applyBorder="1" applyAlignment="1">
      <alignment horizontal="center"/>
    </xf>
    <xf numFmtId="0" fontId="7" fillId="0" borderId="45" xfId="0" applyFont="1" applyBorder="1" applyAlignment="1">
      <alignment horizontal="center"/>
    </xf>
    <xf numFmtId="0" fontId="7" fillId="0" borderId="46" xfId="0" applyFont="1" applyBorder="1" applyAlignment="1">
      <alignment horizontal="center"/>
    </xf>
    <xf numFmtId="0" fontId="7" fillId="0" borderId="47" xfId="0" applyFont="1" applyBorder="1" applyAlignment="1">
      <alignment horizontal="center"/>
    </xf>
    <xf numFmtId="0" fontId="7" fillId="0" borderId="14" xfId="0" applyFont="1" applyFill="1" applyBorder="1" applyAlignment="1">
      <alignment horizontal="center"/>
    </xf>
    <xf numFmtId="0" fontId="1" fillId="0" borderId="47" xfId="0" applyFont="1" applyBorder="1" applyAlignment="1">
      <alignment horizontal="center"/>
    </xf>
    <xf numFmtId="0" fontId="7" fillId="0" borderId="8" xfId="0" applyFont="1" applyBorder="1"/>
    <xf numFmtId="0" fontId="7" fillId="0" borderId="46" xfId="0" applyNumberFormat="1" applyFont="1" applyBorder="1" applyAlignment="1">
      <alignment horizontal="center"/>
    </xf>
    <xf numFmtId="0" fontId="7" fillId="0" borderId="0" xfId="0" applyNumberFormat="1" applyFont="1" applyBorder="1" applyAlignment="1">
      <alignment horizontal="center"/>
    </xf>
    <xf numFmtId="0" fontId="7" fillId="0" borderId="0" xfId="0" applyNumberFormat="1" applyFont="1" applyAlignment="1">
      <alignment horizontal="center"/>
    </xf>
    <xf numFmtId="0" fontId="7" fillId="9" borderId="46" xfId="0" applyFont="1" applyFill="1" applyBorder="1" applyAlignment="1">
      <alignment horizontal="center"/>
    </xf>
    <xf numFmtId="0" fontId="7" fillId="5" borderId="46" xfId="0" applyFont="1" applyFill="1" applyBorder="1" applyAlignment="1">
      <alignment horizontal="center"/>
    </xf>
    <xf numFmtId="0" fontId="7" fillId="9" borderId="49" xfId="0" applyFont="1" applyFill="1" applyBorder="1" applyAlignment="1">
      <alignment horizontal="center"/>
    </xf>
    <xf numFmtId="0" fontId="7" fillId="0" borderId="49" xfId="0" applyNumberFormat="1" applyFont="1" applyBorder="1" applyAlignment="1">
      <alignment horizontal="center"/>
    </xf>
    <xf numFmtId="0" fontId="7" fillId="0" borderId="5" xfId="0" applyNumberFormat="1" applyFont="1" applyBorder="1" applyAlignment="1">
      <alignment horizontal="center"/>
    </xf>
    <xf numFmtId="0" fontId="7" fillId="5" borderId="49" xfId="0" applyFont="1" applyFill="1" applyBorder="1" applyAlignment="1">
      <alignment horizontal="center"/>
    </xf>
    <xf numFmtId="3" fontId="1" fillId="9" borderId="8" xfId="0" applyNumberFormat="1" applyFont="1" applyFill="1" applyBorder="1" applyAlignment="1">
      <alignment horizontal="right"/>
    </xf>
    <xf numFmtId="3" fontId="8" fillId="5" borderId="2" xfId="0" applyNumberFormat="1" applyFont="1" applyFill="1" applyBorder="1" applyAlignment="1">
      <alignment horizontal="right"/>
    </xf>
    <xf numFmtId="3" fontId="8" fillId="2" borderId="2" xfId="0" applyNumberFormat="1" applyFont="1" applyFill="1" applyBorder="1" applyAlignment="1">
      <alignment horizontal="right"/>
    </xf>
    <xf numFmtId="3" fontId="11" fillId="0" borderId="2" xfId="0" applyNumberFormat="1" applyFont="1" applyBorder="1" applyAlignment="1">
      <alignment horizontal="right"/>
    </xf>
    <xf numFmtId="0" fontId="7" fillId="9" borderId="0" xfId="0" applyFont="1" applyFill="1" applyAlignment="1">
      <alignment horizontal="center"/>
    </xf>
    <xf numFmtId="0" fontId="7" fillId="0" borderId="4" xfId="0" applyNumberFormat="1" applyFont="1" applyBorder="1" applyAlignment="1">
      <alignment horizontal="center"/>
    </xf>
    <xf numFmtId="0" fontId="7" fillId="0" borderId="6" xfId="0" applyNumberFormat="1" applyFont="1" applyBorder="1" applyAlignment="1">
      <alignment horizontal="center"/>
    </xf>
    <xf numFmtId="0" fontId="7" fillId="0" borderId="48" xfId="0" applyFont="1" applyBorder="1" applyAlignment="1">
      <alignment horizontal="center"/>
    </xf>
    <xf numFmtId="0" fontId="7" fillId="0" borderId="50" xfId="0" applyFont="1" applyBorder="1" applyAlignment="1">
      <alignment horizontal="center"/>
    </xf>
    <xf numFmtId="0" fontId="7" fillId="0" borderId="10" xfId="0" applyNumberFormat="1" applyFont="1" applyBorder="1" applyAlignment="1">
      <alignment horizontal="center"/>
    </xf>
    <xf numFmtId="0" fontId="7" fillId="0" borderId="2" xfId="0" applyNumberFormat="1" applyFont="1" applyBorder="1" applyAlignment="1">
      <alignment horizontal="center"/>
    </xf>
    <xf numFmtId="0" fontId="7" fillId="0" borderId="11" xfId="0" applyFont="1" applyBorder="1"/>
    <xf numFmtId="0" fontId="7" fillId="0" borderId="4" xfId="0" applyFont="1" applyBorder="1"/>
    <xf numFmtId="0" fontId="7" fillId="9" borderId="11" xfId="0" applyFont="1" applyFill="1" applyBorder="1" applyAlignment="1">
      <alignment horizontal="center"/>
    </xf>
    <xf numFmtId="0" fontId="7" fillId="7" borderId="11" xfId="0" applyFont="1" applyFill="1" applyBorder="1" applyAlignment="1">
      <alignment horizontal="center"/>
    </xf>
    <xf numFmtId="0" fontId="7" fillId="7" borderId="0" xfId="0" applyFont="1" applyFill="1" applyAlignment="1">
      <alignment horizontal="center"/>
    </xf>
    <xf numFmtId="0" fontId="7" fillId="0" borderId="51" xfId="0" applyFont="1" applyBorder="1" applyAlignment="1">
      <alignment horizontal="center"/>
    </xf>
    <xf numFmtId="0" fontId="7" fillId="0" borderId="29" xfId="0" applyFont="1" applyBorder="1" applyAlignment="1">
      <alignment horizontal="center"/>
    </xf>
    <xf numFmtId="0" fontId="7" fillId="0" borderId="52" xfId="0" applyFont="1" applyBorder="1" applyAlignment="1">
      <alignment horizontal="center"/>
    </xf>
    <xf numFmtId="0" fontId="7" fillId="0" borderId="39" xfId="0" applyNumberFormat="1" applyFont="1" applyBorder="1" applyAlignment="1">
      <alignment horizontal="center"/>
    </xf>
    <xf numFmtId="0" fontId="7" fillId="0" borderId="29" xfId="0" applyNumberFormat="1" applyFont="1" applyBorder="1" applyAlignment="1">
      <alignment horizontal="center"/>
    </xf>
    <xf numFmtId="0" fontId="7" fillId="0" borderId="29" xfId="0" applyFont="1" applyBorder="1"/>
    <xf numFmtId="0" fontId="7" fillId="0" borderId="12" xfId="0" applyFont="1" applyBorder="1"/>
    <xf numFmtId="0" fontId="7" fillId="0" borderId="0" xfId="0" applyFont="1" applyBorder="1"/>
    <xf numFmtId="0" fontId="7" fillId="9" borderId="4" xfId="0" applyFont="1" applyFill="1" applyBorder="1" applyAlignment="1">
      <alignment horizontal="center"/>
    </xf>
    <xf numFmtId="0" fontId="7" fillId="0" borderId="8" xfId="0" applyFont="1" applyBorder="1" applyAlignment="1">
      <alignment horizontal="center"/>
    </xf>
    <xf numFmtId="0" fontId="7" fillId="0" borderId="11" xfId="0" applyFont="1" applyBorder="1" applyAlignment="1">
      <alignment horizontal="center"/>
    </xf>
    <xf numFmtId="0" fontId="7" fillId="0" borderId="10" xfId="0" applyFont="1" applyBorder="1" applyAlignment="1">
      <alignment horizontal="center"/>
    </xf>
    <xf numFmtId="0" fontId="7" fillId="0" borderId="6" xfId="0" applyFont="1" applyBorder="1" applyAlignment="1">
      <alignment horizontal="center"/>
    </xf>
    <xf numFmtId="0" fontId="7" fillId="0" borderId="2" xfId="0" applyFont="1" applyBorder="1" applyAlignment="1">
      <alignment horizontal="center"/>
    </xf>
    <xf numFmtId="0" fontId="7" fillId="0" borderId="4" xfId="0" applyFont="1" applyBorder="1" applyAlignment="1">
      <alignment horizontal="center"/>
    </xf>
    <xf numFmtId="0" fontId="8" fillId="7" borderId="0" xfId="0" applyFont="1" applyFill="1" applyBorder="1" applyAlignment="1">
      <alignment horizontal="center"/>
    </xf>
    <xf numFmtId="167" fontId="8" fillId="2" borderId="8" xfId="0" applyNumberFormat="1" applyFont="1" applyFill="1" applyBorder="1" applyAlignment="1">
      <alignment horizontal="center"/>
    </xf>
    <xf numFmtId="167" fontId="8" fillId="2" borderId="0" xfId="0" applyNumberFormat="1" applyFont="1" applyFill="1" applyAlignment="1">
      <alignment horizontal="center"/>
    </xf>
    <xf numFmtId="3" fontId="6" fillId="0" borderId="22" xfId="0" applyNumberFormat="1" applyFont="1" applyBorder="1" applyAlignment="1">
      <alignment horizontal="center"/>
    </xf>
    <xf numFmtId="0" fontId="8" fillId="14" borderId="2" xfId="0" applyFont="1" applyFill="1" applyBorder="1" applyAlignment="1">
      <alignment horizontal="center"/>
    </xf>
    <xf numFmtId="3" fontId="8" fillId="0" borderId="13" xfId="0" applyNumberFormat="1" applyFont="1" applyBorder="1" applyAlignment="1">
      <alignment horizontal="center"/>
    </xf>
    <xf numFmtId="3" fontId="8" fillId="4" borderId="13" xfId="0" applyNumberFormat="1" applyFont="1" applyFill="1" applyBorder="1" applyAlignment="1">
      <alignment horizontal="center"/>
    </xf>
    <xf numFmtId="3" fontId="8" fillId="0" borderId="20" xfId="0" applyNumberFormat="1" applyFont="1" applyBorder="1" applyAlignment="1">
      <alignment horizontal="center"/>
    </xf>
    <xf numFmtId="3" fontId="12" fillId="0" borderId="1" xfId="0" applyNumberFormat="1" applyFont="1" applyBorder="1" applyAlignment="1">
      <alignment horizontal="center"/>
    </xf>
    <xf numFmtId="3" fontId="12" fillId="0" borderId="22" xfId="0" applyNumberFormat="1" applyFont="1" applyBorder="1" applyAlignment="1">
      <alignment horizontal="center"/>
    </xf>
    <xf numFmtId="3" fontId="12" fillId="4" borderId="1" xfId="0" applyNumberFormat="1" applyFont="1" applyFill="1" applyBorder="1" applyAlignment="1">
      <alignment horizontal="center"/>
    </xf>
    <xf numFmtId="3" fontId="12" fillId="4" borderId="13" xfId="0" applyNumberFormat="1" applyFont="1" applyFill="1" applyBorder="1" applyAlignment="1">
      <alignment horizontal="center"/>
    </xf>
    <xf numFmtId="3" fontId="12" fillId="4" borderId="8" xfId="0" applyNumberFormat="1" applyFont="1" applyFill="1" applyBorder="1" applyAlignment="1">
      <alignment horizontal="center"/>
    </xf>
    <xf numFmtId="3" fontId="12" fillId="4" borderId="7" xfId="0" applyNumberFormat="1" applyFont="1" applyFill="1" applyBorder="1" applyAlignment="1">
      <alignment horizontal="center"/>
    </xf>
    <xf numFmtId="3" fontId="12" fillId="4" borderId="9" xfId="0" applyNumberFormat="1" applyFont="1" applyFill="1" applyBorder="1" applyAlignment="1">
      <alignment horizontal="center"/>
    </xf>
    <xf numFmtId="3" fontId="12" fillId="0" borderId="1" xfId="0" applyNumberFormat="1" applyFont="1" applyFill="1" applyBorder="1" applyAlignment="1">
      <alignment horizontal="center"/>
    </xf>
    <xf numFmtId="3" fontId="11" fillId="0" borderId="15" xfId="0" applyNumberFormat="1" applyFont="1" applyBorder="1" applyAlignment="1">
      <alignment horizontal="center"/>
    </xf>
    <xf numFmtId="0" fontId="7" fillId="10" borderId="6" xfId="0" applyFont="1" applyFill="1" applyBorder="1" applyAlignment="1">
      <alignment horizontal="center"/>
    </xf>
    <xf numFmtId="0" fontId="7" fillId="0" borderId="0" xfId="0" applyFont="1" applyBorder="1" applyAlignment="1">
      <alignment horizontal="center"/>
    </xf>
    <xf numFmtId="0" fontId="7" fillId="0" borderId="0" xfId="0" applyFont="1" applyAlignment="1">
      <alignment horizontal="left"/>
    </xf>
    <xf numFmtId="0" fontId="7" fillId="0" borderId="4" xfId="0" applyFont="1" applyBorder="1" applyAlignment="1">
      <alignment horizontal="left"/>
    </xf>
    <xf numFmtId="0" fontId="7" fillId="0" borderId="11" xfId="0" applyFont="1" applyBorder="1" applyAlignment="1">
      <alignment horizontal="left"/>
    </xf>
    <xf numFmtId="0" fontId="13" fillId="0" borderId="0" xfId="0" applyFont="1"/>
    <xf numFmtId="0" fontId="1" fillId="0" borderId="14" xfId="0" applyFont="1" applyBorder="1"/>
    <xf numFmtId="0" fontId="1" fillId="0" borderId="13" xfId="0" applyFont="1" applyBorder="1"/>
    <xf numFmtId="0" fontId="13" fillId="0" borderId="0" xfId="0" applyFont="1" applyAlignment="1">
      <alignment horizontal="center"/>
    </xf>
    <xf numFmtId="2" fontId="1" fillId="0" borderId="0" xfId="0" applyNumberFormat="1" applyFont="1" applyAlignment="1">
      <alignment horizontal="center"/>
    </xf>
    <xf numFmtId="0" fontId="14" fillId="0" borderId="0" xfId="0" applyFont="1" applyAlignment="1">
      <alignment horizontal="left"/>
    </xf>
    <xf numFmtId="3" fontId="8" fillId="0" borderId="20" xfId="0" applyNumberFormat="1" applyFont="1" applyBorder="1" applyAlignment="1">
      <alignment horizontal="center"/>
    </xf>
    <xf numFmtId="0" fontId="8" fillId="0" borderId="0" xfId="0" applyFont="1" applyBorder="1" applyAlignment="1">
      <alignment horizontal="center"/>
    </xf>
    <xf numFmtId="3" fontId="8" fillId="0" borderId="13" xfId="0" applyNumberFormat="1" applyFont="1" applyBorder="1" applyAlignment="1">
      <alignment horizontal="center"/>
    </xf>
    <xf numFmtId="3" fontId="8" fillId="4" borderId="13" xfId="0" applyNumberFormat="1" applyFont="1" applyFill="1" applyBorder="1" applyAlignment="1">
      <alignment horizontal="center"/>
    </xf>
    <xf numFmtId="3" fontId="8" fillId="4" borderId="24" xfId="0" applyNumberFormat="1" applyFont="1" applyFill="1" applyBorder="1" applyAlignment="1">
      <alignment horizontal="center"/>
    </xf>
    <xf numFmtId="3" fontId="15" fillId="0" borderId="22" xfId="0" applyNumberFormat="1" applyFont="1" applyBorder="1" applyAlignment="1">
      <alignment horizontal="center"/>
    </xf>
    <xf numFmtId="3" fontId="15" fillId="0" borderId="1" xfId="0" applyNumberFormat="1" applyFont="1" applyBorder="1" applyAlignment="1">
      <alignment horizontal="center"/>
    </xf>
    <xf numFmtId="3" fontId="12" fillId="15" borderId="1" xfId="0" applyNumberFormat="1" applyFont="1" applyFill="1" applyBorder="1" applyAlignment="1">
      <alignment horizontal="center"/>
    </xf>
    <xf numFmtId="3" fontId="8" fillId="15" borderId="1" xfId="0" applyNumberFormat="1" applyFont="1" applyFill="1" applyBorder="1" applyAlignment="1">
      <alignment horizontal="center"/>
    </xf>
    <xf numFmtId="168" fontId="8" fillId="0" borderId="4" xfId="0" applyNumberFormat="1" applyFont="1" applyFill="1" applyBorder="1" applyAlignment="1">
      <alignment horizontal="center"/>
    </xf>
    <xf numFmtId="168" fontId="8" fillId="0" borderId="2" xfId="0" applyNumberFormat="1" applyFont="1" applyFill="1" applyBorder="1" applyAlignment="1">
      <alignment horizontal="center"/>
    </xf>
    <xf numFmtId="168" fontId="8" fillId="10" borderId="0" xfId="0" applyNumberFormat="1" applyFont="1" applyFill="1" applyAlignment="1">
      <alignment horizontal="center"/>
    </xf>
    <xf numFmtId="168" fontId="8" fillId="0" borderId="0" xfId="0" applyNumberFormat="1" applyFont="1" applyFill="1" applyAlignment="1">
      <alignment horizontal="center"/>
    </xf>
    <xf numFmtId="168" fontId="8" fillId="10" borderId="4" xfId="0" applyNumberFormat="1" applyFont="1" applyFill="1" applyBorder="1" applyAlignment="1">
      <alignment horizontal="center"/>
    </xf>
    <xf numFmtId="168" fontId="8" fillId="10" borderId="2" xfId="0" applyNumberFormat="1" applyFont="1" applyFill="1" applyBorder="1" applyAlignment="1">
      <alignment horizontal="center"/>
    </xf>
    <xf numFmtId="168" fontId="8" fillId="0" borderId="11" xfId="0" applyNumberFormat="1" applyFont="1" applyFill="1" applyBorder="1" applyAlignment="1">
      <alignment horizontal="center"/>
    </xf>
    <xf numFmtId="168" fontId="8" fillId="0" borderId="38" xfId="0" applyNumberFormat="1" applyFont="1" applyFill="1" applyBorder="1" applyAlignment="1">
      <alignment horizontal="center"/>
    </xf>
    <xf numFmtId="168" fontId="8" fillId="0" borderId="8" xfId="0" applyNumberFormat="1" applyFont="1" applyFill="1" applyBorder="1" applyAlignment="1">
      <alignment horizontal="center"/>
    </xf>
    <xf numFmtId="168" fontId="8" fillId="0" borderId="29" xfId="0" applyNumberFormat="1" applyFont="1" applyFill="1" applyBorder="1" applyAlignment="1">
      <alignment horizontal="center"/>
    </xf>
    <xf numFmtId="168" fontId="8" fillId="0" borderId="6" xfId="0" applyNumberFormat="1" applyFont="1" applyFill="1" applyBorder="1" applyAlignment="1">
      <alignment horizontal="center"/>
    </xf>
    <xf numFmtId="168" fontId="8" fillId="0" borderId="10" xfId="0" applyNumberFormat="1" applyFont="1" applyFill="1" applyBorder="1" applyAlignment="1">
      <alignment horizontal="center"/>
    </xf>
    <xf numFmtId="168" fontId="8" fillId="0" borderId="5" xfId="0" applyNumberFormat="1" applyFont="1" applyFill="1" applyBorder="1" applyAlignment="1">
      <alignment horizontal="center"/>
    </xf>
    <xf numFmtId="168" fontId="8" fillId="0" borderId="39" xfId="0" applyNumberFormat="1" applyFont="1" applyFill="1" applyBorder="1" applyAlignment="1">
      <alignment horizontal="center"/>
    </xf>
    <xf numFmtId="168" fontId="8" fillId="10" borderId="0" xfId="0" applyNumberFormat="1" applyFont="1" applyFill="1" applyBorder="1" applyAlignment="1">
      <alignment horizontal="center"/>
    </xf>
    <xf numFmtId="168" fontId="1" fillId="10" borderId="4" xfId="0" applyNumberFormat="1" applyFont="1" applyFill="1" applyBorder="1" applyAlignment="1">
      <alignment horizontal="center"/>
    </xf>
    <xf numFmtId="168" fontId="8" fillId="10" borderId="10" xfId="0" applyNumberFormat="1" applyFont="1" applyFill="1" applyBorder="1" applyAlignment="1">
      <alignment horizontal="center"/>
    </xf>
    <xf numFmtId="168" fontId="8" fillId="10" borderId="5" xfId="0" applyNumberFormat="1" applyFont="1" applyFill="1" applyBorder="1" applyAlignment="1">
      <alignment horizontal="center"/>
    </xf>
    <xf numFmtId="168" fontId="7" fillId="10" borderId="6" xfId="0" applyNumberFormat="1" applyFont="1" applyFill="1" applyBorder="1" applyAlignment="1">
      <alignment horizontal="center"/>
    </xf>
    <xf numFmtId="168" fontId="8" fillId="10" borderId="29" xfId="0" applyNumberFormat="1" applyFont="1" applyFill="1" applyBorder="1" applyAlignment="1">
      <alignment horizontal="center"/>
    </xf>
    <xf numFmtId="168" fontId="8" fillId="10" borderId="6" xfId="0" applyNumberFormat="1" applyFont="1" applyFill="1" applyBorder="1" applyAlignment="1">
      <alignment horizontal="center"/>
    </xf>
    <xf numFmtId="168" fontId="6" fillId="10" borderId="4" xfId="0" applyNumberFormat="1" applyFont="1" applyFill="1" applyBorder="1" applyAlignment="1">
      <alignment horizontal="center"/>
    </xf>
    <xf numFmtId="1" fontId="2" fillId="0" borderId="0" xfId="0" applyNumberFormat="1" applyFont="1" applyFill="1" applyBorder="1" applyAlignment="1">
      <alignment horizontal="center"/>
    </xf>
    <xf numFmtId="0" fontId="8" fillId="14" borderId="0" xfId="0" applyFont="1" applyFill="1" applyAlignment="1">
      <alignment horizontal="center"/>
    </xf>
    <xf numFmtId="0" fontId="8" fillId="14" borderId="4" xfId="0" applyFont="1" applyFill="1" applyBorder="1" applyAlignment="1">
      <alignment horizontal="center"/>
    </xf>
    <xf numFmtId="0" fontId="1" fillId="14" borderId="4" xfId="0" applyFont="1" applyFill="1" applyBorder="1" applyAlignment="1">
      <alignment horizontal="center"/>
    </xf>
    <xf numFmtId="1" fontId="8" fillId="14" borderId="2" xfId="0" applyNumberFormat="1" applyFont="1" applyFill="1" applyBorder="1" applyAlignment="1">
      <alignment horizontal="center"/>
    </xf>
    <xf numFmtId="167" fontId="8" fillId="14" borderId="2" xfId="0" applyNumberFormat="1" applyFont="1" applyFill="1" applyBorder="1" applyAlignment="1">
      <alignment horizontal="center"/>
    </xf>
    <xf numFmtId="167" fontId="8" fillId="14" borderId="11" xfId="0" applyNumberFormat="1" applyFont="1" applyFill="1" applyBorder="1" applyAlignment="1">
      <alignment horizontal="center"/>
    </xf>
    <xf numFmtId="167" fontId="8" fillId="14" borderId="8" xfId="0" applyNumberFormat="1" applyFont="1" applyFill="1" applyBorder="1" applyAlignment="1">
      <alignment horizontal="center"/>
    </xf>
    <xf numFmtId="167" fontId="8" fillId="14" borderId="6" xfId="0" applyNumberFormat="1" applyFont="1" applyFill="1" applyBorder="1" applyAlignment="1">
      <alignment horizontal="center"/>
    </xf>
    <xf numFmtId="167" fontId="8" fillId="14" borderId="10" xfId="0" applyNumberFormat="1" applyFont="1" applyFill="1" applyBorder="1" applyAlignment="1">
      <alignment horizontal="center"/>
    </xf>
    <xf numFmtId="167" fontId="8" fillId="14" borderId="4" xfId="0" applyNumberFormat="1" applyFont="1" applyFill="1" applyBorder="1" applyAlignment="1">
      <alignment horizontal="center"/>
    </xf>
    <xf numFmtId="0" fontId="20" fillId="0" borderId="0" xfId="0" applyFont="1"/>
    <xf numFmtId="0" fontId="20" fillId="0" borderId="0" xfId="0" applyFont="1" applyAlignment="1">
      <alignment horizontal="center" wrapText="1"/>
    </xf>
    <xf numFmtId="0" fontId="21" fillId="0" borderId="0" xfId="0" applyFont="1"/>
    <xf numFmtId="0" fontId="17" fillId="0" borderId="1" xfId="3" applyFont="1" applyBorder="1" applyAlignment="1">
      <alignment horizontal="center"/>
    </xf>
    <xf numFmtId="0" fontId="16" fillId="0" borderId="15" xfId="3" applyFont="1" applyFill="1" applyBorder="1" applyAlignment="1">
      <alignment horizontal="center"/>
    </xf>
    <xf numFmtId="0" fontId="16" fillId="0" borderId="15" xfId="3" applyFont="1" applyBorder="1" applyAlignment="1">
      <alignment horizontal="center"/>
    </xf>
    <xf numFmtId="0" fontId="16" fillId="0" borderId="13" xfId="3" applyFont="1" applyBorder="1" applyAlignment="1">
      <alignment horizontal="center"/>
    </xf>
    <xf numFmtId="0" fontId="17" fillId="0" borderId="9" xfId="3" applyFont="1" applyBorder="1" applyAlignment="1">
      <alignment horizontal="center"/>
    </xf>
    <xf numFmtId="0" fontId="16" fillId="0" borderId="11" xfId="3" applyFont="1" applyFill="1" applyBorder="1" applyAlignment="1">
      <alignment horizontal="center"/>
    </xf>
    <xf numFmtId="0" fontId="16" fillId="0" borderId="12" xfId="3" applyFont="1" applyFill="1" applyBorder="1" applyAlignment="1">
      <alignment horizontal="center"/>
    </xf>
    <xf numFmtId="0" fontId="16" fillId="0" borderId="8" xfId="3" applyFont="1" applyFill="1" applyBorder="1" applyAlignment="1">
      <alignment horizontal="center"/>
    </xf>
    <xf numFmtId="0" fontId="20" fillId="0" borderId="1" xfId="0" applyFont="1" applyBorder="1"/>
    <xf numFmtId="0" fontId="16" fillId="0" borderId="3" xfId="3" applyFont="1" applyBorder="1" applyAlignment="1">
      <alignment horizontal="center"/>
    </xf>
    <xf numFmtId="3" fontId="16" fillId="0" borderId="0" xfId="3" applyNumberFormat="1" applyFont="1" applyFill="1" applyBorder="1" applyAlignment="1">
      <alignment horizontal="center"/>
    </xf>
    <xf numFmtId="0" fontId="16" fillId="0" borderId="11" xfId="3" applyFont="1" applyBorder="1" applyAlignment="1">
      <alignment horizontal="center"/>
    </xf>
    <xf numFmtId="169" fontId="16" fillId="0" borderId="11" xfId="2" applyNumberFormat="1" applyFont="1" applyFill="1" applyBorder="1" applyAlignment="1">
      <alignment horizontal="center"/>
    </xf>
    <xf numFmtId="169" fontId="16" fillId="0" borderId="12" xfId="2" applyNumberFormat="1" applyFont="1" applyFill="1" applyBorder="1" applyAlignment="1">
      <alignment horizontal="center"/>
    </xf>
    <xf numFmtId="169" fontId="16" fillId="0" borderId="8" xfId="2" applyNumberFormat="1" applyFont="1" applyFill="1" applyBorder="1" applyAlignment="1">
      <alignment horizontal="center"/>
    </xf>
    <xf numFmtId="169" fontId="20" fillId="0" borderId="0" xfId="2" applyNumberFormat="1" applyFont="1" applyAlignment="1">
      <alignment horizontal="center"/>
    </xf>
    <xf numFmtId="0" fontId="20" fillId="0" borderId="0" xfId="0" applyFont="1" applyAlignment="1">
      <alignment horizontal="center"/>
    </xf>
    <xf numFmtId="0" fontId="16" fillId="0" borderId="4" xfId="3" applyFont="1" applyBorder="1" applyAlignment="1">
      <alignment horizontal="center"/>
    </xf>
    <xf numFmtId="169" fontId="16" fillId="0" borderId="4" xfId="2" applyNumberFormat="1" applyFont="1" applyFill="1" applyBorder="1" applyAlignment="1">
      <alignment horizontal="center"/>
    </xf>
    <xf numFmtId="169" fontId="16" fillId="0" borderId="0" xfId="2" applyNumberFormat="1" applyFont="1" applyFill="1" applyBorder="1" applyAlignment="1">
      <alignment horizontal="center"/>
    </xf>
    <xf numFmtId="169" fontId="16" fillId="0" borderId="2" xfId="2" applyNumberFormat="1" applyFont="1" applyFill="1" applyBorder="1" applyAlignment="1">
      <alignment horizontal="center"/>
    </xf>
    <xf numFmtId="0" fontId="20" fillId="0" borderId="11" xfId="0" applyFont="1" applyBorder="1" applyAlignment="1">
      <alignment horizontal="center"/>
    </xf>
    <xf numFmtId="0" fontId="20" fillId="0" borderId="12" xfId="0" applyFont="1" applyBorder="1" applyAlignment="1">
      <alignment horizontal="center"/>
    </xf>
    <xf numFmtId="3" fontId="20" fillId="0" borderId="4" xfId="0" applyNumberFormat="1" applyFont="1" applyBorder="1" applyAlignment="1">
      <alignment horizontal="center"/>
    </xf>
    <xf numFmtId="3" fontId="20" fillId="0" borderId="0" xfId="0" applyNumberFormat="1" applyFont="1" applyBorder="1" applyAlignment="1">
      <alignment horizontal="center"/>
    </xf>
    <xf numFmtId="0" fontId="20" fillId="0" borderId="4" xfId="0" applyFont="1" applyBorder="1" applyAlignment="1">
      <alignment horizontal="center"/>
    </xf>
    <xf numFmtId="0" fontId="20" fillId="0" borderId="0" xfId="0" applyFont="1" applyBorder="1" applyAlignment="1">
      <alignment horizontal="center"/>
    </xf>
    <xf numFmtId="3" fontId="16" fillId="0" borderId="6" xfId="3" applyNumberFormat="1" applyFont="1" applyFill="1" applyBorder="1" applyAlignment="1">
      <alignment horizontal="center"/>
    </xf>
    <xf numFmtId="3" fontId="16" fillId="0" borderId="5" xfId="3" applyNumberFormat="1" applyFont="1" applyFill="1" applyBorder="1" applyAlignment="1">
      <alignment horizontal="center"/>
    </xf>
    <xf numFmtId="0" fontId="16" fillId="0" borderId="9" xfId="3" applyFont="1" applyFill="1" applyBorder="1" applyAlignment="1">
      <alignment horizontal="center"/>
    </xf>
    <xf numFmtId="3" fontId="16" fillId="0" borderId="0" xfId="3" applyNumberFormat="1" applyFont="1" applyBorder="1" applyAlignment="1">
      <alignment horizontal="center"/>
    </xf>
    <xf numFmtId="0" fontId="16" fillId="0" borderId="3" xfId="3" applyFont="1" applyFill="1" applyBorder="1" applyAlignment="1">
      <alignment horizontal="center"/>
    </xf>
    <xf numFmtId="0" fontId="16" fillId="0" borderId="7" xfId="3" applyFont="1" applyBorder="1" applyAlignment="1">
      <alignment horizontal="center"/>
    </xf>
    <xf numFmtId="169" fontId="16" fillId="0" borderId="6" xfId="2" applyNumberFormat="1" applyFont="1" applyBorder="1" applyAlignment="1">
      <alignment horizontal="center"/>
    </xf>
    <xf numFmtId="169" fontId="20" fillId="0" borderId="1" xfId="2" applyNumberFormat="1" applyFont="1" applyBorder="1" applyAlignment="1">
      <alignment horizontal="center"/>
    </xf>
    <xf numFmtId="0" fontId="16" fillId="0" borderId="14" xfId="3" applyFont="1" applyFill="1" applyBorder="1" applyAlignment="1">
      <alignment horizontal="center"/>
    </xf>
    <xf numFmtId="10" fontId="20" fillId="0" borderId="0" xfId="2" applyNumberFormat="1" applyFont="1" applyFill="1" applyAlignment="1">
      <alignment horizontal="center"/>
    </xf>
    <xf numFmtId="3" fontId="20" fillId="0" borderId="0" xfId="0" applyNumberFormat="1" applyFont="1" applyAlignment="1">
      <alignment horizontal="center"/>
    </xf>
    <xf numFmtId="3" fontId="16" fillId="0" borderId="0" xfId="0" applyNumberFormat="1" applyFont="1" applyFill="1" applyBorder="1" applyAlignment="1">
      <alignment horizontal="center"/>
    </xf>
    <xf numFmtId="169" fontId="20" fillId="0" borderId="0" xfId="0" applyNumberFormat="1" applyFont="1"/>
    <xf numFmtId="0" fontId="22" fillId="0" borderId="0" xfId="0" applyFont="1"/>
    <xf numFmtId="0" fontId="20" fillId="0" borderId="0" xfId="0" applyFont="1" applyBorder="1"/>
    <xf numFmtId="3" fontId="20" fillId="0" borderId="6" xfId="0" applyNumberFormat="1" applyFont="1" applyBorder="1" applyAlignment="1">
      <alignment horizontal="center"/>
    </xf>
    <xf numFmtId="3" fontId="20" fillId="0" borderId="5" xfId="0" applyNumberFormat="1" applyFont="1" applyBorder="1" applyAlignment="1">
      <alignment horizontal="center"/>
    </xf>
    <xf numFmtId="3" fontId="20" fillId="0" borderId="10" xfId="0" applyNumberFormat="1" applyFont="1" applyBorder="1" applyAlignment="1">
      <alignment horizontal="center"/>
    </xf>
    <xf numFmtId="0" fontId="8" fillId="0" borderId="14" xfId="0" applyFont="1" applyBorder="1" applyAlignment="1">
      <alignment horizontal="center"/>
    </xf>
    <xf numFmtId="0" fontId="8" fillId="0" borderId="13" xfId="0" applyFont="1" applyBorder="1" applyAlignment="1">
      <alignment horizontal="center"/>
    </xf>
    <xf numFmtId="0" fontId="8" fillId="0" borderId="11" xfId="0" applyFont="1" applyBorder="1" applyAlignment="1">
      <alignment horizontal="center"/>
    </xf>
    <xf numFmtId="0" fontId="8" fillId="0" borderId="8" xfId="0" applyFont="1" applyBorder="1" applyAlignment="1">
      <alignment horizontal="center"/>
    </xf>
    <xf numFmtId="0" fontId="8" fillId="0" borderId="2" xfId="0" applyFont="1" applyBorder="1" applyAlignment="1">
      <alignment horizontal="center"/>
    </xf>
    <xf numFmtId="0" fontId="8" fillId="0" borderId="15" xfId="0" applyFont="1" applyBorder="1" applyAlignment="1">
      <alignment horizontal="center"/>
    </xf>
    <xf numFmtId="0" fontId="8" fillId="0" borderId="0" xfId="0" applyFont="1" applyBorder="1" applyAlignment="1">
      <alignment horizontal="center"/>
    </xf>
    <xf numFmtId="0" fontId="8" fillId="0" borderId="12" xfId="0" applyFont="1" applyBorder="1" applyAlignment="1">
      <alignment horizontal="center"/>
    </xf>
    <xf numFmtId="0" fontId="1" fillId="0" borderId="0" xfId="0" applyFont="1" applyFill="1" applyBorder="1" applyAlignment="1">
      <alignment horizontal="center"/>
    </xf>
    <xf numFmtId="0" fontId="8" fillId="0" borderId="14" xfId="0" applyFont="1" applyFill="1" applyBorder="1" applyAlignment="1">
      <alignment horizontal="center"/>
    </xf>
    <xf numFmtId="0" fontId="8" fillId="0" borderId="15" xfId="0" applyFont="1" applyFill="1" applyBorder="1" applyAlignment="1">
      <alignment horizontal="center"/>
    </xf>
    <xf numFmtId="0" fontId="8" fillId="0" borderId="13" xfId="0" applyFont="1" applyFill="1" applyBorder="1" applyAlignment="1">
      <alignment horizontal="center"/>
    </xf>
    <xf numFmtId="0" fontId="8" fillId="8" borderId="11" xfId="0" applyFont="1" applyFill="1" applyBorder="1" applyAlignment="1">
      <alignment horizontal="center"/>
    </xf>
    <xf numFmtId="165" fontId="8" fillId="10" borderId="4" xfId="0" applyNumberFormat="1" applyFont="1" applyFill="1" applyBorder="1" applyAlignment="1">
      <alignment horizontal="center"/>
    </xf>
    <xf numFmtId="165" fontId="8" fillId="10" borderId="2" xfId="0" applyNumberFormat="1" applyFont="1" applyFill="1" applyBorder="1" applyAlignment="1">
      <alignment horizontal="center"/>
    </xf>
    <xf numFmtId="0" fontId="8" fillId="0" borderId="14" xfId="0" applyFont="1" applyBorder="1" applyAlignment="1">
      <alignment horizontal="center"/>
    </xf>
    <xf numFmtId="0" fontId="8" fillId="0" borderId="14" xfId="0" applyFont="1" applyFill="1" applyBorder="1" applyAlignment="1">
      <alignment horizontal="center"/>
    </xf>
    <xf numFmtId="1" fontId="8" fillId="11" borderId="11" xfId="0" applyNumberFormat="1" applyFont="1" applyFill="1" applyBorder="1" applyAlignment="1">
      <alignment horizontal="center"/>
    </xf>
    <xf numFmtId="1" fontId="8" fillId="11" borderId="8" xfId="0" applyNumberFormat="1" applyFont="1" applyFill="1" applyBorder="1" applyAlignment="1">
      <alignment horizontal="center"/>
    </xf>
    <xf numFmtId="0" fontId="0" fillId="0" borderId="2" xfId="0" applyBorder="1"/>
    <xf numFmtId="3" fontId="8" fillId="0" borderId="13" xfId="0" applyNumberFormat="1" applyFont="1" applyBorder="1" applyAlignment="1">
      <alignment horizontal="center"/>
    </xf>
    <xf numFmtId="3" fontId="8" fillId="4" borderId="13" xfId="0" applyNumberFormat="1" applyFont="1" applyFill="1" applyBorder="1" applyAlignment="1">
      <alignment horizontal="center"/>
    </xf>
    <xf numFmtId="3" fontId="8" fillId="4" borderId="24" xfId="0" applyNumberFormat="1" applyFont="1" applyFill="1" applyBorder="1" applyAlignment="1">
      <alignment horizontal="center"/>
    </xf>
    <xf numFmtId="0" fontId="8" fillId="0" borderId="0" xfId="0" applyFont="1" applyBorder="1" applyAlignment="1">
      <alignment horizontal="center"/>
    </xf>
    <xf numFmtId="3" fontId="8" fillId="0" borderId="20" xfId="0" applyNumberFormat="1" applyFont="1" applyBorder="1" applyAlignment="1">
      <alignment horizontal="center"/>
    </xf>
    <xf numFmtId="0" fontId="8" fillId="8" borderId="6" xfId="0" applyFont="1" applyFill="1" applyBorder="1" applyAlignment="1">
      <alignment horizontal="center"/>
    </xf>
    <xf numFmtId="3" fontId="11" fillId="0" borderId="0" xfId="0" applyNumberFormat="1" applyFont="1" applyBorder="1" applyAlignment="1">
      <alignment horizontal="center"/>
    </xf>
    <xf numFmtId="3" fontId="1" fillId="0" borderId="12" xfId="0" applyNumberFormat="1" applyFont="1" applyFill="1" applyBorder="1" applyAlignment="1">
      <alignment horizontal="center"/>
    </xf>
    <xf numFmtId="0" fontId="8" fillId="0" borderId="0" xfId="0" applyFont="1" applyFill="1" applyAlignment="1">
      <alignment horizontal="center" wrapText="1"/>
    </xf>
    <xf numFmtId="1" fontId="8" fillId="10" borderId="8" xfId="0" applyNumberFormat="1" applyFont="1" applyFill="1" applyBorder="1" applyAlignment="1">
      <alignment horizontal="center"/>
    </xf>
    <xf numFmtId="0" fontId="8" fillId="10" borderId="11" xfId="0" applyFont="1" applyFill="1" applyBorder="1" applyAlignment="1">
      <alignment horizontal="center"/>
    </xf>
    <xf numFmtId="0" fontId="20" fillId="0" borderId="5" xfId="0" applyFont="1" applyBorder="1" applyAlignment="1">
      <alignment horizontal="center"/>
    </xf>
    <xf numFmtId="0" fontId="6" fillId="0" borderId="0" xfId="0" applyFont="1" applyAlignment="1">
      <alignment horizontal="center"/>
    </xf>
    <xf numFmtId="0" fontId="23" fillId="0" borderId="0" xfId="0" applyFont="1"/>
    <xf numFmtId="2" fontId="23" fillId="0" borderId="0" xfId="0" applyNumberFormat="1" applyFont="1"/>
    <xf numFmtId="0" fontId="16" fillId="0" borderId="53" xfId="3" applyFont="1" applyFill="1" applyBorder="1" applyAlignment="1">
      <alignment horizontal="right"/>
    </xf>
    <xf numFmtId="0" fontId="16" fillId="0" borderId="0" xfId="3" applyFont="1" applyFill="1" applyBorder="1" applyAlignment="1">
      <alignment horizontal="right"/>
    </xf>
    <xf numFmtId="0" fontId="1" fillId="0" borderId="0" xfId="3" applyFont="1" applyFill="1" applyBorder="1" applyAlignment="1">
      <alignment horizontal="right"/>
    </xf>
    <xf numFmtId="0" fontId="20" fillId="0" borderId="0" xfId="0" applyFont="1" applyAlignment="1">
      <alignment horizontal="right"/>
    </xf>
    <xf numFmtId="0" fontId="24" fillId="0" borderId="0" xfId="0" applyFont="1"/>
    <xf numFmtId="0" fontId="24" fillId="0" borderId="0" xfId="0" applyFont="1" applyFill="1" applyAlignment="1">
      <alignment horizontal="right"/>
    </xf>
    <xf numFmtId="168" fontId="20" fillId="0" borderId="4" xfId="0" applyNumberFormat="1" applyFont="1" applyBorder="1" applyAlignment="1">
      <alignment horizontal="center"/>
    </xf>
    <xf numFmtId="168" fontId="20" fillId="0" borderId="0" xfId="0" applyNumberFormat="1" applyFont="1" applyBorder="1" applyAlignment="1">
      <alignment horizontal="center"/>
    </xf>
    <xf numFmtId="170" fontId="20" fillId="0" borderId="6" xfId="0" applyNumberFormat="1" applyFont="1" applyBorder="1" applyAlignment="1">
      <alignment horizontal="center"/>
    </xf>
    <xf numFmtId="170" fontId="20" fillId="0" borderId="5" xfId="0" applyNumberFormat="1" applyFont="1" applyBorder="1" applyAlignment="1">
      <alignment horizontal="center"/>
    </xf>
    <xf numFmtId="171" fontId="20" fillId="0" borderId="0" xfId="0" applyNumberFormat="1" applyFont="1" applyFill="1" applyAlignment="1">
      <alignment horizontal="center"/>
    </xf>
    <xf numFmtId="0" fontId="25" fillId="0" borderId="0" xfId="0" applyFont="1"/>
    <xf numFmtId="0" fontId="25" fillId="0" borderId="6" xfId="3" applyFont="1" applyBorder="1" applyAlignment="1">
      <alignment horizontal="center"/>
    </xf>
    <xf numFmtId="169" fontId="25" fillId="0" borderId="6" xfId="2" applyNumberFormat="1" applyFont="1" applyFill="1" applyBorder="1" applyAlignment="1">
      <alignment horizontal="center"/>
    </xf>
    <xf numFmtId="169" fontId="25" fillId="0" borderId="5" xfId="2" applyNumberFormat="1" applyFont="1" applyFill="1" applyBorder="1" applyAlignment="1">
      <alignment horizontal="center"/>
    </xf>
    <xf numFmtId="0" fontId="16" fillId="0" borderId="6" xfId="3" applyFont="1" applyFill="1" applyBorder="1" applyAlignment="1">
      <alignment horizontal="center"/>
    </xf>
    <xf numFmtId="3" fontId="16" fillId="0" borderId="57" xfId="3" applyNumberFormat="1" applyFont="1" applyBorder="1" applyAlignment="1">
      <alignment horizontal="center"/>
    </xf>
    <xf numFmtId="3" fontId="16" fillId="0" borderId="58" xfId="3" applyNumberFormat="1" applyFont="1" applyBorder="1" applyAlignment="1">
      <alignment horizontal="center"/>
    </xf>
    <xf numFmtId="3" fontId="16" fillId="0" borderId="59" xfId="3" applyNumberFormat="1" applyFont="1" applyBorder="1" applyAlignment="1">
      <alignment horizontal="center"/>
    </xf>
    <xf numFmtId="3" fontId="16" fillId="0" borderId="5" xfId="3" applyNumberFormat="1" applyFont="1" applyBorder="1" applyAlignment="1">
      <alignment horizontal="center"/>
    </xf>
    <xf numFmtId="3" fontId="16" fillId="0" borderId="10" xfId="3" applyNumberFormat="1" applyFont="1" applyBorder="1" applyAlignment="1">
      <alignment horizontal="center"/>
    </xf>
    <xf numFmtId="0" fontId="25" fillId="0" borderId="1" xfId="3" applyFont="1" applyFill="1" applyBorder="1" applyAlignment="1">
      <alignment horizontal="center"/>
    </xf>
    <xf numFmtId="3" fontId="25" fillId="0" borderId="15" xfId="3" applyNumberFormat="1" applyFont="1" applyBorder="1" applyAlignment="1">
      <alignment horizontal="center"/>
    </xf>
    <xf numFmtId="3" fontId="25" fillId="0" borderId="13" xfId="3" applyNumberFormat="1" applyFont="1" applyBorder="1" applyAlignment="1">
      <alignment horizontal="center"/>
    </xf>
    <xf numFmtId="0" fontId="20" fillId="0" borderId="3" xfId="3" applyFont="1" applyFill="1" applyBorder="1" applyAlignment="1">
      <alignment horizontal="center"/>
    </xf>
    <xf numFmtId="3" fontId="20" fillId="0" borderId="0" xfId="3" applyNumberFormat="1" applyFont="1" applyBorder="1" applyAlignment="1">
      <alignment horizontal="center"/>
    </xf>
    <xf numFmtId="0" fontId="20" fillId="0" borderId="6" xfId="3" applyFont="1" applyBorder="1" applyAlignment="1">
      <alignment horizontal="center"/>
    </xf>
    <xf numFmtId="169" fontId="20" fillId="0" borderId="6" xfId="2" applyNumberFormat="1" applyFont="1" applyFill="1" applyBorder="1" applyAlignment="1">
      <alignment horizontal="center"/>
    </xf>
    <xf numFmtId="169" fontId="20" fillId="0" borderId="5" xfId="2" applyNumberFormat="1" applyFont="1" applyFill="1" applyBorder="1" applyAlignment="1">
      <alignment horizontal="center"/>
    </xf>
    <xf numFmtId="169" fontId="20" fillId="0" borderId="10" xfId="2" applyNumberFormat="1" applyFont="1" applyFill="1" applyBorder="1" applyAlignment="1">
      <alignment horizontal="center"/>
    </xf>
    <xf numFmtId="0" fontId="26" fillId="0" borderId="0" xfId="0" applyFont="1" applyBorder="1" applyAlignment="1">
      <alignment horizontal="center"/>
    </xf>
    <xf numFmtId="0" fontId="26" fillId="0" borderId="5" xfId="0" applyFont="1" applyBorder="1" applyAlignment="1">
      <alignment horizontal="center"/>
    </xf>
    <xf numFmtId="0" fontId="25" fillId="0" borderId="0" xfId="0" applyFont="1" applyAlignment="1">
      <alignment horizontal="right"/>
    </xf>
    <xf numFmtId="169" fontId="25" fillId="0" borderId="1" xfId="2" applyNumberFormat="1" applyFont="1" applyBorder="1" applyAlignment="1">
      <alignment horizontal="center"/>
    </xf>
    <xf numFmtId="0" fontId="8" fillId="0" borderId="14" xfId="0" applyFont="1" applyFill="1" applyBorder="1" applyAlignment="1">
      <alignment horizontal="center"/>
    </xf>
    <xf numFmtId="0" fontId="7" fillId="0" borderId="6" xfId="0" applyFont="1" applyBorder="1"/>
    <xf numFmtId="1" fontId="8" fillId="10" borderId="11" xfId="0" applyNumberFormat="1" applyFont="1" applyFill="1" applyBorder="1" applyAlignment="1">
      <alignment horizontal="center"/>
    </xf>
    <xf numFmtId="165" fontId="8" fillId="10" borderId="11" xfId="0" applyNumberFormat="1" applyFont="1" applyFill="1" applyBorder="1" applyAlignment="1">
      <alignment horizontal="center"/>
    </xf>
    <xf numFmtId="165" fontId="8" fillId="10" borderId="8" xfId="0" applyNumberFormat="1" applyFont="1" applyFill="1" applyBorder="1" applyAlignment="1">
      <alignment horizontal="center"/>
    </xf>
    <xf numFmtId="168" fontId="7" fillId="10" borderId="10" xfId="0" applyNumberFormat="1" applyFont="1" applyFill="1" applyBorder="1" applyAlignment="1">
      <alignment horizontal="center"/>
    </xf>
    <xf numFmtId="168" fontId="7" fillId="10" borderId="4" xfId="0" applyNumberFormat="1" applyFont="1" applyFill="1" applyBorder="1" applyAlignment="1">
      <alignment horizontal="center"/>
    </xf>
    <xf numFmtId="165" fontId="7" fillId="10" borderId="2" xfId="0" applyNumberFormat="1" applyFont="1" applyFill="1" applyBorder="1" applyAlignment="1">
      <alignment horizontal="center"/>
    </xf>
    <xf numFmtId="168" fontId="7" fillId="10" borderId="2" xfId="0" applyNumberFormat="1" applyFont="1" applyFill="1" applyBorder="1" applyAlignment="1">
      <alignment horizontal="center"/>
    </xf>
    <xf numFmtId="0" fontId="8" fillId="11" borderId="4" xfId="0" applyFont="1" applyFill="1" applyBorder="1" applyAlignment="1">
      <alignment horizontal="center"/>
    </xf>
    <xf numFmtId="167" fontId="6" fillId="0" borderId="4" xfId="0" applyNumberFormat="1" applyFont="1" applyFill="1" applyBorder="1" applyAlignment="1">
      <alignment horizontal="center"/>
    </xf>
    <xf numFmtId="0" fontId="8" fillId="0" borderId="14" xfId="0" applyFont="1" applyFill="1" applyBorder="1" applyAlignment="1">
      <alignment horizontal="center"/>
    </xf>
    <xf numFmtId="0" fontId="8" fillId="10" borderId="8" xfId="0" applyFont="1" applyFill="1" applyBorder="1" applyAlignment="1">
      <alignment horizontal="center"/>
    </xf>
    <xf numFmtId="168" fontId="7" fillId="0" borderId="4" xfId="0" applyNumberFormat="1" applyFont="1" applyFill="1" applyBorder="1" applyAlignment="1">
      <alignment horizontal="center"/>
    </xf>
    <xf numFmtId="168" fontId="7" fillId="0" borderId="2" xfId="0" applyNumberFormat="1" applyFont="1" applyFill="1" applyBorder="1" applyAlignment="1">
      <alignment horizontal="center"/>
    </xf>
    <xf numFmtId="165" fontId="7" fillId="0" borderId="2" xfId="0" applyNumberFormat="1" applyFont="1" applyFill="1" applyBorder="1" applyAlignment="1">
      <alignment horizontal="center"/>
    </xf>
    <xf numFmtId="1" fontId="8" fillId="10" borderId="12" xfId="0" applyNumberFormat="1" applyFont="1" applyFill="1" applyBorder="1" applyAlignment="1">
      <alignment horizontal="center"/>
    </xf>
    <xf numFmtId="167" fontId="1" fillId="11" borderId="4" xfId="0" applyNumberFormat="1" applyFont="1" applyFill="1" applyBorder="1" applyAlignment="1">
      <alignment horizontal="center"/>
    </xf>
    <xf numFmtId="167" fontId="1" fillId="10" borderId="11" xfId="0" applyNumberFormat="1" applyFont="1" applyFill="1" applyBorder="1" applyAlignment="1">
      <alignment horizontal="center"/>
    </xf>
    <xf numFmtId="167" fontId="1" fillId="10" borderId="6" xfId="0" applyNumberFormat="1" applyFont="1" applyFill="1" applyBorder="1" applyAlignment="1">
      <alignment horizontal="center"/>
    </xf>
    <xf numFmtId="167" fontId="1" fillId="10" borderId="4" xfId="0" applyNumberFormat="1" applyFont="1" applyFill="1" applyBorder="1" applyAlignment="1">
      <alignment horizontal="center"/>
    </xf>
    <xf numFmtId="0" fontId="6" fillId="0" borderId="0" xfId="0" applyFont="1" applyBorder="1"/>
    <xf numFmtId="1" fontId="6" fillId="0" borderId="0" xfId="0" applyNumberFormat="1" applyFont="1" applyAlignment="1">
      <alignment horizontal="left"/>
    </xf>
    <xf numFmtId="1" fontId="6" fillId="0" borderId="0" xfId="0" applyNumberFormat="1" applyFont="1" applyAlignment="1">
      <alignment horizontal="center"/>
    </xf>
    <xf numFmtId="0" fontId="6" fillId="0" borderId="0" xfId="0" applyFont="1"/>
    <xf numFmtId="0" fontId="6" fillId="0" borderId="0" xfId="0" applyFont="1" applyFill="1" applyAlignment="1">
      <alignment horizontal="center"/>
    </xf>
    <xf numFmtId="167" fontId="6" fillId="0" borderId="11" xfId="0" applyNumberFormat="1" applyFont="1" applyFill="1" applyBorder="1" applyAlignment="1">
      <alignment horizontal="center" wrapText="1"/>
    </xf>
    <xf numFmtId="167" fontId="6" fillId="0" borderId="12" xfId="0" applyNumberFormat="1" applyFont="1" applyBorder="1" applyAlignment="1">
      <alignment horizontal="center"/>
    </xf>
    <xf numFmtId="167" fontId="6" fillId="0" borderId="12" xfId="0" applyNumberFormat="1" applyFont="1" applyBorder="1" applyAlignment="1">
      <alignment horizontal="center" wrapText="1"/>
    </xf>
    <xf numFmtId="167" fontId="6" fillId="0" borderId="8" xfId="0" applyNumberFormat="1" applyFont="1" applyBorder="1" applyAlignment="1">
      <alignment horizontal="center"/>
    </xf>
    <xf numFmtId="0" fontId="6" fillId="0" borderId="11" xfId="0" applyFont="1" applyBorder="1" applyAlignment="1">
      <alignment horizontal="center" wrapText="1"/>
    </xf>
    <xf numFmtId="0" fontId="6" fillId="0" borderId="12" xfId="0" applyFont="1" applyBorder="1" applyAlignment="1">
      <alignment horizontal="center"/>
    </xf>
    <xf numFmtId="165" fontId="6" fillId="0" borderId="12" xfId="0" applyNumberFormat="1" applyFont="1" applyBorder="1" applyAlignment="1">
      <alignment horizontal="center" wrapText="1"/>
    </xf>
    <xf numFmtId="165" fontId="6" fillId="0" borderId="12" xfId="0" applyNumberFormat="1" applyFont="1" applyBorder="1" applyAlignment="1">
      <alignment horizontal="center"/>
    </xf>
    <xf numFmtId="0" fontId="6" fillId="0" borderId="8" xfId="0" applyFont="1" applyBorder="1" applyAlignment="1">
      <alignment horizontal="center"/>
    </xf>
    <xf numFmtId="0" fontId="6" fillId="0" borderId="8" xfId="0" applyFont="1" applyBorder="1"/>
    <xf numFmtId="167" fontId="6" fillId="0" borderId="6" xfId="0" applyNumberFormat="1" applyFont="1" applyFill="1" applyBorder="1" applyAlignment="1">
      <alignment horizontal="center" wrapText="1"/>
    </xf>
    <xf numFmtId="167" fontId="6" fillId="0" borderId="5" xfId="0" applyNumberFormat="1" applyFont="1" applyBorder="1" applyAlignment="1">
      <alignment horizontal="center" wrapText="1"/>
    </xf>
    <xf numFmtId="165" fontId="6" fillId="0" borderId="5" xfId="0" applyNumberFormat="1" applyFont="1" applyBorder="1" applyAlignment="1">
      <alignment horizontal="center" wrapText="1"/>
    </xf>
    <xf numFmtId="165" fontId="6" fillId="0" borderId="10" xfId="0" applyNumberFormat="1" applyFont="1" applyBorder="1" applyAlignment="1">
      <alignment horizontal="center" wrapText="1"/>
    </xf>
    <xf numFmtId="167" fontId="6" fillId="0" borderId="6" xfId="0" applyNumberFormat="1" applyFont="1" applyFill="1" applyBorder="1" applyAlignment="1">
      <alignment horizontal="center"/>
    </xf>
    <xf numFmtId="0" fontId="6" fillId="0" borderId="10" xfId="0" applyFont="1" applyBorder="1" applyAlignment="1">
      <alignment horizontal="center" wrapText="1"/>
    </xf>
    <xf numFmtId="167" fontId="6" fillId="0" borderId="6" xfId="0" applyNumberFormat="1" applyFont="1" applyBorder="1" applyAlignment="1">
      <alignment horizontal="center" wrapText="1"/>
    </xf>
    <xf numFmtId="167" fontId="6" fillId="0" borderId="10" xfId="0" applyNumberFormat="1" applyFont="1" applyBorder="1" applyAlignment="1">
      <alignment horizontal="center" wrapText="1"/>
    </xf>
    <xf numFmtId="167" fontId="6" fillId="0" borderId="0" xfId="0" applyNumberFormat="1" applyFont="1"/>
    <xf numFmtId="167" fontId="6" fillId="0" borderId="0" xfId="0" applyNumberFormat="1" applyFont="1" applyFill="1" applyAlignment="1">
      <alignment horizontal="center"/>
    </xf>
    <xf numFmtId="167" fontId="6" fillId="0" borderId="0" xfId="0" applyNumberFormat="1" applyFont="1" applyAlignment="1">
      <alignment horizontal="center"/>
    </xf>
    <xf numFmtId="168" fontId="6" fillId="0" borderId="0" xfId="0" applyNumberFormat="1" applyFont="1" applyAlignment="1">
      <alignment horizontal="center"/>
    </xf>
    <xf numFmtId="0" fontId="6" fillId="0" borderId="0" xfId="0" applyFont="1" applyAlignment="1">
      <alignment horizontal="center" wrapText="1"/>
    </xf>
    <xf numFmtId="1" fontId="6" fillId="0" borderId="0" xfId="0" applyNumberFormat="1" applyFont="1" applyAlignment="1">
      <alignment horizontal="center" wrapText="1"/>
    </xf>
    <xf numFmtId="0" fontId="28" fillId="0" borderId="0" xfId="0" applyFont="1" applyAlignment="1">
      <alignment horizontal="left"/>
    </xf>
    <xf numFmtId="0" fontId="6" fillId="0" borderId="0" xfId="0" applyFont="1" applyFill="1"/>
    <xf numFmtId="0" fontId="6" fillId="0" borderId="0" xfId="0" applyFont="1" applyFill="1" applyAlignment="1">
      <alignment horizontal="center" wrapText="1"/>
    </xf>
    <xf numFmtId="0" fontId="6" fillId="0" borderId="11" xfId="0" applyFont="1" applyBorder="1" applyAlignment="1">
      <alignment horizontal="left"/>
    </xf>
    <xf numFmtId="0" fontId="6" fillId="0" borderId="14" xfId="0" applyFont="1" applyBorder="1" applyAlignment="1">
      <alignment horizontal="left"/>
    </xf>
    <xf numFmtId="0" fontId="6" fillId="0" borderId="15" xfId="0" applyFont="1" applyBorder="1" applyAlignment="1">
      <alignment horizontal="center"/>
    </xf>
    <xf numFmtId="0" fontId="6" fillId="0" borderId="13" xfId="0" applyFont="1" applyBorder="1" applyAlignment="1">
      <alignment horizontal="center"/>
    </xf>
    <xf numFmtId="0" fontId="6" fillId="0" borderId="6" xfId="0" applyFont="1" applyBorder="1" applyAlignment="1">
      <alignment horizontal="left"/>
    </xf>
    <xf numFmtId="0" fontId="6" fillId="0" borderId="5" xfId="0" applyFont="1" applyBorder="1" applyAlignment="1">
      <alignment horizontal="center"/>
    </xf>
    <xf numFmtId="0" fontId="6" fillId="0" borderId="10" xfId="0" applyFont="1" applyBorder="1" applyAlignment="1">
      <alignment horizontal="center"/>
    </xf>
    <xf numFmtId="1" fontId="6" fillId="0" borderId="3" xfId="0" applyNumberFormat="1" applyFont="1" applyBorder="1" applyAlignment="1">
      <alignment horizontal="center"/>
    </xf>
    <xf numFmtId="0" fontId="30" fillId="0" borderId="9" xfId="0" applyFont="1" applyBorder="1" applyAlignment="1">
      <alignment horizontal="center" wrapText="1"/>
    </xf>
    <xf numFmtId="1" fontId="6" fillId="0" borderId="9" xfId="0" applyNumberFormat="1" applyFont="1" applyBorder="1" applyAlignment="1">
      <alignment horizontal="center"/>
    </xf>
    <xf numFmtId="0" fontId="6" fillId="0" borderId="0" xfId="0" applyFont="1" applyAlignment="1">
      <alignment horizontal="left"/>
    </xf>
    <xf numFmtId="1" fontId="6" fillId="0" borderId="7" xfId="0" applyNumberFormat="1" applyFont="1" applyBorder="1" applyAlignment="1">
      <alignment horizontal="center"/>
    </xf>
    <xf numFmtId="0" fontId="6" fillId="0" borderId="7" xfId="0" applyFont="1" applyBorder="1" applyAlignment="1">
      <alignment horizontal="center"/>
    </xf>
    <xf numFmtId="3" fontId="6" fillId="0" borderId="0" xfId="0" applyNumberFormat="1" applyFont="1" applyAlignment="1">
      <alignment horizontal="center"/>
    </xf>
    <xf numFmtId="3" fontId="6" fillId="7" borderId="0" xfId="0" applyNumberFormat="1" applyFont="1" applyFill="1" applyAlignment="1">
      <alignment horizontal="center"/>
    </xf>
    <xf numFmtId="3" fontId="6" fillId="0" borderId="0" xfId="0" applyNumberFormat="1" applyFont="1"/>
    <xf numFmtId="167" fontId="1" fillId="0" borderId="4" xfId="0" applyNumberFormat="1" applyFont="1" applyFill="1" applyBorder="1" applyAlignment="1">
      <alignment horizontal="center"/>
    </xf>
    <xf numFmtId="167" fontId="8" fillId="0" borderId="4" xfId="0" applyNumberFormat="1" applyFont="1" applyFill="1" applyBorder="1" applyAlignment="1">
      <alignment horizontal="left"/>
    </xf>
    <xf numFmtId="1" fontId="20" fillId="0" borderId="0" xfId="0" applyNumberFormat="1" applyFont="1" applyBorder="1" applyAlignment="1">
      <alignment horizontal="center"/>
    </xf>
    <xf numFmtId="167" fontId="20" fillId="0" borderId="0" xfId="0" applyNumberFormat="1" applyFont="1" applyBorder="1" applyAlignment="1">
      <alignment horizontal="center"/>
    </xf>
    <xf numFmtId="0" fontId="25" fillId="0" borderId="0" xfId="0" applyFont="1" applyBorder="1"/>
    <xf numFmtId="1" fontId="20" fillId="0" borderId="11" xfId="0" applyNumberFormat="1" applyFont="1" applyBorder="1" applyAlignment="1">
      <alignment horizontal="center"/>
    </xf>
    <xf numFmtId="167" fontId="20" fillId="0" borderId="4" xfId="0" applyNumberFormat="1" applyFont="1" applyBorder="1" applyAlignment="1">
      <alignment horizontal="center"/>
    </xf>
    <xf numFmtId="0" fontId="20" fillId="0" borderId="11" xfId="0" applyFont="1" applyBorder="1" applyAlignment="1">
      <alignment horizontal="right"/>
    </xf>
    <xf numFmtId="0" fontId="20" fillId="0" borderId="12" xfId="0" applyFont="1" applyBorder="1"/>
    <xf numFmtId="0" fontId="20" fillId="0" borderId="8" xfId="0" applyFont="1" applyBorder="1"/>
    <xf numFmtId="0" fontId="20" fillId="0" borderId="4" xfId="0" applyFont="1" applyBorder="1" applyAlignment="1">
      <alignment horizontal="right"/>
    </xf>
    <xf numFmtId="0" fontId="20" fillId="0" borderId="2" xfId="0" applyFont="1" applyBorder="1"/>
    <xf numFmtId="0" fontId="20" fillId="0" borderId="6" xfId="0" applyFont="1" applyBorder="1" applyAlignment="1">
      <alignment horizontal="right"/>
    </xf>
    <xf numFmtId="0" fontId="20" fillId="0" borderId="5" xfId="0" applyFont="1" applyBorder="1"/>
    <xf numFmtId="0" fontId="20" fillId="0" borderId="10" xfId="0" applyFont="1" applyBorder="1"/>
    <xf numFmtId="0" fontId="20" fillId="0" borderId="6" xfId="0" applyFont="1" applyBorder="1" applyAlignment="1">
      <alignment horizontal="center"/>
    </xf>
    <xf numFmtId="0" fontId="31" fillId="0" borderId="0" xfId="0" applyFont="1"/>
    <xf numFmtId="2" fontId="25" fillId="0" borderId="0" xfId="0" applyNumberFormat="1" applyFont="1"/>
    <xf numFmtId="3" fontId="8" fillId="0" borderId="13" xfId="0" applyNumberFormat="1" applyFont="1" applyBorder="1" applyAlignment="1">
      <alignment horizontal="center"/>
    </xf>
    <xf numFmtId="3" fontId="8" fillId="4" borderId="13" xfId="0" applyNumberFormat="1" applyFont="1" applyFill="1" applyBorder="1" applyAlignment="1">
      <alignment horizontal="center"/>
    </xf>
    <xf numFmtId="3" fontId="8" fillId="4" borderId="24" xfId="0" applyNumberFormat="1" applyFont="1" applyFill="1" applyBorder="1" applyAlignment="1">
      <alignment horizontal="center"/>
    </xf>
    <xf numFmtId="0" fontId="8" fillId="0" borderId="0" xfId="0" applyFont="1" applyBorder="1" applyAlignment="1">
      <alignment horizontal="center"/>
    </xf>
    <xf numFmtId="3" fontId="8" fillId="0" borderId="20" xfId="0" applyNumberFormat="1" applyFont="1" applyBorder="1" applyAlignment="1">
      <alignment horizontal="center"/>
    </xf>
    <xf numFmtId="3" fontId="6" fillId="4" borderId="10" xfId="0" applyNumberFormat="1" applyFont="1" applyFill="1" applyBorder="1" applyAlignment="1">
      <alignment horizontal="center"/>
    </xf>
    <xf numFmtId="3" fontId="6" fillId="0" borderId="20" xfId="0" applyNumberFormat="1" applyFont="1" applyBorder="1" applyAlignment="1">
      <alignment horizontal="center"/>
    </xf>
    <xf numFmtId="3" fontId="6" fillId="0" borderId="13" xfId="0" applyNumberFormat="1" applyFont="1" applyBorder="1" applyAlignment="1">
      <alignment horizontal="center"/>
    </xf>
    <xf numFmtId="167" fontId="8" fillId="10" borderId="11" xfId="0" applyNumberFormat="1" applyFont="1" applyFill="1" applyBorder="1" applyAlignment="1">
      <alignment horizontal="center"/>
    </xf>
    <xf numFmtId="2" fontId="8" fillId="10" borderId="4" xfId="0" applyNumberFormat="1" applyFont="1" applyFill="1" applyBorder="1" applyAlignment="1">
      <alignment horizontal="center"/>
    </xf>
    <xf numFmtId="2" fontId="8" fillId="10" borderId="6" xfId="0" applyNumberFormat="1" applyFont="1" applyFill="1" applyBorder="1" applyAlignment="1">
      <alignment horizontal="center"/>
    </xf>
    <xf numFmtId="167" fontId="8" fillId="10" borderId="14" xfId="0" applyNumberFormat="1" applyFont="1" applyFill="1" applyBorder="1" applyAlignment="1">
      <alignment horizontal="center"/>
    </xf>
    <xf numFmtId="167" fontId="8" fillId="10" borderId="13" xfId="0" applyNumberFormat="1" applyFont="1" applyFill="1" applyBorder="1" applyAlignment="1">
      <alignment horizontal="center"/>
    </xf>
    <xf numFmtId="0" fontId="8" fillId="10" borderId="14" xfId="0" applyFont="1" applyFill="1" applyBorder="1" applyAlignment="1">
      <alignment horizontal="center"/>
    </xf>
    <xf numFmtId="0" fontId="8" fillId="0" borderId="14" xfId="0" applyFont="1" applyBorder="1" applyAlignment="1">
      <alignment horizontal="center"/>
    </xf>
    <xf numFmtId="0" fontId="8" fillId="0" borderId="13" xfId="0" applyFont="1" applyBorder="1" applyAlignment="1">
      <alignment horizontal="center"/>
    </xf>
    <xf numFmtId="3" fontId="11" fillId="0" borderId="14" xfId="0" applyNumberFormat="1" applyFont="1" applyBorder="1" applyAlignment="1">
      <alignment horizontal="center"/>
    </xf>
    <xf numFmtId="0" fontId="8" fillId="0" borderId="15" xfId="0" applyFont="1" applyBorder="1" applyAlignment="1">
      <alignment horizontal="center"/>
    </xf>
    <xf numFmtId="0" fontId="8" fillId="0" borderId="14" xfId="0" applyFont="1" applyFill="1" applyBorder="1" applyAlignment="1">
      <alignment horizontal="center"/>
    </xf>
    <xf numFmtId="0" fontId="8" fillId="0" borderId="15" xfId="0" applyFont="1" applyFill="1" applyBorder="1" applyAlignment="1">
      <alignment horizontal="center"/>
    </xf>
    <xf numFmtId="0" fontId="8" fillId="0" borderId="13" xfId="0" applyFont="1" applyFill="1" applyBorder="1" applyAlignment="1">
      <alignment horizontal="center"/>
    </xf>
    <xf numFmtId="3" fontId="8" fillId="0" borderId="12" xfId="0" applyNumberFormat="1" applyFont="1" applyFill="1" applyBorder="1" applyAlignment="1">
      <alignment horizontal="center"/>
    </xf>
    <xf numFmtId="0" fontId="8" fillId="10" borderId="12" xfId="0" applyFont="1" applyFill="1" applyBorder="1" applyAlignment="1">
      <alignment horizontal="center"/>
    </xf>
    <xf numFmtId="167" fontId="1" fillId="10" borderId="12" xfId="0" applyNumberFormat="1" applyFont="1" applyFill="1" applyBorder="1" applyAlignment="1">
      <alignment horizontal="center"/>
    </xf>
    <xf numFmtId="167" fontId="1" fillId="11" borderId="0" xfId="0" applyNumberFormat="1" applyFont="1" applyFill="1" applyBorder="1" applyAlignment="1">
      <alignment horizontal="center"/>
    </xf>
    <xf numFmtId="167" fontId="6" fillId="0" borderId="0" xfId="0" applyNumberFormat="1" applyFont="1" applyFill="1" applyBorder="1" applyAlignment="1">
      <alignment horizontal="center"/>
    </xf>
    <xf numFmtId="167" fontId="1" fillId="10" borderId="5" xfId="0" applyNumberFormat="1" applyFont="1" applyFill="1" applyBorder="1" applyAlignment="1">
      <alignment horizontal="center"/>
    </xf>
    <xf numFmtId="167" fontId="1" fillId="10" borderId="0" xfId="0" applyNumberFormat="1" applyFont="1" applyFill="1" applyBorder="1" applyAlignment="1">
      <alignment horizontal="center"/>
    </xf>
    <xf numFmtId="167" fontId="8" fillId="2" borderId="12" xfId="0" applyNumberFormat="1" applyFont="1" applyFill="1" applyBorder="1" applyAlignment="1">
      <alignment horizontal="center"/>
    </xf>
    <xf numFmtId="167" fontId="1" fillId="0" borderId="0" xfId="0" applyNumberFormat="1" applyFont="1" applyFill="1" applyBorder="1" applyAlignment="1">
      <alignment horizontal="center"/>
    </xf>
    <xf numFmtId="3" fontId="8" fillId="0" borderId="0" xfId="0" applyNumberFormat="1" applyFont="1" applyFill="1" applyBorder="1" applyAlignment="1">
      <alignment horizontal="center"/>
    </xf>
    <xf numFmtId="1" fontId="8" fillId="0" borderId="8" xfId="0" applyNumberFormat="1" applyFont="1" applyBorder="1" applyAlignment="1">
      <alignment horizontal="center"/>
    </xf>
    <xf numFmtId="1" fontId="8" fillId="0" borderId="2" xfId="0" applyNumberFormat="1" applyFont="1" applyBorder="1" applyAlignment="1">
      <alignment horizontal="center"/>
    </xf>
    <xf numFmtId="0" fontId="8" fillId="0" borderId="1" xfId="0" applyFont="1" applyFill="1" applyBorder="1" applyAlignment="1">
      <alignment horizontal="center"/>
    </xf>
    <xf numFmtId="167" fontId="6" fillId="0" borderId="5" xfId="0" applyNumberFormat="1" applyFont="1" applyFill="1" applyBorder="1" applyAlignment="1">
      <alignment horizontal="center"/>
    </xf>
    <xf numFmtId="168" fontId="8" fillId="10" borderId="11" xfId="0" applyNumberFormat="1" applyFont="1" applyFill="1" applyBorder="1" applyAlignment="1">
      <alignment horizontal="center"/>
    </xf>
    <xf numFmtId="168" fontId="8" fillId="10" borderId="12" xfId="0" applyNumberFormat="1" applyFont="1" applyFill="1" applyBorder="1" applyAlignment="1">
      <alignment horizontal="center"/>
    </xf>
    <xf numFmtId="168" fontId="8" fillId="0" borderId="12" xfId="0" applyNumberFormat="1" applyFont="1" applyFill="1" applyBorder="1" applyAlignment="1">
      <alignment horizontal="center"/>
    </xf>
    <xf numFmtId="168" fontId="8" fillId="10" borderId="8" xfId="0" applyNumberFormat="1" applyFont="1" applyFill="1" applyBorder="1" applyAlignment="1">
      <alignment horizontal="center"/>
    </xf>
    <xf numFmtId="167" fontId="11" fillId="0" borderId="12" xfId="0" applyNumberFormat="1" applyFont="1" applyFill="1" applyBorder="1" applyAlignment="1">
      <alignment horizontal="center"/>
    </xf>
    <xf numFmtId="167" fontId="2" fillId="10" borderId="12" xfId="0" applyNumberFormat="1" applyFont="1" applyFill="1" applyBorder="1" applyAlignment="1">
      <alignment horizontal="center"/>
    </xf>
    <xf numFmtId="167" fontId="2" fillId="11" borderId="0" xfId="0" applyNumberFormat="1" applyFont="1" applyFill="1" applyBorder="1" applyAlignment="1">
      <alignment horizontal="center"/>
    </xf>
    <xf numFmtId="167" fontId="28" fillId="0" borderId="0" xfId="0" applyNumberFormat="1" applyFont="1" applyFill="1" applyBorder="1" applyAlignment="1">
      <alignment horizontal="center"/>
    </xf>
    <xf numFmtId="167" fontId="11" fillId="0" borderId="0" xfId="0" applyNumberFormat="1" applyFont="1" applyFill="1" applyBorder="1" applyAlignment="1">
      <alignment horizontal="center"/>
    </xf>
    <xf numFmtId="167" fontId="2" fillId="10" borderId="0" xfId="0" applyNumberFormat="1" applyFont="1" applyFill="1" applyBorder="1" applyAlignment="1">
      <alignment horizontal="center"/>
    </xf>
    <xf numFmtId="167" fontId="11" fillId="0" borderId="5" xfId="0" applyNumberFormat="1" applyFont="1" applyFill="1" applyBorder="1" applyAlignment="1">
      <alignment horizontal="center"/>
    </xf>
    <xf numFmtId="167" fontId="2" fillId="0" borderId="0" xfId="0" applyNumberFormat="1" applyFont="1" applyFill="1" applyBorder="1" applyAlignment="1">
      <alignment horizontal="center"/>
    </xf>
    <xf numFmtId="1" fontId="11" fillId="11" borderId="0" xfId="0" applyNumberFormat="1" applyFont="1" applyFill="1" applyBorder="1" applyAlignment="1">
      <alignment horizontal="center"/>
    </xf>
    <xf numFmtId="1" fontId="11" fillId="0" borderId="0" xfId="0" applyNumberFormat="1" applyFont="1" applyFill="1" applyBorder="1" applyAlignment="1">
      <alignment horizontal="center"/>
    </xf>
    <xf numFmtId="1" fontId="11" fillId="0" borderId="5" xfId="0" applyNumberFormat="1" applyFont="1" applyFill="1" applyBorder="1" applyAlignment="1">
      <alignment horizontal="center"/>
    </xf>
    <xf numFmtId="1" fontId="11" fillId="0" borderId="12" xfId="0" applyNumberFormat="1" applyFont="1" applyFill="1" applyBorder="1" applyAlignment="1">
      <alignment horizontal="center"/>
    </xf>
    <xf numFmtId="167" fontId="11" fillId="0" borderId="15" xfId="0" applyNumberFormat="1" applyFont="1" applyFill="1" applyBorder="1" applyAlignment="1">
      <alignment horizontal="center"/>
    </xf>
    <xf numFmtId="167" fontId="11" fillId="0" borderId="13" xfId="0" applyNumberFormat="1" applyFont="1" applyFill="1" applyBorder="1" applyAlignment="1">
      <alignment horizontal="center"/>
    </xf>
    <xf numFmtId="167" fontId="2" fillId="10" borderId="8" xfId="0" applyNumberFormat="1" applyFont="1" applyFill="1" applyBorder="1" applyAlignment="1">
      <alignment horizontal="center"/>
    </xf>
    <xf numFmtId="167" fontId="2" fillId="10" borderId="2" xfId="0" applyNumberFormat="1" applyFont="1" applyFill="1" applyBorder="1" applyAlignment="1">
      <alignment horizontal="center"/>
    </xf>
    <xf numFmtId="1" fontId="11" fillId="0" borderId="2" xfId="0" applyNumberFormat="1" applyFont="1" applyFill="1" applyBorder="1" applyAlignment="1">
      <alignment horizontal="center"/>
    </xf>
    <xf numFmtId="0" fontId="11" fillId="0" borderId="2" xfId="0" applyFont="1" applyFill="1" applyBorder="1" applyAlignment="1">
      <alignment horizontal="center"/>
    </xf>
    <xf numFmtId="167" fontId="2" fillId="10" borderId="10" xfId="0" applyNumberFormat="1" applyFont="1" applyFill="1" applyBorder="1" applyAlignment="1">
      <alignment horizontal="center"/>
    </xf>
    <xf numFmtId="167" fontId="11" fillId="0" borderId="2" xfId="0" applyNumberFormat="1" applyFont="1" applyFill="1" applyBorder="1" applyAlignment="1">
      <alignment horizontal="center"/>
    </xf>
    <xf numFmtId="167" fontId="11" fillId="0" borderId="10" xfId="0" applyNumberFormat="1" applyFont="1" applyFill="1" applyBorder="1" applyAlignment="1">
      <alignment horizontal="center"/>
    </xf>
    <xf numFmtId="3" fontId="8" fillId="7" borderId="4" xfId="0" applyNumberFormat="1" applyFont="1" applyFill="1" applyBorder="1" applyAlignment="1">
      <alignment horizontal="center"/>
    </xf>
    <xf numFmtId="0" fontId="8" fillId="7" borderId="14" xfId="0" applyFont="1" applyFill="1" applyBorder="1" applyAlignment="1">
      <alignment horizontal="left"/>
    </xf>
    <xf numFmtId="0" fontId="8" fillId="7" borderId="15" xfId="0" applyFont="1" applyFill="1" applyBorder="1" applyAlignment="1">
      <alignment horizontal="center"/>
    </xf>
    <xf numFmtId="0" fontId="8" fillId="7" borderId="13" xfId="0" applyFont="1" applyFill="1" applyBorder="1" applyAlignment="1">
      <alignment horizontal="center"/>
    </xf>
    <xf numFmtId="3" fontId="8" fillId="0" borderId="0" xfId="0" applyNumberFormat="1" applyFont="1" applyFill="1" applyBorder="1" applyAlignment="1">
      <alignment horizontal="left"/>
    </xf>
    <xf numFmtId="167" fontId="8" fillId="0" borderId="12" xfId="0" applyNumberFormat="1" applyFont="1" applyFill="1" applyBorder="1" applyAlignment="1">
      <alignment horizontal="left"/>
    </xf>
    <xf numFmtId="167" fontId="1" fillId="11" borderId="6" xfId="0" applyNumberFormat="1" applyFont="1" applyFill="1" applyBorder="1" applyAlignment="1">
      <alignment horizontal="center"/>
    </xf>
    <xf numFmtId="167" fontId="1" fillId="11" borderId="5" xfId="0" applyNumberFormat="1" applyFont="1" applyFill="1" applyBorder="1" applyAlignment="1">
      <alignment horizontal="center"/>
    </xf>
    <xf numFmtId="1" fontId="11" fillId="10" borderId="0" xfId="0" applyNumberFormat="1" applyFont="1" applyFill="1" applyBorder="1" applyAlignment="1">
      <alignment horizontal="center"/>
    </xf>
    <xf numFmtId="0" fontId="7" fillId="0" borderId="5" xfId="0" applyFont="1" applyBorder="1"/>
    <xf numFmtId="0" fontId="1" fillId="0" borderId="5" xfId="0" applyFont="1" applyBorder="1"/>
    <xf numFmtId="0" fontId="7" fillId="0" borderId="12" xfId="0" applyFont="1" applyBorder="1" applyAlignment="1">
      <alignment horizontal="center"/>
    </xf>
    <xf numFmtId="167" fontId="11" fillId="0" borderId="8" xfId="0" applyNumberFormat="1" applyFont="1" applyFill="1" applyBorder="1" applyAlignment="1">
      <alignment horizontal="center"/>
    </xf>
    <xf numFmtId="0" fontId="7" fillId="0" borderId="15" xfId="0" applyFont="1" applyBorder="1" applyAlignment="1">
      <alignment horizontal="center"/>
    </xf>
    <xf numFmtId="0" fontId="32" fillId="0" borderId="12" xfId="0" applyFont="1" applyBorder="1"/>
    <xf numFmtId="0" fontId="6" fillId="0" borderId="5" xfId="0" applyFont="1" applyFill="1" applyBorder="1" applyAlignment="1">
      <alignment horizontal="center"/>
    </xf>
    <xf numFmtId="0" fontId="6" fillId="0" borderId="5" xfId="0" applyFont="1" applyBorder="1"/>
    <xf numFmtId="0" fontId="32" fillId="0" borderId="0" xfId="0" applyFont="1"/>
    <xf numFmtId="0" fontId="7" fillId="11" borderId="0" xfId="0" applyFont="1" applyFill="1" applyBorder="1"/>
    <xf numFmtId="0" fontId="7" fillId="11" borderId="4" xfId="0" applyFont="1" applyFill="1" applyBorder="1"/>
    <xf numFmtId="0" fontId="23" fillId="0" borderId="12" xfId="0" applyFont="1" applyBorder="1"/>
    <xf numFmtId="0" fontId="23" fillId="0" borderId="5" xfId="0" applyFont="1" applyBorder="1"/>
    <xf numFmtId="0" fontId="23" fillId="0" borderId="0" xfId="0" applyFont="1" applyBorder="1"/>
    <xf numFmtId="0" fontId="33" fillId="0" borderId="12" xfId="0" applyFont="1" applyBorder="1"/>
    <xf numFmtId="0" fontId="28" fillId="0" borderId="5" xfId="0" applyFont="1" applyFill="1" applyBorder="1" applyAlignment="1">
      <alignment horizontal="center"/>
    </xf>
    <xf numFmtId="0" fontId="28" fillId="0" borderId="5" xfId="0" applyFont="1" applyBorder="1"/>
    <xf numFmtId="0" fontId="33" fillId="0" borderId="0" xfId="0" applyFont="1"/>
    <xf numFmtId="0" fontId="23" fillId="0" borderId="8" xfId="0" applyFont="1" applyBorder="1"/>
    <xf numFmtId="0" fontId="23" fillId="0" borderId="10" xfId="0" applyFont="1" applyBorder="1"/>
    <xf numFmtId="0" fontId="23" fillId="0" borderId="2" xfId="0" applyFont="1" applyBorder="1"/>
    <xf numFmtId="0" fontId="33" fillId="0" borderId="8" xfId="0" applyFont="1" applyBorder="1"/>
    <xf numFmtId="0" fontId="28" fillId="0" borderId="10" xfId="0" applyFont="1" applyFill="1" applyBorder="1" applyAlignment="1">
      <alignment horizontal="center"/>
    </xf>
    <xf numFmtId="0" fontId="28" fillId="0" borderId="10" xfId="0" applyFont="1" applyBorder="1"/>
    <xf numFmtId="0" fontId="11" fillId="0" borderId="5" xfId="0" applyFont="1" applyFill="1" applyBorder="1" applyAlignment="1">
      <alignment horizontal="center"/>
    </xf>
    <xf numFmtId="0" fontId="11" fillId="0" borderId="5" xfId="0" applyFont="1" applyBorder="1"/>
    <xf numFmtId="0" fontId="2" fillId="0" borderId="5" xfId="0" applyFont="1" applyBorder="1"/>
    <xf numFmtId="0" fontId="23" fillId="0" borderId="8" xfId="0" applyFont="1" applyBorder="1" applyAlignment="1">
      <alignment horizontal="center"/>
    </xf>
    <xf numFmtId="0" fontId="11" fillId="0" borderId="10" xfId="0" applyFont="1" applyFill="1" applyBorder="1" applyAlignment="1">
      <alignment horizontal="center"/>
    </xf>
    <xf numFmtId="0" fontId="11" fillId="0" borderId="10" xfId="0" applyFont="1" applyBorder="1"/>
    <xf numFmtId="0" fontId="2" fillId="0" borderId="10" xfId="0" applyFont="1" applyBorder="1"/>
    <xf numFmtId="0" fontId="34" fillId="7" borderId="11" xfId="0" applyFont="1" applyFill="1" applyBorder="1" applyAlignment="1">
      <alignment horizontal="center"/>
    </xf>
    <xf numFmtId="0" fontId="1" fillId="0" borderId="6" xfId="0" applyFont="1" applyFill="1" applyBorder="1" applyAlignment="1">
      <alignment horizontal="center"/>
    </xf>
    <xf numFmtId="0" fontId="34" fillId="0" borderId="12" xfId="0" applyFont="1" applyBorder="1"/>
    <xf numFmtId="0" fontId="34" fillId="5" borderId="11" xfId="0" applyFont="1" applyFill="1" applyBorder="1" applyAlignment="1">
      <alignment horizontal="center"/>
    </xf>
    <xf numFmtId="0" fontId="1" fillId="0" borderId="6" xfId="0" applyFont="1" applyFill="1" applyBorder="1" applyAlignment="1">
      <alignment horizontal="left"/>
    </xf>
    <xf numFmtId="0" fontId="34" fillId="0" borderId="4" xfId="0" applyFont="1" applyBorder="1"/>
    <xf numFmtId="0" fontId="34" fillId="0" borderId="12" xfId="0" applyFont="1" applyFill="1" applyBorder="1"/>
    <xf numFmtId="0" fontId="32" fillId="0" borderId="0" xfId="0" applyFont="1" applyFill="1" applyBorder="1" applyAlignment="1">
      <alignment horizontal="center"/>
    </xf>
    <xf numFmtId="0" fontId="33" fillId="0" borderId="2" xfId="0" applyFont="1" applyFill="1" applyBorder="1" applyAlignment="1">
      <alignment horizontal="center"/>
    </xf>
    <xf numFmtId="0" fontId="7" fillId="0" borderId="0" xfId="0" applyFont="1" applyFill="1" applyBorder="1" applyAlignment="1">
      <alignment horizontal="center"/>
    </xf>
    <xf numFmtId="0" fontId="23" fillId="0" borderId="2" xfId="0" applyFont="1" applyFill="1" applyBorder="1" applyAlignment="1">
      <alignment horizontal="center"/>
    </xf>
    <xf numFmtId="0" fontId="34" fillId="0" borderId="0" xfId="0" applyFont="1"/>
    <xf numFmtId="0" fontId="8" fillId="0" borderId="0" xfId="0" applyFont="1" applyBorder="1" applyAlignment="1">
      <alignment horizontal="left"/>
    </xf>
    <xf numFmtId="0" fontId="35" fillId="0" borderId="0" xfId="0" applyFont="1"/>
    <xf numFmtId="0" fontId="0" fillId="0" borderId="3" xfId="0" applyBorder="1"/>
    <xf numFmtId="0" fontId="0" fillId="0" borderId="7" xfId="0" applyBorder="1"/>
    <xf numFmtId="0" fontId="0" fillId="0" borderId="14" xfId="0" applyBorder="1"/>
    <xf numFmtId="0" fontId="35" fillId="0" borderId="1" xfId="0" applyFont="1" applyBorder="1"/>
    <xf numFmtId="0" fontId="0" fillId="0" borderId="15" xfId="0" applyBorder="1"/>
    <xf numFmtId="0" fontId="0" fillId="0" borderId="13" xfId="0" applyBorder="1"/>
    <xf numFmtId="0" fontId="0" fillId="0" borderId="9" xfId="0" applyBorder="1"/>
    <xf numFmtId="0" fontId="35" fillId="19" borderId="1" xfId="0" applyFont="1" applyFill="1" applyBorder="1"/>
    <xf numFmtId="0" fontId="35" fillId="19" borderId="3" xfId="0" applyFont="1" applyFill="1" applyBorder="1"/>
    <xf numFmtId="0" fontId="35" fillId="19" borderId="7" xfId="0" applyFont="1" applyFill="1" applyBorder="1"/>
    <xf numFmtId="0" fontId="0" fillId="19" borderId="15" xfId="0" applyFill="1" applyBorder="1"/>
    <xf numFmtId="0" fontId="0" fillId="19" borderId="13" xfId="0" applyFill="1" applyBorder="1"/>
    <xf numFmtId="0" fontId="35" fillId="19" borderId="11" xfId="0" applyFont="1" applyFill="1" applyBorder="1"/>
    <xf numFmtId="0" fontId="35" fillId="19" borderId="12" xfId="0" applyFont="1" applyFill="1" applyBorder="1"/>
    <xf numFmtId="0" fontId="35" fillId="19" borderId="14" xfId="0" applyFont="1" applyFill="1" applyBorder="1"/>
    <xf numFmtId="0" fontId="35" fillId="19" borderId="15" xfId="0" applyFont="1" applyFill="1" applyBorder="1"/>
    <xf numFmtId="0" fontId="35" fillId="19" borderId="9" xfId="0" applyFont="1" applyFill="1" applyBorder="1"/>
    <xf numFmtId="0" fontId="35" fillId="0" borderId="13" xfId="0" applyFont="1" applyBorder="1"/>
    <xf numFmtId="1" fontId="11" fillId="10" borderId="2" xfId="0" applyNumberFormat="1" applyFont="1" applyFill="1" applyBorder="1" applyAlignment="1">
      <alignment horizontal="center"/>
    </xf>
    <xf numFmtId="1" fontId="1" fillId="10" borderId="0" xfId="0" applyNumberFormat="1" applyFont="1" applyFill="1" applyBorder="1" applyAlignment="1">
      <alignment horizontal="center"/>
    </xf>
    <xf numFmtId="1" fontId="2" fillId="10" borderId="0" xfId="0" applyNumberFormat="1" applyFont="1" applyFill="1" applyBorder="1" applyAlignment="1">
      <alignment horizontal="center"/>
    </xf>
    <xf numFmtId="1" fontId="2" fillId="10" borderId="2" xfId="0" applyNumberFormat="1" applyFont="1" applyFill="1" applyBorder="1" applyAlignment="1">
      <alignment horizontal="center"/>
    </xf>
    <xf numFmtId="1" fontId="11" fillId="10" borderId="5" xfId="0" applyNumberFormat="1" applyFont="1" applyFill="1" applyBorder="1" applyAlignment="1">
      <alignment horizontal="center"/>
    </xf>
    <xf numFmtId="1" fontId="11" fillId="10" borderId="10" xfId="0" applyNumberFormat="1" applyFont="1" applyFill="1" applyBorder="1" applyAlignment="1">
      <alignment horizontal="center"/>
    </xf>
    <xf numFmtId="1" fontId="11" fillId="10" borderId="8" xfId="0" applyNumberFormat="1" applyFont="1" applyFill="1" applyBorder="1" applyAlignment="1">
      <alignment horizontal="center"/>
    </xf>
    <xf numFmtId="167" fontId="1" fillId="20" borderId="0" xfId="0" applyNumberFormat="1" applyFont="1" applyFill="1" applyBorder="1" applyAlignment="1">
      <alignment horizontal="center"/>
    </xf>
    <xf numFmtId="1" fontId="8" fillId="20" borderId="4" xfId="0" applyNumberFormat="1" applyFont="1" applyFill="1" applyBorder="1" applyAlignment="1">
      <alignment horizontal="center"/>
    </xf>
    <xf numFmtId="0" fontId="7" fillId="0" borderId="0" xfId="0" applyFont="1" applyAlignment="1">
      <alignment horizontal="right"/>
    </xf>
    <xf numFmtId="172" fontId="7" fillId="2" borderId="0" xfId="0" applyNumberFormat="1" applyFont="1" applyFill="1" applyAlignment="1">
      <alignment horizontal="center"/>
    </xf>
    <xf numFmtId="172" fontId="7" fillId="2" borderId="0" xfId="0" applyNumberFormat="1" applyFont="1" applyFill="1"/>
    <xf numFmtId="172" fontId="7" fillId="0" borderId="0" xfId="0" applyNumberFormat="1" applyFont="1"/>
    <xf numFmtId="0" fontId="8" fillId="0" borderId="15" xfId="0" applyFont="1" applyFill="1" applyBorder="1" applyAlignment="1">
      <alignment horizontal="center"/>
    </xf>
    <xf numFmtId="0" fontId="8" fillId="0" borderId="13" xfId="0" applyFont="1" applyFill="1" applyBorder="1" applyAlignment="1">
      <alignment horizontal="center"/>
    </xf>
    <xf numFmtId="0" fontId="28" fillId="0" borderId="0" xfId="0" applyFont="1" applyFill="1" applyBorder="1" applyAlignment="1">
      <alignment horizontal="center"/>
    </xf>
    <xf numFmtId="1" fontId="28" fillId="0" borderId="0" xfId="0" applyNumberFormat="1" applyFont="1" applyFill="1" applyBorder="1" applyAlignment="1">
      <alignment horizontal="center"/>
    </xf>
    <xf numFmtId="167" fontId="28" fillId="0" borderId="2" xfId="0" applyNumberFormat="1" applyFont="1" applyFill="1" applyBorder="1" applyAlignment="1">
      <alignment horizontal="center"/>
    </xf>
    <xf numFmtId="0" fontId="8" fillId="0" borderId="14" xfId="0" applyFont="1" applyFill="1" applyBorder="1" applyAlignment="1">
      <alignment horizontal="left"/>
    </xf>
    <xf numFmtId="10" fontId="8" fillId="0" borderId="15" xfId="0" applyNumberFormat="1" applyFont="1" applyFill="1" applyBorder="1" applyAlignment="1">
      <alignment horizontal="center"/>
    </xf>
    <xf numFmtId="0" fontId="28" fillId="0" borderId="0" xfId="0" applyFont="1" applyBorder="1"/>
    <xf numFmtId="0" fontId="1" fillId="0" borderId="14" xfId="0" applyFont="1" applyFill="1" applyBorder="1" applyAlignment="1">
      <alignment horizontal="left"/>
    </xf>
    <xf numFmtId="0" fontId="1" fillId="0" borderId="15" xfId="0" applyFont="1" applyBorder="1"/>
    <xf numFmtId="0" fontId="2" fillId="0" borderId="15" xfId="0" applyFont="1" applyBorder="1"/>
    <xf numFmtId="0" fontId="2" fillId="0" borderId="13" xfId="0" applyFont="1" applyBorder="1"/>
    <xf numFmtId="10" fontId="1" fillId="0" borderId="15" xfId="0" applyNumberFormat="1" applyFont="1" applyBorder="1"/>
    <xf numFmtId="0" fontId="33" fillId="0" borderId="0" xfId="0" applyFont="1" applyBorder="1"/>
    <xf numFmtId="0" fontId="33" fillId="0" borderId="2" xfId="0" applyFont="1" applyBorder="1"/>
    <xf numFmtId="168" fontId="23" fillId="0" borderId="0" xfId="0" applyNumberFormat="1" applyFont="1" applyBorder="1"/>
    <xf numFmtId="10" fontId="0" fillId="0" borderId="15" xfId="0" applyNumberFormat="1" applyBorder="1"/>
    <xf numFmtId="0" fontId="8" fillId="0" borderId="14" xfId="0" applyFont="1" applyBorder="1" applyAlignment="1">
      <alignment horizontal="center"/>
    </xf>
    <xf numFmtId="0" fontId="8" fillId="0" borderId="13" xfId="0" applyFont="1" applyBorder="1" applyAlignment="1">
      <alignment horizontal="center"/>
    </xf>
    <xf numFmtId="3" fontId="8" fillId="0" borderId="20" xfId="0" applyNumberFormat="1" applyFont="1" applyBorder="1" applyAlignment="1">
      <alignment horizontal="center"/>
    </xf>
    <xf numFmtId="0" fontId="8" fillId="0" borderId="15" xfId="0" applyFont="1" applyBorder="1" applyAlignment="1">
      <alignment horizontal="center"/>
    </xf>
    <xf numFmtId="0" fontId="8" fillId="0" borderId="0" xfId="0" applyFont="1" applyBorder="1" applyAlignment="1">
      <alignment horizontal="center"/>
    </xf>
    <xf numFmtId="3" fontId="8" fillId="0" borderId="13" xfId="0" applyNumberFormat="1" applyFont="1" applyBorder="1" applyAlignment="1">
      <alignment horizontal="center"/>
    </xf>
    <xf numFmtId="3" fontId="8" fillId="4" borderId="13" xfId="0" applyNumberFormat="1" applyFont="1" applyFill="1" applyBorder="1" applyAlignment="1">
      <alignment horizontal="center"/>
    </xf>
    <xf numFmtId="0" fontId="8" fillId="0" borderId="14" xfId="0" applyFont="1" applyFill="1" applyBorder="1" applyAlignment="1">
      <alignment horizontal="center"/>
    </xf>
    <xf numFmtId="0" fontId="8" fillId="0" borderId="15" xfId="0" applyFont="1" applyFill="1" applyBorder="1" applyAlignment="1">
      <alignment horizontal="center"/>
    </xf>
    <xf numFmtId="0" fontId="8" fillId="0" borderId="13" xfId="0" applyFont="1" applyFill="1" applyBorder="1" applyAlignment="1">
      <alignment horizontal="center"/>
    </xf>
    <xf numFmtId="3" fontId="8" fillId="4" borderId="24" xfId="0" applyNumberFormat="1" applyFont="1" applyFill="1" applyBorder="1" applyAlignment="1">
      <alignment horizontal="center"/>
    </xf>
    <xf numFmtId="3" fontId="8" fillId="0" borderId="20" xfId="0" applyNumberFormat="1" applyFont="1" applyBorder="1" applyAlignment="1">
      <alignment horizontal="center"/>
    </xf>
    <xf numFmtId="167" fontId="1" fillId="0" borderId="11" xfId="0" applyNumberFormat="1" applyFont="1" applyFill="1" applyBorder="1" applyAlignment="1">
      <alignment horizontal="center"/>
    </xf>
    <xf numFmtId="167" fontId="1" fillId="0" borderId="12" xfId="0" applyNumberFormat="1" applyFont="1" applyFill="1" applyBorder="1" applyAlignment="1">
      <alignment horizontal="center"/>
    </xf>
    <xf numFmtId="167" fontId="2" fillId="0" borderId="12" xfId="0" applyNumberFormat="1" applyFont="1" applyFill="1" applyBorder="1" applyAlignment="1">
      <alignment horizontal="center"/>
    </xf>
    <xf numFmtId="167" fontId="2" fillId="0" borderId="8" xfId="0" applyNumberFormat="1" applyFont="1" applyFill="1" applyBorder="1" applyAlignment="1">
      <alignment horizontal="center"/>
    </xf>
    <xf numFmtId="167" fontId="2" fillId="0" borderId="2" xfId="0" applyNumberFormat="1" applyFont="1" applyFill="1" applyBorder="1" applyAlignment="1">
      <alignment horizontal="center"/>
    </xf>
    <xf numFmtId="1" fontId="1" fillId="0" borderId="4" xfId="0" applyNumberFormat="1" applyFont="1" applyFill="1" applyBorder="1" applyAlignment="1">
      <alignment horizontal="center"/>
    </xf>
    <xf numFmtId="1" fontId="1" fillId="0" borderId="0" xfId="0" applyNumberFormat="1" applyFont="1" applyFill="1" applyBorder="1" applyAlignment="1">
      <alignment horizontal="center"/>
    </xf>
    <xf numFmtId="1" fontId="2" fillId="0" borderId="2" xfId="0" applyNumberFormat="1" applyFont="1" applyFill="1" applyBorder="1" applyAlignment="1">
      <alignment horizontal="center"/>
    </xf>
    <xf numFmtId="1" fontId="11" fillId="0" borderId="10" xfId="0" applyNumberFormat="1" applyFont="1" applyFill="1" applyBorder="1" applyAlignment="1">
      <alignment horizontal="center"/>
    </xf>
    <xf numFmtId="1" fontId="28" fillId="0" borderId="12" xfId="0" applyNumberFormat="1" applyFont="1" applyFill="1" applyBorder="1" applyAlignment="1">
      <alignment horizontal="center"/>
    </xf>
    <xf numFmtId="1" fontId="11" fillId="0" borderId="8" xfId="0" applyNumberFormat="1" applyFont="1" applyFill="1" applyBorder="1" applyAlignment="1">
      <alignment horizontal="center"/>
    </xf>
    <xf numFmtId="167" fontId="1" fillId="0" borderId="6" xfId="0" applyNumberFormat="1" applyFont="1" applyFill="1" applyBorder="1" applyAlignment="1">
      <alignment horizontal="center"/>
    </xf>
    <xf numFmtId="167" fontId="1" fillId="0" borderId="5" xfId="0" applyNumberFormat="1" applyFont="1" applyFill="1" applyBorder="1" applyAlignment="1">
      <alignment horizontal="center"/>
    </xf>
    <xf numFmtId="167" fontId="28" fillId="0" borderId="5" xfId="0" applyNumberFormat="1" applyFont="1" applyFill="1" applyBorder="1" applyAlignment="1">
      <alignment horizontal="center"/>
    </xf>
    <xf numFmtId="167" fontId="2" fillId="0" borderId="10" xfId="0" applyNumberFormat="1" applyFont="1" applyFill="1" applyBorder="1" applyAlignment="1">
      <alignment horizontal="center"/>
    </xf>
    <xf numFmtId="3" fontId="1" fillId="4" borderId="10" xfId="0" applyNumberFormat="1" applyFont="1" applyFill="1" applyBorder="1" applyAlignment="1">
      <alignment horizontal="center"/>
    </xf>
    <xf numFmtId="3" fontId="1" fillId="0" borderId="20" xfId="0" applyNumberFormat="1" applyFont="1" applyBorder="1" applyAlignment="1">
      <alignment horizontal="center"/>
    </xf>
    <xf numFmtId="3" fontId="1" fillId="0" borderId="13" xfId="0" applyNumberFormat="1" applyFont="1" applyBorder="1" applyAlignment="1">
      <alignment horizontal="center"/>
    </xf>
    <xf numFmtId="3" fontId="1" fillId="4" borderId="13" xfId="0" applyNumberFormat="1" applyFont="1" applyFill="1" applyBorder="1" applyAlignment="1">
      <alignment horizontal="center"/>
    </xf>
    <xf numFmtId="3" fontId="1" fillId="4" borderId="8" xfId="0" applyNumberFormat="1" applyFont="1" applyFill="1" applyBorder="1" applyAlignment="1">
      <alignment horizontal="center"/>
    </xf>
    <xf numFmtId="1" fontId="20" fillId="0" borderId="4" xfId="0" applyNumberFormat="1" applyFont="1" applyBorder="1" applyAlignment="1">
      <alignment horizontal="center"/>
    </xf>
    <xf numFmtId="167" fontId="0" fillId="22" borderId="0" xfId="0" applyNumberFormat="1" applyFill="1" applyBorder="1"/>
    <xf numFmtId="167" fontId="35" fillId="22" borderId="9" xfId="0" applyNumberFormat="1" applyFont="1" applyFill="1" applyBorder="1"/>
    <xf numFmtId="167" fontId="35" fillId="22" borderId="3" xfId="0" applyNumberFormat="1" applyFont="1" applyFill="1" applyBorder="1"/>
    <xf numFmtId="167" fontId="35" fillId="22" borderId="7" xfId="0" applyNumberFormat="1" applyFont="1" applyFill="1" applyBorder="1"/>
    <xf numFmtId="167" fontId="0" fillId="22" borderId="12" xfId="0" applyNumberFormat="1" applyFill="1" applyBorder="1"/>
    <xf numFmtId="167" fontId="0" fillId="22" borderId="5" xfId="0" applyNumberFormat="1" applyFill="1" applyBorder="1"/>
    <xf numFmtId="167" fontId="0" fillId="23" borderId="0" xfId="0" applyNumberFormat="1" applyFill="1" applyBorder="1"/>
    <xf numFmtId="167" fontId="35" fillId="23" borderId="9" xfId="0" applyNumberFormat="1" applyFont="1" applyFill="1" applyBorder="1"/>
    <xf numFmtId="167" fontId="35" fillId="23" borderId="3" xfId="0" applyNumberFormat="1" applyFont="1" applyFill="1" applyBorder="1"/>
    <xf numFmtId="167" fontId="35" fillId="23" borderId="7" xfId="0" applyNumberFormat="1" applyFont="1" applyFill="1" applyBorder="1"/>
    <xf numFmtId="167" fontId="0" fillId="23" borderId="12" xfId="0" applyNumberFormat="1" applyFill="1" applyBorder="1"/>
    <xf numFmtId="167" fontId="0" fillId="23" borderId="5" xfId="0" applyNumberFormat="1" applyFill="1" applyBorder="1"/>
    <xf numFmtId="2" fontId="0" fillId="23" borderId="11" xfId="0" applyNumberFormat="1" applyFill="1" applyBorder="1"/>
    <xf numFmtId="2" fontId="0" fillId="23" borderId="12" xfId="0" applyNumberFormat="1" applyFill="1" applyBorder="1"/>
    <xf numFmtId="2" fontId="0" fillId="23" borderId="4" xfId="0" applyNumberFormat="1" applyFill="1" applyBorder="1"/>
    <xf numFmtId="2" fontId="0" fillId="23" borderId="0" xfId="0" applyNumberFormat="1" applyFill="1" applyBorder="1"/>
    <xf numFmtId="2" fontId="0" fillId="23" borderId="6" xfId="0" applyNumberFormat="1" applyFill="1" applyBorder="1"/>
    <xf numFmtId="2" fontId="0" fillId="23" borderId="5" xfId="0" applyNumberFormat="1" applyFill="1" applyBorder="1"/>
    <xf numFmtId="167" fontId="36" fillId="23" borderId="3" xfId="0" applyNumberFormat="1" applyFont="1" applyFill="1" applyBorder="1"/>
    <xf numFmtId="167" fontId="36" fillId="23" borderId="7" xfId="0" applyNumberFormat="1" applyFont="1" applyFill="1" applyBorder="1"/>
    <xf numFmtId="2" fontId="0" fillId="22" borderId="0" xfId="0" applyNumberFormat="1" applyFill="1" applyBorder="1"/>
    <xf numFmtId="2" fontId="0" fillId="22" borderId="2" xfId="0" applyNumberFormat="1" applyFill="1" applyBorder="1"/>
    <xf numFmtId="167" fontId="36" fillId="22" borderId="9" xfId="0" applyNumberFormat="1" applyFont="1" applyFill="1" applyBorder="1"/>
    <xf numFmtId="2" fontId="0" fillId="22" borderId="5" xfId="0" applyNumberFormat="1" applyFill="1" applyBorder="1"/>
    <xf numFmtId="2" fontId="0" fillId="22" borderId="10" xfId="0" applyNumberFormat="1" applyFill="1" applyBorder="1"/>
    <xf numFmtId="2" fontId="0" fillId="22" borderId="12" xfId="0" applyNumberFormat="1" applyFill="1" applyBorder="1"/>
    <xf numFmtId="2" fontId="0" fillId="22" borderId="8" xfId="0" applyNumberFormat="1" applyFill="1" applyBorder="1"/>
    <xf numFmtId="167" fontId="0" fillId="22" borderId="8" xfId="0" applyNumberFormat="1" applyFill="1" applyBorder="1"/>
    <xf numFmtId="167" fontId="0" fillId="22" borderId="2" xfId="0" applyNumberFormat="1" applyFill="1" applyBorder="1"/>
    <xf numFmtId="167" fontId="0" fillId="22" borderId="10" xfId="0" applyNumberFormat="1" applyFill="1" applyBorder="1"/>
    <xf numFmtId="167" fontId="0" fillId="10" borderId="12" xfId="0" applyNumberFormat="1" applyFill="1" applyBorder="1"/>
    <xf numFmtId="167" fontId="35" fillId="10" borderId="9" xfId="0" applyNumberFormat="1" applyFont="1" applyFill="1" applyBorder="1"/>
    <xf numFmtId="167" fontId="0" fillId="10" borderId="0" xfId="0" applyNumberFormat="1" applyFill="1" applyBorder="1"/>
    <xf numFmtId="167" fontId="35" fillId="10" borderId="3" xfId="0" applyNumberFormat="1" applyFont="1" applyFill="1" applyBorder="1"/>
    <xf numFmtId="167" fontId="0" fillId="10" borderId="5" xfId="0" applyNumberFormat="1" applyFill="1" applyBorder="1"/>
    <xf numFmtId="167" fontId="35" fillId="10" borderId="7" xfId="0" applyNumberFormat="1" applyFont="1" applyFill="1" applyBorder="1"/>
    <xf numFmtId="167" fontId="0" fillId="24" borderId="12" xfId="0" applyNumberFormat="1" applyFill="1" applyBorder="1"/>
    <xf numFmtId="167" fontId="35" fillId="24" borderId="9" xfId="0" applyNumberFormat="1" applyFont="1" applyFill="1" applyBorder="1"/>
    <xf numFmtId="167" fontId="0" fillId="24" borderId="0" xfId="0" applyNumberFormat="1" applyFill="1" applyBorder="1"/>
    <xf numFmtId="167" fontId="35" fillId="24" borderId="3" xfId="0" applyNumberFormat="1" applyFont="1" applyFill="1" applyBorder="1"/>
    <xf numFmtId="167" fontId="0" fillId="24" borderId="5" xfId="0" applyNumberFormat="1" applyFill="1" applyBorder="1"/>
    <xf numFmtId="167" fontId="35" fillId="24" borderId="7" xfId="0" applyNumberFormat="1" applyFont="1" applyFill="1" applyBorder="1"/>
    <xf numFmtId="2" fontId="0" fillId="10" borderId="11" xfId="0" applyNumberFormat="1" applyFill="1" applyBorder="1"/>
    <xf numFmtId="2" fontId="0" fillId="10" borderId="12" xfId="0" applyNumberFormat="1" applyFill="1" applyBorder="1"/>
    <xf numFmtId="2" fontId="0" fillId="10" borderId="4" xfId="0" applyNumberFormat="1" applyFill="1" applyBorder="1"/>
    <xf numFmtId="2" fontId="0" fillId="10" borderId="0" xfId="0" applyNumberFormat="1" applyFill="1" applyBorder="1"/>
    <xf numFmtId="167" fontId="36" fillId="10" borderId="3" xfId="0" applyNumberFormat="1" applyFont="1" applyFill="1" applyBorder="1"/>
    <xf numFmtId="2" fontId="0" fillId="10" borderId="6" xfId="0" applyNumberFormat="1" applyFill="1" applyBorder="1"/>
    <xf numFmtId="2" fontId="0" fillId="10" borderId="5" xfId="0" applyNumberFormat="1" applyFill="1" applyBorder="1"/>
    <xf numFmtId="167" fontId="36" fillId="10" borderId="7" xfId="0" applyNumberFormat="1" applyFont="1" applyFill="1" applyBorder="1"/>
    <xf numFmtId="167" fontId="0" fillId="24" borderId="8" xfId="0" applyNumberFormat="1" applyFill="1" applyBorder="1"/>
    <xf numFmtId="167" fontId="0" fillId="24" borderId="2" xfId="0" applyNumberFormat="1" applyFill="1" applyBorder="1"/>
    <xf numFmtId="167" fontId="0" fillId="24" borderId="10" xfId="0" applyNumberFormat="1" applyFill="1" applyBorder="1"/>
    <xf numFmtId="2" fontId="0" fillId="24" borderId="12" xfId="0" applyNumberFormat="1" applyFill="1" applyBorder="1"/>
    <xf numFmtId="2" fontId="0" fillId="24" borderId="8" xfId="0" applyNumberFormat="1" applyFill="1" applyBorder="1"/>
    <xf numFmtId="2" fontId="0" fillId="24" borderId="0" xfId="0" applyNumberFormat="1" applyFill="1" applyBorder="1"/>
    <xf numFmtId="2" fontId="0" fillId="24" borderId="2" xfId="0" applyNumberFormat="1" applyFill="1" applyBorder="1"/>
    <xf numFmtId="2" fontId="0" fillId="24" borderId="5" xfId="0" applyNumberFormat="1" applyFill="1" applyBorder="1"/>
    <xf numFmtId="2" fontId="0" fillId="24" borderId="10" xfId="0" applyNumberFormat="1" applyFill="1" applyBorder="1"/>
    <xf numFmtId="167" fontId="36" fillId="24" borderId="9" xfId="0" applyNumberFormat="1" applyFont="1" applyFill="1" applyBorder="1"/>
    <xf numFmtId="167" fontId="0" fillId="23" borderId="4" xfId="0" applyNumberFormat="1" applyFill="1" applyBorder="1"/>
    <xf numFmtId="0" fontId="37" fillId="0" borderId="0" xfId="0" applyFont="1"/>
    <xf numFmtId="167" fontId="38" fillId="10" borderId="9" xfId="0" applyNumberFormat="1" applyFont="1" applyFill="1" applyBorder="1"/>
    <xf numFmtId="167" fontId="38" fillId="10" borderId="3" xfId="0" applyNumberFormat="1" applyFont="1" applyFill="1" applyBorder="1"/>
    <xf numFmtId="167" fontId="38" fillId="10" borderId="7" xfId="0" applyNumberFormat="1" applyFont="1" applyFill="1" applyBorder="1"/>
    <xf numFmtId="0" fontId="34" fillId="0" borderId="0" xfId="0" applyFont="1" applyBorder="1"/>
    <xf numFmtId="0" fontId="39" fillId="0" borderId="0" xfId="0" applyFont="1" applyBorder="1"/>
    <xf numFmtId="168" fontId="34" fillId="0" borderId="0" xfId="0" applyNumberFormat="1" applyFont="1" applyBorder="1"/>
    <xf numFmtId="168" fontId="39" fillId="0" borderId="2" xfId="0" applyNumberFormat="1" applyFont="1" applyBorder="1"/>
    <xf numFmtId="168" fontId="34" fillId="11" borderId="0" xfId="0" applyNumberFormat="1" applyFont="1" applyFill="1" applyBorder="1"/>
    <xf numFmtId="0" fontId="39" fillId="0" borderId="2" xfId="0" applyFont="1" applyBorder="1"/>
    <xf numFmtId="168" fontId="39" fillId="0" borderId="0" xfId="0" applyNumberFormat="1" applyFont="1" applyBorder="1"/>
    <xf numFmtId="0" fontId="34" fillId="0" borderId="6" xfId="0" applyFont="1" applyBorder="1"/>
    <xf numFmtId="0" fontId="34" fillId="0" borderId="5" xfId="0" applyFont="1" applyBorder="1"/>
    <xf numFmtId="0" fontId="34" fillId="0" borderId="11" xfId="0" applyFont="1" applyBorder="1"/>
    <xf numFmtId="0" fontId="39" fillId="0" borderId="12" xfId="0" applyFont="1" applyBorder="1"/>
    <xf numFmtId="0" fontId="39" fillId="0" borderId="8" xfId="0" applyFont="1" applyBorder="1"/>
    <xf numFmtId="0" fontId="8" fillId="0" borderId="14" xfId="0" applyFont="1" applyBorder="1" applyAlignment="1">
      <alignment horizontal="center"/>
    </xf>
    <xf numFmtId="0" fontId="8" fillId="0" borderId="13" xfId="0" applyFont="1" applyBorder="1" applyAlignment="1">
      <alignment horizontal="center"/>
    </xf>
    <xf numFmtId="0" fontId="8" fillId="0" borderId="15" xfId="0" applyFont="1" applyBorder="1" applyAlignment="1">
      <alignment horizontal="center"/>
    </xf>
    <xf numFmtId="3" fontId="11" fillId="0" borderId="14" xfId="0" applyNumberFormat="1" applyFont="1" applyBorder="1" applyAlignment="1">
      <alignment horizontal="center"/>
    </xf>
    <xf numFmtId="0" fontId="8" fillId="0" borderId="14" xfId="0" applyFont="1" applyFill="1" applyBorder="1" applyAlignment="1">
      <alignment horizontal="center"/>
    </xf>
    <xf numFmtId="0" fontId="8" fillId="0" borderId="15" xfId="0" applyFont="1" applyFill="1" applyBorder="1" applyAlignment="1">
      <alignment horizontal="center"/>
    </xf>
    <xf numFmtId="0" fontId="8" fillId="0" borderId="13" xfId="0" applyFont="1" applyFill="1" applyBorder="1" applyAlignment="1">
      <alignment horizontal="center"/>
    </xf>
    <xf numFmtId="0" fontId="34" fillId="0" borderId="0" xfId="0" applyFont="1" applyFill="1" applyBorder="1"/>
    <xf numFmtId="2" fontId="34" fillId="7" borderId="11" xfId="0" applyNumberFormat="1" applyFont="1" applyFill="1" applyBorder="1" applyAlignment="1">
      <alignment horizontal="center"/>
    </xf>
    <xf numFmtId="167" fontId="38" fillId="22" borderId="9" xfId="0" applyNumberFormat="1" applyFont="1" applyFill="1" applyBorder="1"/>
    <xf numFmtId="167" fontId="38" fillId="22" borderId="3" xfId="0" applyNumberFormat="1" applyFont="1" applyFill="1" applyBorder="1"/>
    <xf numFmtId="167" fontId="38" fillId="22" borderId="7" xfId="0" applyNumberFormat="1" applyFont="1" applyFill="1" applyBorder="1"/>
    <xf numFmtId="1" fontId="2" fillId="10" borderId="12" xfId="0" applyNumberFormat="1" applyFont="1" applyFill="1" applyBorder="1" applyAlignment="1">
      <alignment horizontal="center"/>
    </xf>
    <xf numFmtId="167" fontId="2" fillId="11" borderId="5" xfId="0" applyNumberFormat="1" applyFont="1" applyFill="1" applyBorder="1" applyAlignment="1">
      <alignment horizontal="center"/>
    </xf>
    <xf numFmtId="1" fontId="34" fillId="0" borderId="0" xfId="0" applyNumberFormat="1" applyFont="1" applyBorder="1"/>
    <xf numFmtId="1" fontId="34" fillId="0" borderId="0" xfId="0" applyNumberFormat="1" applyFont="1" applyFill="1" applyBorder="1"/>
    <xf numFmtId="168" fontId="39" fillId="0" borderId="2" xfId="0" applyNumberFormat="1" applyFont="1" applyFill="1" applyBorder="1"/>
    <xf numFmtId="0" fontId="39" fillId="0" borderId="2" xfId="0" applyFont="1" applyFill="1" applyBorder="1"/>
    <xf numFmtId="1" fontId="34" fillId="0" borderId="5" xfId="0" applyNumberFormat="1" applyFont="1" applyFill="1" applyBorder="1"/>
    <xf numFmtId="168" fontId="39" fillId="0" borderId="10" xfId="0" applyNumberFormat="1" applyFont="1" applyFill="1" applyBorder="1"/>
    <xf numFmtId="1" fontId="34" fillId="0" borderId="12" xfId="0" applyNumberFormat="1" applyFont="1" applyFill="1" applyBorder="1"/>
    <xf numFmtId="0" fontId="39" fillId="0" borderId="8" xfId="0" applyFont="1" applyFill="1" applyBorder="1"/>
    <xf numFmtId="1" fontId="8" fillId="18" borderId="4" xfId="0" applyNumberFormat="1" applyFont="1" applyFill="1" applyBorder="1" applyAlignment="1">
      <alignment horizontal="center"/>
    </xf>
    <xf numFmtId="1" fontId="8" fillId="18" borderId="6" xfId="0" applyNumberFormat="1" applyFont="1" applyFill="1" applyBorder="1" applyAlignment="1">
      <alignment horizontal="center"/>
    </xf>
    <xf numFmtId="167" fontId="11" fillId="10" borderId="12" xfId="0" applyNumberFormat="1" applyFont="1" applyFill="1" applyBorder="1" applyAlignment="1">
      <alignment horizontal="center"/>
    </xf>
    <xf numFmtId="167" fontId="11" fillId="11" borderId="0" xfId="0" applyNumberFormat="1" applyFont="1" applyFill="1" applyBorder="1" applyAlignment="1">
      <alignment horizontal="center"/>
    </xf>
    <xf numFmtId="167" fontId="11" fillId="10" borderId="0" xfId="0" applyNumberFormat="1" applyFont="1" applyFill="1" applyBorder="1" applyAlignment="1">
      <alignment horizontal="center"/>
    </xf>
    <xf numFmtId="167" fontId="11" fillId="10" borderId="5" xfId="0" applyNumberFormat="1" applyFont="1" applyFill="1" applyBorder="1" applyAlignment="1">
      <alignment horizontal="center"/>
    </xf>
    <xf numFmtId="167" fontId="11" fillId="10" borderId="8" xfId="0" applyNumberFormat="1" applyFont="1" applyFill="1" applyBorder="1" applyAlignment="1">
      <alignment horizontal="center"/>
    </xf>
    <xf numFmtId="167" fontId="11" fillId="11" borderId="2" xfId="0" applyNumberFormat="1" applyFont="1" applyFill="1" applyBorder="1" applyAlignment="1">
      <alignment horizontal="center"/>
    </xf>
    <xf numFmtId="167" fontId="11" fillId="10" borderId="2" xfId="0" applyNumberFormat="1" applyFont="1" applyFill="1" applyBorder="1" applyAlignment="1">
      <alignment horizontal="center"/>
    </xf>
    <xf numFmtId="167" fontId="11" fillId="10" borderId="10" xfId="0" applyNumberFormat="1" applyFont="1" applyFill="1" applyBorder="1" applyAlignment="1">
      <alignment horizontal="center"/>
    </xf>
    <xf numFmtId="10" fontId="1" fillId="0" borderId="15" xfId="0" applyNumberFormat="1" applyFont="1" applyFill="1" applyBorder="1"/>
    <xf numFmtId="10" fontId="0" fillId="0" borderId="15" xfId="0" applyNumberFormat="1" applyFill="1" applyBorder="1"/>
    <xf numFmtId="3" fontId="20" fillId="0" borderId="4" xfId="0" applyNumberFormat="1" applyFont="1" applyFill="1" applyBorder="1" applyAlignment="1">
      <alignment horizontal="center"/>
    </xf>
    <xf numFmtId="0" fontId="20" fillId="0" borderId="4" xfId="0" applyFont="1" applyFill="1" applyBorder="1" applyAlignment="1">
      <alignment horizontal="right"/>
    </xf>
    <xf numFmtId="2" fontId="25" fillId="0" borderId="0" xfId="0" applyNumberFormat="1" applyFont="1" applyFill="1"/>
    <xf numFmtId="167" fontId="38" fillId="23" borderId="3" xfId="0" applyNumberFormat="1" applyFont="1" applyFill="1" applyBorder="1"/>
    <xf numFmtId="167" fontId="38" fillId="23" borderId="7" xfId="0" applyNumberFormat="1" applyFont="1" applyFill="1" applyBorder="1"/>
    <xf numFmtId="2" fontId="40" fillId="24" borderId="0" xfId="0" applyNumberFormat="1" applyFont="1" applyFill="1" applyBorder="1"/>
    <xf numFmtId="2" fontId="40" fillId="24" borderId="2" xfId="0" applyNumberFormat="1" applyFont="1" applyFill="1" applyBorder="1"/>
    <xf numFmtId="167" fontId="38" fillId="24" borderId="9" xfId="0" applyNumberFormat="1" applyFont="1" applyFill="1" applyBorder="1"/>
    <xf numFmtId="167" fontId="38" fillId="24" borderId="3" xfId="0" applyNumberFormat="1" applyFont="1" applyFill="1" applyBorder="1"/>
    <xf numFmtId="0" fontId="38" fillId="19" borderId="3" xfId="0" applyFont="1" applyFill="1" applyBorder="1"/>
    <xf numFmtId="2" fontId="40" fillId="10" borderId="4" xfId="0" applyNumberFormat="1" applyFont="1" applyFill="1" applyBorder="1"/>
    <xf numFmtId="2" fontId="40" fillId="10" borderId="0" xfId="0" applyNumberFormat="1" applyFont="1" applyFill="1" applyBorder="1"/>
    <xf numFmtId="2" fontId="40" fillId="22" borderId="0" xfId="0" applyNumberFormat="1" applyFont="1" applyFill="1" applyBorder="1"/>
    <xf numFmtId="2" fontId="40" fillId="22" borderId="2" xfId="0" applyNumberFormat="1" applyFont="1" applyFill="1" applyBorder="1"/>
    <xf numFmtId="167" fontId="38" fillId="24" borderId="7" xfId="0" applyNumberFormat="1" applyFont="1" applyFill="1" applyBorder="1"/>
    <xf numFmtId="0" fontId="38" fillId="19" borderId="7" xfId="0" applyFont="1" applyFill="1" applyBorder="1"/>
    <xf numFmtId="2" fontId="40" fillId="10" borderId="6" xfId="0" applyNumberFormat="1" applyFont="1" applyFill="1" applyBorder="1"/>
    <xf numFmtId="2" fontId="40" fillId="10" borderId="5" xfId="0" applyNumberFormat="1" applyFont="1" applyFill="1" applyBorder="1"/>
    <xf numFmtId="2" fontId="40" fillId="22" borderId="5" xfId="0" applyNumberFormat="1" applyFont="1" applyFill="1" applyBorder="1"/>
    <xf numFmtId="2" fontId="40" fillId="22" borderId="10" xfId="0" applyNumberFormat="1" applyFont="1" applyFill="1" applyBorder="1"/>
    <xf numFmtId="0" fontId="38" fillId="19" borderId="9" xfId="0" applyFont="1" applyFill="1" applyBorder="1"/>
    <xf numFmtId="2" fontId="40" fillId="23" borderId="11" xfId="0" applyNumberFormat="1" applyFont="1" applyFill="1" applyBorder="1"/>
    <xf numFmtId="2" fontId="40" fillId="23" borderId="12" xfId="0" applyNumberFormat="1" applyFont="1" applyFill="1" applyBorder="1"/>
    <xf numFmtId="167" fontId="38" fillId="23" borderId="9" xfId="0" applyNumberFormat="1" applyFont="1" applyFill="1" applyBorder="1"/>
    <xf numFmtId="2" fontId="40" fillId="22" borderId="12" xfId="0" applyNumberFormat="1" applyFont="1" applyFill="1" applyBorder="1"/>
    <xf numFmtId="2" fontId="40" fillId="22" borderId="8" xfId="0" applyNumberFormat="1" applyFont="1" applyFill="1" applyBorder="1"/>
    <xf numFmtId="2" fontId="40" fillId="23" borderId="4" xfId="0" applyNumberFormat="1" applyFont="1" applyFill="1" applyBorder="1"/>
    <xf numFmtId="2" fontId="40" fillId="23" borderId="0" xfId="0" applyNumberFormat="1" applyFont="1" applyFill="1" applyBorder="1"/>
    <xf numFmtId="2" fontId="40" fillId="23" borderId="6" xfId="0" applyNumberFormat="1" applyFont="1" applyFill="1" applyBorder="1"/>
    <xf numFmtId="2" fontId="40" fillId="23" borderId="5" xfId="0" applyNumberFormat="1" applyFont="1" applyFill="1" applyBorder="1"/>
    <xf numFmtId="167" fontId="2" fillId="11" borderId="2" xfId="0" applyNumberFormat="1" applyFont="1" applyFill="1" applyBorder="1" applyAlignment="1">
      <alignment horizontal="center"/>
    </xf>
    <xf numFmtId="0" fontId="25" fillId="0" borderId="4" xfId="0" applyFont="1" applyBorder="1"/>
    <xf numFmtId="2" fontId="25" fillId="0" borderId="0" xfId="0" applyNumberFormat="1" applyFont="1" applyBorder="1"/>
    <xf numFmtId="169" fontId="27" fillId="0" borderId="0" xfId="0" applyNumberFormat="1" applyFont="1" applyFill="1"/>
    <xf numFmtId="0" fontId="27" fillId="0" borderId="0" xfId="0" applyFont="1"/>
    <xf numFmtId="0" fontId="16" fillId="0" borderId="0" xfId="0" applyFont="1"/>
    <xf numFmtId="173" fontId="20" fillId="0" borderId="0" xfId="0" applyNumberFormat="1" applyFont="1"/>
    <xf numFmtId="0" fontId="42" fillId="18" borderId="5" xfId="0" applyFont="1" applyFill="1" applyBorder="1" applyAlignment="1">
      <alignment horizontal="center"/>
    </xf>
    <xf numFmtId="3" fontId="42" fillId="18" borderId="0" xfId="0" applyNumberFormat="1" applyFont="1" applyFill="1" applyBorder="1" applyAlignment="1">
      <alignment horizontal="center"/>
    </xf>
    <xf numFmtId="0" fontId="42" fillId="18" borderId="0" xfId="0" applyFont="1" applyFill="1" applyBorder="1" applyAlignment="1">
      <alignment horizontal="center"/>
    </xf>
    <xf numFmtId="168" fontId="42" fillId="18" borderId="0" xfId="0" applyNumberFormat="1" applyFont="1" applyFill="1" applyBorder="1" applyAlignment="1">
      <alignment horizontal="center"/>
    </xf>
    <xf numFmtId="1" fontId="42" fillId="18" borderId="0" xfId="0" applyNumberFormat="1" applyFont="1" applyFill="1" applyBorder="1" applyAlignment="1">
      <alignment horizontal="center"/>
    </xf>
    <xf numFmtId="167" fontId="42" fillId="18" borderId="0" xfId="0" applyNumberFormat="1" applyFont="1" applyFill="1" applyBorder="1" applyAlignment="1">
      <alignment horizontal="center"/>
    </xf>
    <xf numFmtId="0" fontId="8" fillId="0" borderId="14" xfId="0" applyFont="1" applyFill="1" applyBorder="1" applyAlignment="1">
      <alignment horizontal="center"/>
    </xf>
    <xf numFmtId="0" fontId="8" fillId="0" borderId="15" xfId="0" applyFont="1" applyFill="1" applyBorder="1" applyAlignment="1">
      <alignment horizontal="center"/>
    </xf>
    <xf numFmtId="0" fontId="8" fillId="0" borderId="13" xfId="0" applyFont="1" applyFill="1" applyBorder="1" applyAlignment="1">
      <alignment horizontal="center"/>
    </xf>
    <xf numFmtId="0" fontId="8" fillId="0" borderId="14" xfId="0" applyFont="1" applyBorder="1" applyAlignment="1">
      <alignment horizontal="center"/>
    </xf>
    <xf numFmtId="0" fontId="8" fillId="0" borderId="13" xfId="0" applyFont="1" applyBorder="1" applyAlignment="1">
      <alignment horizontal="center"/>
    </xf>
    <xf numFmtId="3" fontId="11" fillId="0" borderId="14" xfId="0" applyNumberFormat="1" applyFont="1" applyBorder="1" applyAlignment="1">
      <alignment horizontal="center"/>
    </xf>
    <xf numFmtId="3" fontId="8" fillId="0" borderId="20" xfId="0" applyNumberFormat="1" applyFont="1" applyBorder="1" applyAlignment="1">
      <alignment horizontal="center"/>
    </xf>
    <xf numFmtId="0" fontId="8" fillId="0" borderId="15" xfId="0" applyFont="1" applyBorder="1" applyAlignment="1">
      <alignment horizontal="center"/>
    </xf>
    <xf numFmtId="0" fontId="8" fillId="0" borderId="0" xfId="0" applyFont="1" applyBorder="1" applyAlignment="1">
      <alignment horizontal="center"/>
    </xf>
    <xf numFmtId="3" fontId="8" fillId="0" borderId="13" xfId="0" applyNumberFormat="1" applyFont="1" applyBorder="1" applyAlignment="1">
      <alignment horizontal="center"/>
    </xf>
    <xf numFmtId="3" fontId="8" fillId="4" borderId="13" xfId="0" applyNumberFormat="1" applyFont="1" applyFill="1" applyBorder="1" applyAlignment="1">
      <alignment horizontal="center"/>
    </xf>
    <xf numFmtId="3" fontId="8" fillId="4" borderId="24" xfId="0" applyNumberFormat="1" applyFont="1" applyFill="1" applyBorder="1" applyAlignment="1">
      <alignment horizontal="center"/>
    </xf>
    <xf numFmtId="3" fontId="8" fillId="18" borderId="10" xfId="0" applyNumberFormat="1" applyFont="1" applyFill="1" applyBorder="1" applyAlignment="1">
      <alignment horizontal="center"/>
    </xf>
    <xf numFmtId="3" fontId="8" fillId="18" borderId="13" xfId="0" applyNumberFormat="1" applyFont="1" applyFill="1" applyBorder="1" applyAlignment="1">
      <alignment horizontal="center"/>
    </xf>
    <xf numFmtId="3" fontId="8" fillId="18" borderId="20" xfId="0" applyNumberFormat="1" applyFont="1" applyFill="1" applyBorder="1" applyAlignment="1">
      <alignment horizontal="center"/>
    </xf>
    <xf numFmtId="3" fontId="8" fillId="18" borderId="8" xfId="0" applyNumberFormat="1" applyFont="1" applyFill="1" applyBorder="1" applyAlignment="1">
      <alignment horizontal="center"/>
    </xf>
    <xf numFmtId="3" fontId="20" fillId="0" borderId="0" xfId="0" applyNumberFormat="1" applyFont="1" applyAlignment="1">
      <alignment horizontal="right"/>
    </xf>
    <xf numFmtId="2" fontId="20" fillId="0" borderId="0" xfId="0" applyNumberFormat="1" applyFont="1" applyAlignment="1">
      <alignment horizontal="right"/>
    </xf>
    <xf numFmtId="0" fontId="7" fillId="0" borderId="4" xfId="0" applyFont="1" applyFill="1" applyBorder="1"/>
    <xf numFmtId="0" fontId="7" fillId="0" borderId="0" xfId="0" applyFont="1" applyFill="1" applyBorder="1"/>
    <xf numFmtId="0" fontId="33" fillId="0" borderId="0" xfId="0" applyFont="1" applyFill="1" applyBorder="1"/>
    <xf numFmtId="0" fontId="23" fillId="0" borderId="2" xfId="0" applyFont="1" applyFill="1" applyBorder="1"/>
    <xf numFmtId="167" fontId="7" fillId="2" borderId="8" xfId="0" applyNumberFormat="1" applyFont="1" applyFill="1" applyBorder="1" applyAlignment="1">
      <alignment horizontal="center"/>
    </xf>
    <xf numFmtId="167" fontId="34" fillId="2" borderId="0" xfId="0" applyNumberFormat="1" applyFont="1" applyFill="1" applyBorder="1" applyAlignment="1">
      <alignment horizontal="center"/>
    </xf>
    <xf numFmtId="1" fontId="8" fillId="25" borderId="4" xfId="0" applyNumberFormat="1" applyFont="1" applyFill="1" applyBorder="1" applyAlignment="1">
      <alignment horizontal="center"/>
    </xf>
    <xf numFmtId="1" fontId="8" fillId="25" borderId="9" xfId="0" applyNumberFormat="1" applyFont="1" applyFill="1" applyBorder="1" applyAlignment="1">
      <alignment horizontal="center"/>
    </xf>
    <xf numFmtId="1" fontId="8" fillId="25" borderId="3" xfId="0" applyNumberFormat="1" applyFont="1" applyFill="1" applyBorder="1" applyAlignment="1">
      <alignment horizontal="center"/>
    </xf>
    <xf numFmtId="1" fontId="8" fillId="25" borderId="7" xfId="0" applyNumberFormat="1" applyFont="1" applyFill="1" applyBorder="1" applyAlignment="1">
      <alignment horizontal="center"/>
    </xf>
    <xf numFmtId="1" fontId="8" fillId="25" borderId="1" xfId="0" applyNumberFormat="1" applyFont="1" applyFill="1" applyBorder="1" applyAlignment="1">
      <alignment horizontal="center"/>
    </xf>
    <xf numFmtId="167" fontId="1" fillId="25" borderId="0" xfId="0" applyNumberFormat="1" applyFont="1" applyFill="1" applyBorder="1" applyAlignment="1">
      <alignment horizontal="center"/>
    </xf>
    <xf numFmtId="167" fontId="2" fillId="25" borderId="2" xfId="0" applyNumberFormat="1" applyFont="1" applyFill="1" applyBorder="1" applyAlignment="1">
      <alignment horizontal="center"/>
    </xf>
    <xf numFmtId="1" fontId="8" fillId="25" borderId="0" xfId="0" applyNumberFormat="1" applyFont="1" applyFill="1" applyBorder="1" applyAlignment="1">
      <alignment horizontal="center"/>
    </xf>
    <xf numFmtId="0" fontId="8" fillId="25" borderId="4" xfId="0" applyFont="1" applyFill="1" applyBorder="1" applyAlignment="1">
      <alignment horizontal="center"/>
    </xf>
    <xf numFmtId="0" fontId="8" fillId="25" borderId="0" xfId="0" applyFont="1" applyFill="1" applyBorder="1" applyAlignment="1">
      <alignment horizontal="center"/>
    </xf>
    <xf numFmtId="0" fontId="8" fillId="25" borderId="2" xfId="0" applyFont="1" applyFill="1" applyBorder="1" applyAlignment="1">
      <alignment horizontal="center"/>
    </xf>
    <xf numFmtId="1" fontId="8" fillId="25" borderId="2" xfId="0" applyNumberFormat="1" applyFont="1" applyFill="1" applyBorder="1" applyAlignment="1">
      <alignment horizontal="center"/>
    </xf>
    <xf numFmtId="0" fontId="8" fillId="25" borderId="6" xfId="0" applyFont="1" applyFill="1" applyBorder="1" applyAlignment="1">
      <alignment horizontal="center"/>
    </xf>
    <xf numFmtId="0" fontId="8" fillId="25" borderId="5" xfId="0" applyFont="1" applyFill="1" applyBorder="1" applyAlignment="1">
      <alignment horizontal="center"/>
    </xf>
    <xf numFmtId="0" fontId="8" fillId="25" borderId="10" xfId="0" applyFont="1" applyFill="1" applyBorder="1" applyAlignment="1">
      <alignment horizontal="center"/>
    </xf>
    <xf numFmtId="0" fontId="8" fillId="25" borderId="11" xfId="0" applyFont="1" applyFill="1" applyBorder="1" applyAlignment="1">
      <alignment horizontal="center"/>
    </xf>
    <xf numFmtId="0" fontId="8" fillId="25" borderId="12" xfId="0" applyFont="1" applyFill="1" applyBorder="1" applyAlignment="1">
      <alignment horizontal="center"/>
    </xf>
    <xf numFmtId="0" fontId="8" fillId="25" borderId="8" xfId="0" applyFont="1" applyFill="1" applyBorder="1" applyAlignment="1">
      <alignment horizontal="center"/>
    </xf>
    <xf numFmtId="0" fontId="8" fillId="25" borderId="14" xfId="0" applyFont="1" applyFill="1" applyBorder="1" applyAlignment="1">
      <alignment horizontal="center"/>
    </xf>
    <xf numFmtId="0" fontId="8" fillId="25" borderId="15" xfId="0" applyFont="1" applyFill="1" applyBorder="1" applyAlignment="1">
      <alignment horizontal="center"/>
    </xf>
    <xf numFmtId="0" fontId="8" fillId="25" borderId="13" xfId="0" applyFont="1" applyFill="1" applyBorder="1" applyAlignment="1">
      <alignment horizontal="center"/>
    </xf>
    <xf numFmtId="167" fontId="2" fillId="10" borderId="5" xfId="0" applyNumberFormat="1" applyFont="1" applyFill="1" applyBorder="1" applyAlignment="1">
      <alignment horizontal="center"/>
    </xf>
    <xf numFmtId="167" fontId="1" fillId="25" borderId="5" xfId="0" applyNumberFormat="1" applyFont="1" applyFill="1" applyBorder="1" applyAlignment="1">
      <alignment horizontal="center"/>
    </xf>
    <xf numFmtId="167" fontId="2" fillId="25" borderId="10" xfId="0" applyNumberFormat="1" applyFont="1" applyFill="1" applyBorder="1" applyAlignment="1">
      <alignment horizontal="center"/>
    </xf>
    <xf numFmtId="0" fontId="38" fillId="19" borderId="14" xfId="0" applyFont="1" applyFill="1" applyBorder="1"/>
    <xf numFmtId="0" fontId="38" fillId="19" borderId="1" xfId="0" applyFont="1" applyFill="1" applyBorder="1"/>
    <xf numFmtId="0" fontId="38" fillId="19" borderId="15" xfId="0" applyFont="1" applyFill="1" applyBorder="1" applyAlignment="1">
      <alignment horizontal="right"/>
    </xf>
    <xf numFmtId="0" fontId="40" fillId="19" borderId="15" xfId="0" applyFont="1" applyFill="1" applyBorder="1" applyAlignment="1">
      <alignment horizontal="right"/>
    </xf>
    <xf numFmtId="0" fontId="40" fillId="19" borderId="13" xfId="0" applyFont="1" applyFill="1" applyBorder="1" applyAlignment="1">
      <alignment horizontal="right"/>
    </xf>
    <xf numFmtId="0" fontId="40" fillId="0" borderId="14" xfId="0" applyFont="1" applyBorder="1" applyAlignment="1">
      <alignment horizontal="right"/>
    </xf>
    <xf numFmtId="0" fontId="40" fillId="0" borderId="15" xfId="0" applyFont="1" applyBorder="1" applyAlignment="1">
      <alignment horizontal="right"/>
    </xf>
    <xf numFmtId="0" fontId="38" fillId="0" borderId="1" xfId="0" applyFont="1" applyBorder="1" applyAlignment="1">
      <alignment horizontal="right"/>
    </xf>
    <xf numFmtId="0" fontId="40" fillId="0" borderId="13" xfId="0" applyFont="1" applyBorder="1" applyAlignment="1">
      <alignment horizontal="right"/>
    </xf>
    <xf numFmtId="0" fontId="38" fillId="0" borderId="13" xfId="0" applyFont="1" applyBorder="1" applyAlignment="1">
      <alignment horizontal="right"/>
    </xf>
    <xf numFmtId="2" fontId="40" fillId="10" borderId="11" xfId="0" applyNumberFormat="1" applyFont="1" applyFill="1" applyBorder="1" applyAlignment="1">
      <alignment horizontal="right"/>
    </xf>
    <xf numFmtId="2" fontId="40" fillId="10" borderId="12" xfId="0" applyNumberFormat="1" applyFont="1" applyFill="1" applyBorder="1" applyAlignment="1">
      <alignment horizontal="right"/>
    </xf>
    <xf numFmtId="167" fontId="38" fillId="10" borderId="9" xfId="0" applyNumberFormat="1" applyFont="1" applyFill="1" applyBorder="1" applyAlignment="1">
      <alignment horizontal="right"/>
    </xf>
    <xf numFmtId="2" fontId="40" fillId="22" borderId="12" xfId="0" applyNumberFormat="1" applyFont="1" applyFill="1" applyBorder="1" applyAlignment="1">
      <alignment horizontal="right"/>
    </xf>
    <xf numFmtId="2" fontId="40" fillId="22" borderId="8" xfId="0" applyNumberFormat="1" applyFont="1" applyFill="1" applyBorder="1" applyAlignment="1">
      <alignment horizontal="right"/>
    </xf>
    <xf numFmtId="167" fontId="38" fillId="22" borderId="9" xfId="0" applyNumberFormat="1" applyFont="1" applyFill="1" applyBorder="1" applyAlignment="1">
      <alignment horizontal="right"/>
    </xf>
    <xf numFmtId="2" fontId="40" fillId="10" borderId="4" xfId="0" applyNumberFormat="1" applyFont="1" applyFill="1" applyBorder="1" applyAlignment="1">
      <alignment horizontal="right"/>
    </xf>
    <xf numFmtId="2" fontId="40" fillId="10" borderId="0" xfId="0" applyNumberFormat="1" applyFont="1" applyFill="1" applyBorder="1" applyAlignment="1">
      <alignment horizontal="right"/>
    </xf>
    <xf numFmtId="167" fontId="38" fillId="10" borderId="3" xfId="0" applyNumberFormat="1" applyFont="1" applyFill="1" applyBorder="1" applyAlignment="1">
      <alignment horizontal="right"/>
    </xf>
    <xf numFmtId="2" fontId="40" fillId="22" borderId="0" xfId="0" applyNumberFormat="1" applyFont="1" applyFill="1" applyBorder="1" applyAlignment="1">
      <alignment horizontal="right"/>
    </xf>
    <xf numFmtId="2" fontId="40" fillId="22" borderId="2" xfId="0" applyNumberFormat="1" applyFont="1" applyFill="1" applyBorder="1" applyAlignment="1">
      <alignment horizontal="right"/>
    </xf>
    <xf numFmtId="167" fontId="38" fillId="22" borderId="3" xfId="0" applyNumberFormat="1" applyFont="1" applyFill="1" applyBorder="1" applyAlignment="1">
      <alignment horizontal="right"/>
    </xf>
    <xf numFmtId="2" fontId="40" fillId="10" borderId="6" xfId="0" applyNumberFormat="1" applyFont="1" applyFill="1" applyBorder="1" applyAlignment="1">
      <alignment horizontal="right"/>
    </xf>
    <xf numFmtId="2" fontId="40" fillId="10" borderId="5" xfId="0" applyNumberFormat="1" applyFont="1" applyFill="1" applyBorder="1" applyAlignment="1">
      <alignment horizontal="right"/>
    </xf>
    <xf numFmtId="167" fontId="38" fillId="10" borderId="7" xfId="0" applyNumberFormat="1" applyFont="1" applyFill="1" applyBorder="1" applyAlignment="1">
      <alignment horizontal="right"/>
    </xf>
    <xf numFmtId="2" fontId="40" fillId="22" borderId="5" xfId="0" applyNumberFormat="1" applyFont="1" applyFill="1" applyBorder="1" applyAlignment="1">
      <alignment horizontal="right"/>
    </xf>
    <xf numFmtId="2" fontId="40" fillId="22" borderId="10" xfId="0" applyNumberFormat="1" applyFont="1" applyFill="1" applyBorder="1" applyAlignment="1">
      <alignment horizontal="right"/>
    </xf>
    <xf numFmtId="167" fontId="38" fillId="22" borderId="7" xfId="0" applyNumberFormat="1" applyFont="1" applyFill="1" applyBorder="1" applyAlignment="1">
      <alignment horizontal="right"/>
    </xf>
    <xf numFmtId="2" fontId="40" fillId="23" borderId="11" xfId="0" applyNumberFormat="1" applyFont="1" applyFill="1" applyBorder="1" applyAlignment="1">
      <alignment horizontal="right"/>
    </xf>
    <xf numFmtId="2" fontId="40" fillId="23" borderId="12" xfId="0" applyNumberFormat="1" applyFont="1" applyFill="1" applyBorder="1" applyAlignment="1">
      <alignment horizontal="right"/>
    </xf>
    <xf numFmtId="167" fontId="38" fillId="23" borderId="9" xfId="0" applyNumberFormat="1" applyFont="1" applyFill="1" applyBorder="1" applyAlignment="1">
      <alignment horizontal="right"/>
    </xf>
    <xf numFmtId="2" fontId="40" fillId="23" borderId="4" xfId="0" applyNumberFormat="1" applyFont="1" applyFill="1" applyBorder="1" applyAlignment="1">
      <alignment horizontal="right"/>
    </xf>
    <xf numFmtId="2" fontId="40" fillId="23" borderId="0" xfId="0" applyNumberFormat="1" applyFont="1" applyFill="1" applyBorder="1" applyAlignment="1">
      <alignment horizontal="right"/>
    </xf>
    <xf numFmtId="167" fontId="38" fillId="23" borderId="3" xfId="0" applyNumberFormat="1" applyFont="1" applyFill="1" applyBorder="1" applyAlignment="1">
      <alignment horizontal="right"/>
    </xf>
    <xf numFmtId="2" fontId="40" fillId="23" borderId="6" xfId="0" applyNumberFormat="1" applyFont="1" applyFill="1" applyBorder="1" applyAlignment="1">
      <alignment horizontal="right"/>
    </xf>
    <xf numFmtId="2" fontId="40" fillId="23" borderId="5" xfId="0" applyNumberFormat="1" applyFont="1" applyFill="1" applyBorder="1" applyAlignment="1">
      <alignment horizontal="right"/>
    </xf>
    <xf numFmtId="167" fontId="38" fillId="23" borderId="7" xfId="0" applyNumberFormat="1" applyFont="1" applyFill="1" applyBorder="1" applyAlignment="1">
      <alignment horizontal="right"/>
    </xf>
    <xf numFmtId="2" fontId="40" fillId="24" borderId="0" xfId="0" applyNumberFormat="1" applyFont="1" applyFill="1" applyBorder="1" applyAlignment="1">
      <alignment horizontal="right"/>
    </xf>
    <xf numFmtId="2" fontId="40" fillId="24" borderId="2" xfId="0" applyNumberFormat="1" applyFont="1" applyFill="1" applyBorder="1" applyAlignment="1">
      <alignment horizontal="right"/>
    </xf>
    <xf numFmtId="167" fontId="38" fillId="24" borderId="9" xfId="0" applyNumberFormat="1" applyFont="1" applyFill="1" applyBorder="1" applyAlignment="1">
      <alignment horizontal="right"/>
    </xf>
    <xf numFmtId="167" fontId="38" fillId="24" borderId="3" xfId="0" applyNumberFormat="1" applyFont="1" applyFill="1" applyBorder="1" applyAlignment="1">
      <alignment horizontal="right"/>
    </xf>
    <xf numFmtId="2" fontId="40" fillId="24" borderId="5" xfId="0" applyNumberFormat="1" applyFont="1" applyFill="1" applyBorder="1" applyAlignment="1">
      <alignment horizontal="right"/>
    </xf>
    <xf numFmtId="2" fontId="40" fillId="24" borderId="10" xfId="0" applyNumberFormat="1" applyFont="1" applyFill="1" applyBorder="1" applyAlignment="1">
      <alignment horizontal="right"/>
    </xf>
    <xf numFmtId="167" fontId="38" fillId="24" borderId="7" xfId="0" applyNumberFormat="1" applyFont="1" applyFill="1" applyBorder="1" applyAlignment="1">
      <alignment horizontal="right"/>
    </xf>
    <xf numFmtId="0" fontId="37" fillId="0" borderId="0" xfId="0" applyFont="1" applyAlignment="1">
      <alignment horizontal="right"/>
    </xf>
    <xf numFmtId="167" fontId="1" fillId="18" borderId="4" xfId="0" applyNumberFormat="1" applyFont="1" applyFill="1" applyBorder="1" applyAlignment="1">
      <alignment horizontal="center"/>
    </xf>
    <xf numFmtId="167" fontId="1" fillId="18" borderId="0" xfId="0" applyNumberFormat="1" applyFont="1" applyFill="1" applyBorder="1" applyAlignment="1">
      <alignment horizontal="center"/>
    </xf>
    <xf numFmtId="2" fontId="40" fillId="18" borderId="6" xfId="0" applyNumberFormat="1" applyFont="1" applyFill="1" applyBorder="1" applyAlignment="1">
      <alignment horizontal="right"/>
    </xf>
    <xf numFmtId="2" fontId="40" fillId="18" borderId="5" xfId="0" applyNumberFormat="1" applyFont="1" applyFill="1" applyBorder="1" applyAlignment="1">
      <alignment horizontal="right"/>
    </xf>
    <xf numFmtId="2" fontId="40" fillId="18" borderId="10" xfId="0" applyNumberFormat="1" applyFont="1" applyFill="1" applyBorder="1" applyAlignment="1">
      <alignment horizontal="right"/>
    </xf>
    <xf numFmtId="2" fontId="40" fillId="18" borderId="4" xfId="0" applyNumberFormat="1" applyFont="1" applyFill="1" applyBorder="1" applyAlignment="1">
      <alignment horizontal="right"/>
    </xf>
    <xf numFmtId="2" fontId="40" fillId="18" borderId="0" xfId="0" applyNumberFormat="1" applyFont="1" applyFill="1" applyBorder="1" applyAlignment="1">
      <alignment horizontal="right"/>
    </xf>
    <xf numFmtId="2" fontId="40" fillId="18" borderId="2" xfId="0" applyNumberFormat="1" applyFont="1" applyFill="1" applyBorder="1" applyAlignment="1">
      <alignment horizontal="right"/>
    </xf>
    <xf numFmtId="0" fontId="16" fillId="0" borderId="0" xfId="0" applyFont="1" applyBorder="1"/>
    <xf numFmtId="0" fontId="16" fillId="0" borderId="0" xfId="0" applyFont="1" applyBorder="1" applyAlignment="1">
      <alignment horizontal="right"/>
    </xf>
    <xf numFmtId="0" fontId="8" fillId="0" borderId="14" xfId="0" applyFont="1" applyFill="1" applyBorder="1" applyAlignment="1">
      <alignment horizontal="center"/>
    </xf>
    <xf numFmtId="0" fontId="8" fillId="0" borderId="15" xfId="0" applyFont="1" applyFill="1" applyBorder="1" applyAlignment="1">
      <alignment horizontal="center"/>
    </xf>
    <xf numFmtId="0" fontId="8" fillId="0" borderId="13" xfId="0" applyFont="1" applyFill="1" applyBorder="1" applyAlignment="1">
      <alignment horizontal="center"/>
    </xf>
    <xf numFmtId="3" fontId="8" fillId="0" borderId="13" xfId="0" applyNumberFormat="1" applyFont="1" applyBorder="1" applyAlignment="1">
      <alignment horizontal="center"/>
    </xf>
    <xf numFmtId="3" fontId="8" fillId="4" borderId="13" xfId="0" applyNumberFormat="1" applyFont="1" applyFill="1" applyBorder="1" applyAlignment="1">
      <alignment horizontal="center"/>
    </xf>
    <xf numFmtId="3" fontId="8" fillId="4" borderId="24" xfId="0" applyNumberFormat="1" applyFont="1" applyFill="1" applyBorder="1" applyAlignment="1">
      <alignment horizontal="center"/>
    </xf>
    <xf numFmtId="0" fontId="8" fillId="0" borderId="14" xfId="0" applyFont="1" applyBorder="1" applyAlignment="1">
      <alignment horizontal="center"/>
    </xf>
    <xf numFmtId="0" fontId="8" fillId="0" borderId="13" xfId="0" applyFont="1" applyBorder="1" applyAlignment="1">
      <alignment horizontal="center"/>
    </xf>
    <xf numFmtId="0" fontId="8" fillId="0" borderId="0" xfId="0" applyFont="1" applyBorder="1" applyAlignment="1">
      <alignment horizontal="center"/>
    </xf>
    <xf numFmtId="0" fontId="8" fillId="0" borderId="15" xfId="0" applyFont="1" applyBorder="1" applyAlignment="1">
      <alignment horizontal="center"/>
    </xf>
    <xf numFmtId="3" fontId="8" fillId="0" borderId="20" xfId="0" applyNumberFormat="1" applyFont="1" applyBorder="1" applyAlignment="1">
      <alignment horizontal="center"/>
    </xf>
    <xf numFmtId="3" fontId="11" fillId="0" borderId="14" xfId="0" applyNumberFormat="1" applyFont="1" applyBorder="1" applyAlignment="1">
      <alignment horizontal="center"/>
    </xf>
    <xf numFmtId="3" fontId="11" fillId="0" borderId="13" xfId="0" applyNumberFormat="1" applyFont="1" applyBorder="1" applyAlignment="1">
      <alignment horizontal="center"/>
    </xf>
    <xf numFmtId="0" fontId="1" fillId="0" borderId="8" xfId="0" applyFont="1" applyBorder="1" applyAlignment="1">
      <alignment horizontal="center"/>
    </xf>
    <xf numFmtId="0" fontId="41" fillId="0" borderId="11" xfId="0" applyFont="1" applyBorder="1"/>
    <xf numFmtId="0" fontId="41" fillId="0" borderId="12" xfId="0" applyFont="1" applyBorder="1"/>
    <xf numFmtId="0" fontId="16" fillId="0" borderId="4" xfId="0" applyFont="1" applyBorder="1"/>
    <xf numFmtId="0" fontId="41" fillId="0" borderId="4" xfId="0" applyFont="1" applyBorder="1"/>
    <xf numFmtId="0" fontId="41" fillId="0" borderId="0" xfId="0" applyFont="1" applyBorder="1"/>
    <xf numFmtId="169" fontId="16" fillId="0" borderId="0" xfId="0" applyNumberFormat="1" applyFont="1" applyBorder="1"/>
    <xf numFmtId="10" fontId="16" fillId="0" borderId="0" xfId="0" applyNumberFormat="1" applyFont="1" applyBorder="1"/>
    <xf numFmtId="0" fontId="17" fillId="0" borderId="4" xfId="0" applyFont="1" applyBorder="1"/>
    <xf numFmtId="0" fontId="16" fillId="0" borderId="6" xfId="0" applyFont="1" applyBorder="1"/>
    <xf numFmtId="0" fontId="16" fillId="0" borderId="5" xfId="0" applyFont="1" applyBorder="1"/>
    <xf numFmtId="168" fontId="39" fillId="0" borderId="0" xfId="0" applyNumberFormat="1" applyFont="1" applyFill="1" applyBorder="1"/>
    <xf numFmtId="0" fontId="39" fillId="0" borderId="0" xfId="0" applyFont="1" applyFill="1" applyBorder="1"/>
    <xf numFmtId="168" fontId="39" fillId="0" borderId="5" xfId="0" applyNumberFormat="1" applyFont="1" applyFill="1" applyBorder="1"/>
    <xf numFmtId="0" fontId="23" fillId="0" borderId="11" xfId="0" applyFont="1" applyBorder="1"/>
    <xf numFmtId="0" fontId="23" fillId="0" borderId="6" xfId="0" applyFont="1" applyBorder="1"/>
    <xf numFmtId="168" fontId="39" fillId="0" borderId="4" xfId="0" applyNumberFormat="1" applyFont="1" applyBorder="1"/>
    <xf numFmtId="168" fontId="39" fillId="0" borderId="4" xfId="0" applyNumberFormat="1" applyFont="1" applyFill="1" applyBorder="1"/>
    <xf numFmtId="0" fontId="39" fillId="0" borderId="4" xfId="0" applyFont="1" applyFill="1" applyBorder="1"/>
    <xf numFmtId="168" fontId="39" fillId="0" borderId="6" xfId="0" applyNumberFormat="1" applyFont="1" applyFill="1" applyBorder="1"/>
    <xf numFmtId="0" fontId="39" fillId="0" borderId="4" xfId="0" applyFont="1" applyBorder="1"/>
    <xf numFmtId="0" fontId="23" fillId="0" borderId="4" xfId="0" applyFont="1" applyBorder="1"/>
    <xf numFmtId="0" fontId="33" fillId="0" borderId="4" xfId="0" applyFont="1" applyBorder="1"/>
    <xf numFmtId="10" fontId="28" fillId="0" borderId="13" xfId="0" applyNumberFormat="1" applyFont="1" applyBorder="1"/>
    <xf numFmtId="0" fontId="16" fillId="0" borderId="9" xfId="0" applyFont="1" applyBorder="1"/>
    <xf numFmtId="0" fontId="16" fillId="0" borderId="7" xfId="0" applyFont="1" applyBorder="1" applyAlignment="1">
      <alignment horizontal="center"/>
    </xf>
    <xf numFmtId="172" fontId="16" fillId="0" borderId="5" xfId="0" applyNumberFormat="1" applyFont="1" applyFill="1" applyBorder="1"/>
    <xf numFmtId="167" fontId="1" fillId="25" borderId="12" xfId="0" applyNumberFormat="1" applyFont="1" applyFill="1" applyBorder="1" applyAlignment="1">
      <alignment horizontal="center"/>
    </xf>
    <xf numFmtId="167" fontId="2" fillId="25" borderId="8" xfId="0" applyNumberFormat="1" applyFont="1" applyFill="1" applyBorder="1" applyAlignment="1">
      <alignment horizontal="center"/>
    </xf>
    <xf numFmtId="1" fontId="8" fillId="11" borderId="12" xfId="0" applyNumberFormat="1" applyFont="1" applyFill="1" applyBorder="1" applyAlignment="1">
      <alignment horizontal="center"/>
    </xf>
    <xf numFmtId="10" fontId="37" fillId="0" borderId="0" xfId="0" applyNumberFormat="1" applyFont="1"/>
    <xf numFmtId="1" fontId="37" fillId="0" borderId="0" xfId="0" applyNumberFormat="1" applyFont="1"/>
    <xf numFmtId="0" fontId="16" fillId="0" borderId="3" xfId="0" applyFont="1" applyBorder="1" applyAlignment="1">
      <alignment horizontal="center"/>
    </xf>
    <xf numFmtId="171" fontId="17" fillId="0" borderId="1" xfId="0" applyNumberFormat="1" applyFont="1" applyBorder="1" applyAlignment="1">
      <alignment horizontal="center"/>
    </xf>
    <xf numFmtId="3" fontId="16" fillId="0" borderId="0" xfId="0" applyNumberFormat="1" applyFont="1" applyAlignment="1">
      <alignment horizontal="right"/>
    </xf>
    <xf numFmtId="2" fontId="16" fillId="0" borderId="0" xfId="0" applyNumberFormat="1" applyFont="1" applyAlignment="1">
      <alignment horizontal="right"/>
    </xf>
    <xf numFmtId="167" fontId="1" fillId="18" borderId="5" xfId="0" applyNumberFormat="1" applyFont="1" applyFill="1" applyBorder="1" applyAlignment="1">
      <alignment horizontal="center"/>
    </xf>
    <xf numFmtId="167" fontId="8" fillId="18" borderId="4" xfId="0" applyNumberFormat="1" applyFont="1" applyFill="1" applyBorder="1" applyAlignment="1">
      <alignment horizontal="center"/>
    </xf>
    <xf numFmtId="167" fontId="8" fillId="18" borderId="0" xfId="0" applyNumberFormat="1" applyFont="1" applyFill="1" applyBorder="1" applyAlignment="1">
      <alignment horizontal="center"/>
    </xf>
    <xf numFmtId="167" fontId="2" fillId="24" borderId="13" xfId="0" applyNumberFormat="1" applyFont="1" applyFill="1" applyBorder="1" applyAlignment="1">
      <alignment horizontal="center"/>
    </xf>
    <xf numFmtId="167" fontId="38" fillId="28" borderId="1" xfId="0" applyNumberFormat="1" applyFont="1" applyFill="1" applyBorder="1" applyAlignment="1">
      <alignment horizontal="right"/>
    </xf>
    <xf numFmtId="2" fontId="40" fillId="28" borderId="14" xfId="0" applyNumberFormat="1" applyFont="1" applyFill="1" applyBorder="1" applyAlignment="1">
      <alignment horizontal="right"/>
    </xf>
    <xf numFmtId="2" fontId="40" fillId="28" borderId="13" xfId="0" applyNumberFormat="1" applyFont="1" applyFill="1" applyBorder="1" applyAlignment="1">
      <alignment horizontal="right"/>
    </xf>
    <xf numFmtId="167" fontId="1" fillId="18" borderId="11" xfId="0" applyNumberFormat="1" applyFont="1" applyFill="1" applyBorder="1" applyAlignment="1">
      <alignment horizontal="center"/>
    </xf>
    <xf numFmtId="167" fontId="1" fillId="18" borderId="12" xfId="0" applyNumberFormat="1" applyFont="1" applyFill="1" applyBorder="1" applyAlignment="1">
      <alignment horizontal="center"/>
    </xf>
    <xf numFmtId="0" fontId="8" fillId="0" borderId="14" xfId="0" applyFont="1" applyFill="1" applyBorder="1" applyAlignment="1">
      <alignment horizontal="center"/>
    </xf>
    <xf numFmtId="0" fontId="8" fillId="0" borderId="15" xfId="0" applyFont="1" applyFill="1" applyBorder="1" applyAlignment="1">
      <alignment horizontal="center"/>
    </xf>
    <xf numFmtId="0" fontId="8" fillId="0" borderId="13" xfId="0" applyFont="1" applyFill="1" applyBorder="1" applyAlignment="1">
      <alignment horizontal="center"/>
    </xf>
    <xf numFmtId="3" fontId="8" fillId="0" borderId="13" xfId="0" applyNumberFormat="1" applyFont="1" applyBorder="1" applyAlignment="1">
      <alignment horizontal="center"/>
    </xf>
    <xf numFmtId="3" fontId="8" fillId="4" borderId="13" xfId="0" applyNumberFormat="1" applyFont="1" applyFill="1" applyBorder="1" applyAlignment="1">
      <alignment horizontal="center"/>
    </xf>
    <xf numFmtId="3" fontId="8" fillId="4" borderId="24" xfId="0" applyNumberFormat="1" applyFont="1" applyFill="1" applyBorder="1" applyAlignment="1">
      <alignment horizontal="center"/>
    </xf>
    <xf numFmtId="0" fontId="8" fillId="0" borderId="14" xfId="0" applyFont="1" applyBorder="1" applyAlignment="1">
      <alignment horizontal="center"/>
    </xf>
    <xf numFmtId="0" fontId="8" fillId="0" borderId="13" xfId="0" applyFont="1" applyBorder="1" applyAlignment="1">
      <alignment horizontal="center"/>
    </xf>
    <xf numFmtId="0" fontId="8" fillId="0" borderId="0" xfId="0" applyFont="1" applyBorder="1" applyAlignment="1">
      <alignment horizontal="center"/>
    </xf>
    <xf numFmtId="0" fontId="8" fillId="0" borderId="15" xfId="0" applyFont="1" applyBorder="1" applyAlignment="1">
      <alignment horizontal="center"/>
    </xf>
    <xf numFmtId="3" fontId="8" fillId="0" borderId="20" xfId="0" applyNumberFormat="1" applyFont="1" applyBorder="1" applyAlignment="1">
      <alignment horizontal="center"/>
    </xf>
    <xf numFmtId="3" fontId="11" fillId="0" borderId="14" xfId="0" applyNumberFormat="1" applyFont="1" applyBorder="1" applyAlignment="1">
      <alignment horizontal="center"/>
    </xf>
    <xf numFmtId="3" fontId="11" fillId="0" borderId="13" xfId="0" applyNumberFormat="1" applyFont="1" applyBorder="1" applyAlignment="1">
      <alignment horizontal="center"/>
    </xf>
    <xf numFmtId="3" fontId="1" fillId="2" borderId="12" xfId="0" applyNumberFormat="1" applyFont="1" applyFill="1" applyBorder="1" applyAlignment="1">
      <alignment horizontal="center"/>
    </xf>
    <xf numFmtId="0" fontId="8" fillId="0" borderId="8" xfId="0" applyFont="1" applyBorder="1" applyAlignment="1">
      <alignment horizontal="centerContinuous"/>
    </xf>
    <xf numFmtId="0" fontId="0" fillId="0" borderId="8" xfId="0" applyBorder="1" applyAlignment="1">
      <alignment horizontal="centerContinuous"/>
    </xf>
    <xf numFmtId="0" fontId="44" fillId="0" borderId="0" xfId="0" applyFont="1" applyBorder="1"/>
    <xf numFmtId="0" fontId="42" fillId="0" borderId="0" xfId="0" applyFont="1" applyBorder="1"/>
    <xf numFmtId="0" fontId="44" fillId="0" borderId="1" xfId="0" applyFont="1" applyBorder="1"/>
    <xf numFmtId="0" fontId="44" fillId="0" borderId="15" xfId="0" applyFont="1" applyBorder="1" applyAlignment="1">
      <alignment horizontal="right"/>
    </xf>
    <xf numFmtId="0" fontId="44" fillId="0" borderId="13" xfId="0" applyFont="1" applyBorder="1" applyAlignment="1">
      <alignment horizontal="right"/>
    </xf>
    <xf numFmtId="170" fontId="42" fillId="0" borderId="9" xfId="0" applyNumberFormat="1" applyFont="1" applyBorder="1"/>
    <xf numFmtId="170" fontId="42" fillId="0" borderId="12" xfId="0" applyNumberFormat="1" applyFont="1" applyBorder="1"/>
    <xf numFmtId="167" fontId="42" fillId="0" borderId="8" xfId="0" applyNumberFormat="1" applyFont="1" applyBorder="1"/>
    <xf numFmtId="170" fontId="42" fillId="0" borderId="3" xfId="0" applyNumberFormat="1" applyFont="1" applyBorder="1"/>
    <xf numFmtId="170" fontId="42" fillId="0" borderId="0" xfId="0" applyNumberFormat="1" applyFont="1" applyBorder="1"/>
    <xf numFmtId="167" fontId="42" fillId="0" borderId="2" xfId="0" applyNumberFormat="1" applyFont="1" applyBorder="1"/>
    <xf numFmtId="170" fontId="42" fillId="0" borderId="7" xfId="0" applyNumberFormat="1" applyFont="1" applyBorder="1"/>
    <xf numFmtId="170" fontId="42" fillId="0" borderId="5" xfId="0" applyNumberFormat="1" applyFont="1" applyBorder="1"/>
    <xf numFmtId="167" fontId="42" fillId="0" borderId="10" xfId="0" applyNumberFormat="1" applyFont="1" applyBorder="1"/>
    <xf numFmtId="0" fontId="44" fillId="0" borderId="1" xfId="0" applyNumberFormat="1" applyFont="1" applyFill="1" applyBorder="1"/>
    <xf numFmtId="170" fontId="44" fillId="0" borderId="15" xfId="0" applyNumberFormat="1" applyFont="1" applyBorder="1"/>
    <xf numFmtId="2" fontId="44" fillId="0" borderId="13" xfId="0" applyNumberFormat="1" applyFont="1" applyBorder="1"/>
    <xf numFmtId="3" fontId="44" fillId="2" borderId="1" xfId="0" applyNumberFormat="1" applyFont="1" applyFill="1" applyBorder="1"/>
    <xf numFmtId="2" fontId="44" fillId="2" borderId="1" xfId="0" applyNumberFormat="1" applyFont="1" applyFill="1" applyBorder="1"/>
    <xf numFmtId="0" fontId="1" fillId="0" borderId="8" xfId="0" applyFont="1" applyFill="1" applyBorder="1" applyAlignment="1">
      <alignment horizontal="center"/>
    </xf>
    <xf numFmtId="0" fontId="1" fillId="0" borderId="11" xfId="0" applyFont="1" applyBorder="1" applyAlignment="1">
      <alignment horizontal="center"/>
    </xf>
    <xf numFmtId="0" fontId="45" fillId="0" borderId="0" xfId="0" applyFont="1" applyFill="1" applyBorder="1" applyAlignment="1">
      <alignment vertical="center"/>
    </xf>
    <xf numFmtId="0" fontId="46" fillId="0" borderId="0" xfId="0" applyFont="1" applyFill="1" applyBorder="1"/>
    <xf numFmtId="0" fontId="45" fillId="0" borderId="0" xfId="0" applyFont="1" applyFill="1" applyBorder="1"/>
    <xf numFmtId="0" fontId="45" fillId="0" borderId="0" xfId="0" applyFont="1" applyFill="1" applyBorder="1" applyAlignment="1">
      <alignment horizontal="center"/>
    </xf>
    <xf numFmtId="1" fontId="45" fillId="0" borderId="0" xfId="0" applyNumberFormat="1" applyFont="1" applyFill="1" applyBorder="1"/>
    <xf numFmtId="0" fontId="45" fillId="0" borderId="0" xfId="0" applyFont="1" applyFill="1" applyBorder="1" applyAlignment="1">
      <alignment horizontal="left"/>
    </xf>
    <xf numFmtId="0" fontId="47" fillId="0" borderId="0" xfId="0" applyFont="1" applyFill="1" applyBorder="1"/>
    <xf numFmtId="0" fontId="47" fillId="0" borderId="0" xfId="0" applyFont="1" applyFill="1" applyBorder="1" applyAlignment="1">
      <alignment horizontal="left" vertical="center"/>
    </xf>
    <xf numFmtId="0" fontId="46" fillId="0" borderId="12" xfId="0" applyFont="1" applyFill="1" applyBorder="1" applyAlignment="1">
      <alignment horizontal="left"/>
    </xf>
    <xf numFmtId="0" fontId="45" fillId="0" borderId="12" xfId="0" applyFont="1" applyFill="1" applyBorder="1" applyAlignment="1">
      <alignment horizontal="left"/>
    </xf>
    <xf numFmtId="0" fontId="45" fillId="0" borderId="64" xfId="0" applyFont="1" applyFill="1" applyBorder="1" applyAlignment="1">
      <alignment horizontal="left"/>
    </xf>
    <xf numFmtId="0" fontId="45" fillId="0" borderId="13" xfId="0" applyFont="1" applyFill="1" applyBorder="1" applyAlignment="1">
      <alignment horizontal="left"/>
    </xf>
    <xf numFmtId="0" fontId="45" fillId="0" borderId="80" xfId="0" applyFont="1" applyFill="1" applyBorder="1" applyAlignment="1">
      <alignment horizontal="center"/>
    </xf>
    <xf numFmtId="0" fontId="45" fillId="0" borderId="15" xfId="0" applyFont="1" applyFill="1" applyBorder="1" applyAlignment="1">
      <alignment horizontal="left"/>
    </xf>
    <xf numFmtId="0" fontId="45" fillId="0" borderId="15" xfId="0" applyFont="1" applyFill="1" applyBorder="1" applyAlignment="1">
      <alignment horizontal="left" vertical="center"/>
    </xf>
    <xf numFmtId="0" fontId="47" fillId="0" borderId="11" xfId="0" applyFont="1" applyFill="1" applyBorder="1" applyAlignment="1">
      <alignment horizontal="left"/>
    </xf>
    <xf numFmtId="0" fontId="47" fillId="0" borderId="12" xfId="0" applyFont="1" applyFill="1" applyBorder="1" applyAlignment="1">
      <alignment horizontal="left"/>
    </xf>
    <xf numFmtId="0" fontId="45" fillId="0" borderId="8" xfId="0" applyFont="1" applyFill="1" applyBorder="1" applyAlignment="1">
      <alignment horizontal="left"/>
    </xf>
    <xf numFmtId="1" fontId="45" fillId="0" borderId="12" xfId="0" applyNumberFormat="1" applyFont="1" applyFill="1" applyBorder="1" applyAlignment="1">
      <alignment horizontal="left"/>
    </xf>
    <xf numFmtId="0" fontId="47" fillId="0" borderId="8" xfId="0" applyFont="1" applyFill="1" applyBorder="1" applyAlignment="1">
      <alignment horizontal="left"/>
    </xf>
    <xf numFmtId="0" fontId="47" fillId="0" borderId="0" xfId="0" applyFont="1" applyFill="1" applyBorder="1" applyAlignment="1">
      <alignment horizontal="left"/>
    </xf>
    <xf numFmtId="0" fontId="45" fillId="7" borderId="11" xfId="0" applyFont="1" applyFill="1" applyBorder="1" applyAlignment="1">
      <alignment horizontal="left"/>
    </xf>
    <xf numFmtId="0" fontId="48" fillId="24" borderId="60" xfId="0" applyFont="1" applyFill="1" applyBorder="1" applyAlignment="1">
      <alignment horizontal="center"/>
    </xf>
    <xf numFmtId="0" fontId="45" fillId="2" borderId="12" xfId="0" applyFont="1" applyFill="1" applyBorder="1" applyAlignment="1">
      <alignment horizontal="center"/>
    </xf>
    <xf numFmtId="0" fontId="45" fillId="14" borderId="12" xfId="0" applyFont="1" applyFill="1" applyBorder="1" applyAlignment="1">
      <alignment horizontal="left"/>
    </xf>
    <xf numFmtId="0" fontId="45" fillId="14" borderId="2" xfId="0" applyFont="1" applyFill="1" applyBorder="1" applyAlignment="1">
      <alignment horizontal="left"/>
    </xf>
    <xf numFmtId="0" fontId="48" fillId="24" borderId="81" xfId="0" applyFont="1" applyFill="1" applyBorder="1" applyAlignment="1">
      <alignment horizontal="center"/>
    </xf>
    <xf numFmtId="0" fontId="48" fillId="24" borderId="66" xfId="0" applyFont="1" applyFill="1" applyBorder="1" applyAlignment="1">
      <alignment horizontal="center"/>
    </xf>
    <xf numFmtId="0" fontId="48" fillId="24" borderId="67" xfId="0" applyFont="1" applyFill="1" applyBorder="1" applyAlignment="1">
      <alignment horizontal="center"/>
    </xf>
    <xf numFmtId="0" fontId="45" fillId="7" borderId="8" xfId="0" applyFont="1" applyFill="1" applyBorder="1" applyAlignment="1">
      <alignment horizontal="left"/>
    </xf>
    <xf numFmtId="0" fontId="45" fillId="14" borderId="9" xfId="0" applyFont="1" applyFill="1" applyBorder="1" applyAlignment="1">
      <alignment horizontal="left"/>
    </xf>
    <xf numFmtId="0" fontId="45" fillId="7" borderId="9" xfId="0" applyFont="1" applyFill="1" applyBorder="1" applyAlignment="1">
      <alignment horizontal="left"/>
    </xf>
    <xf numFmtId="0" fontId="45" fillId="2" borderId="12" xfId="0" applyFont="1" applyFill="1" applyBorder="1" applyAlignment="1">
      <alignment horizontal="center" vertical="center"/>
    </xf>
    <xf numFmtId="0" fontId="45" fillId="14" borderId="11" xfId="0" applyFont="1" applyFill="1" applyBorder="1" applyAlignment="1">
      <alignment horizontal="left"/>
    </xf>
    <xf numFmtId="0" fontId="46" fillId="0" borderId="6" xfId="0" applyFont="1" applyFill="1" applyBorder="1" applyAlignment="1">
      <alignment horizontal="left"/>
    </xf>
    <xf numFmtId="0" fontId="47" fillId="0" borderId="5" xfId="0" applyFont="1" applyFill="1" applyBorder="1" applyAlignment="1">
      <alignment horizontal="left"/>
    </xf>
    <xf numFmtId="0" fontId="45" fillId="0" borderId="10" xfId="0" applyFont="1" applyFill="1" applyBorder="1" applyAlignment="1">
      <alignment horizontal="left"/>
    </xf>
    <xf numFmtId="0" fontId="49" fillId="0" borderId="6" xfId="0" applyFont="1" applyFill="1" applyBorder="1" applyAlignment="1"/>
    <xf numFmtId="0" fontId="47" fillId="0" borderId="10" xfId="0" applyFont="1" applyFill="1" applyBorder="1" applyAlignment="1">
      <alignment horizontal="left"/>
    </xf>
    <xf numFmtId="1" fontId="45" fillId="0" borderId="0" xfId="0" applyNumberFormat="1" applyFont="1" applyFill="1" applyBorder="1" applyAlignment="1">
      <alignment horizontal="left"/>
    </xf>
    <xf numFmtId="0" fontId="45" fillId="0" borderId="2" xfId="0" applyFont="1" applyFill="1" applyBorder="1" applyAlignment="1">
      <alignment horizontal="left"/>
    </xf>
    <xf numFmtId="0" fontId="47" fillId="0" borderId="11" xfId="0" applyFont="1" applyFill="1" applyBorder="1" applyAlignment="1">
      <alignment horizontal="center"/>
    </xf>
    <xf numFmtId="0" fontId="47" fillId="0" borderId="8" xfId="0" applyFont="1" applyFill="1" applyBorder="1" applyAlignment="1">
      <alignment horizontal="center"/>
    </xf>
    <xf numFmtId="0" fontId="45" fillId="0" borderId="0" xfId="0" applyFont="1" applyFill="1" applyBorder="1" applyAlignment="1">
      <alignment horizontal="center" vertical="center"/>
    </xf>
    <xf numFmtId="0" fontId="45" fillId="7" borderId="4" xfId="0" applyFont="1" applyFill="1" applyBorder="1" applyAlignment="1">
      <alignment horizontal="center"/>
    </xf>
    <xf numFmtId="0" fontId="50" fillId="24" borderId="61" xfId="0" applyFont="1" applyFill="1" applyBorder="1" applyAlignment="1">
      <alignment horizontal="center"/>
    </xf>
    <xf numFmtId="0" fontId="47" fillId="2" borderId="0" xfId="0" applyFont="1" applyFill="1" applyBorder="1" applyAlignment="1">
      <alignment horizontal="center"/>
    </xf>
    <xf numFmtId="0" fontId="46" fillId="14" borderId="0" xfId="0" applyFont="1" applyFill="1" applyBorder="1" applyAlignment="1">
      <alignment horizontal="center"/>
    </xf>
    <xf numFmtId="0" fontId="46" fillId="14" borderId="2" xfId="0" applyFont="1" applyFill="1" applyBorder="1" applyAlignment="1">
      <alignment horizontal="center"/>
    </xf>
    <xf numFmtId="0" fontId="50" fillId="24" borderId="81" xfId="0" applyFont="1" applyFill="1" applyBorder="1" applyAlignment="1">
      <alignment horizontal="center"/>
    </xf>
    <xf numFmtId="0" fontId="50" fillId="24" borderId="66" xfId="0" applyFont="1" applyFill="1" applyBorder="1" applyAlignment="1">
      <alignment horizontal="center"/>
    </xf>
    <xf numFmtId="0" fontId="50" fillId="24" borderId="68" xfId="0" applyFont="1" applyFill="1" applyBorder="1" applyAlignment="1">
      <alignment horizontal="center"/>
    </xf>
    <xf numFmtId="0" fontId="45" fillId="7" borderId="2" xfId="0" applyFont="1" applyFill="1" applyBorder="1" applyAlignment="1">
      <alignment horizontal="center"/>
    </xf>
    <xf numFmtId="0" fontId="46" fillId="14" borderId="3" xfId="0" applyFont="1" applyFill="1" applyBorder="1" applyAlignment="1">
      <alignment horizontal="center"/>
    </xf>
    <xf numFmtId="0" fontId="45" fillId="7" borderId="3" xfId="0" applyFont="1" applyFill="1" applyBorder="1" applyAlignment="1">
      <alignment horizontal="center"/>
    </xf>
    <xf numFmtId="0" fontId="47" fillId="2" borderId="0" xfId="0" applyFont="1" applyFill="1" applyBorder="1" applyAlignment="1">
      <alignment horizontal="center" vertical="center"/>
    </xf>
    <xf numFmtId="0" fontId="46" fillId="14" borderId="4" xfId="0" applyFont="1" applyFill="1" applyBorder="1" applyAlignment="1">
      <alignment horizontal="center"/>
    </xf>
    <xf numFmtId="0" fontId="45" fillId="2" borderId="9" xfId="0" applyFont="1" applyFill="1" applyBorder="1" applyAlignment="1">
      <alignment horizontal="center"/>
    </xf>
    <xf numFmtId="0" fontId="45" fillId="14" borderId="0" xfId="0" applyFont="1" applyFill="1" applyBorder="1" applyAlignment="1">
      <alignment horizontal="center"/>
    </xf>
    <xf numFmtId="0" fontId="47" fillId="7" borderId="4" xfId="0" applyFont="1" applyFill="1" applyBorder="1" applyAlignment="1">
      <alignment horizontal="center"/>
    </xf>
    <xf numFmtId="0" fontId="47" fillId="2" borderId="9" xfId="0" applyFont="1" applyFill="1" applyBorder="1" applyAlignment="1">
      <alignment horizontal="center"/>
    </xf>
    <xf numFmtId="0" fontId="47" fillId="14" borderId="2" xfId="0" applyFont="1" applyFill="1" applyBorder="1" applyAlignment="1">
      <alignment horizontal="center"/>
    </xf>
    <xf numFmtId="1" fontId="46" fillId="0" borderId="0" xfId="0" applyNumberFormat="1" applyFont="1" applyFill="1" applyBorder="1" applyAlignment="1">
      <alignment horizontal="center"/>
    </xf>
    <xf numFmtId="0" fontId="47" fillId="7" borderId="0" xfId="0" applyFont="1" applyFill="1" applyBorder="1"/>
    <xf numFmtId="0" fontId="47" fillId="0" borderId="12" xfId="0" applyFont="1" applyFill="1" applyBorder="1" applyAlignment="1">
      <alignment horizontal="center"/>
    </xf>
    <xf numFmtId="0" fontId="47" fillId="0" borderId="4" xfId="0" applyFont="1" applyFill="1" applyBorder="1" applyAlignment="1">
      <alignment horizontal="center"/>
    </xf>
    <xf numFmtId="0" fontId="47" fillId="0" borderId="2" xfId="0" applyFont="1" applyFill="1" applyBorder="1" applyAlignment="1">
      <alignment horizontal="center"/>
    </xf>
    <xf numFmtId="0" fontId="45" fillId="0" borderId="14" xfId="0" applyFont="1" applyBorder="1" applyAlignment="1">
      <alignment horizontal="center" vertical="center"/>
    </xf>
    <xf numFmtId="0" fontId="45" fillId="7" borderId="6" xfId="0" applyFont="1" applyFill="1" applyBorder="1" applyAlignment="1">
      <alignment horizontal="center"/>
    </xf>
    <xf numFmtId="0" fontId="51" fillId="24" borderId="63" xfId="0" applyFont="1" applyFill="1" applyBorder="1" applyAlignment="1">
      <alignment horizontal="center"/>
    </xf>
    <xf numFmtId="0" fontId="48" fillId="24" borderId="63" xfId="0" applyFont="1" applyFill="1" applyBorder="1" applyAlignment="1">
      <alignment horizontal="center"/>
    </xf>
    <xf numFmtId="0" fontId="45" fillId="2" borderId="0" xfId="0" applyFont="1" applyFill="1" applyBorder="1" applyAlignment="1">
      <alignment horizontal="center"/>
    </xf>
    <xf numFmtId="0" fontId="48" fillId="24" borderId="68" xfId="0" applyFont="1" applyFill="1" applyBorder="1" applyAlignment="1">
      <alignment horizontal="center"/>
    </xf>
    <xf numFmtId="0" fontId="45" fillId="14" borderId="2" xfId="0" applyFont="1" applyFill="1" applyBorder="1" applyAlignment="1">
      <alignment horizontal="center"/>
    </xf>
    <xf numFmtId="0" fontId="48" fillId="24" borderId="82" xfId="0" applyFont="1" applyFill="1" applyBorder="1" applyAlignment="1">
      <alignment horizontal="center"/>
    </xf>
    <xf numFmtId="0" fontId="48" fillId="24" borderId="69" xfId="0" applyFont="1" applyFill="1" applyBorder="1" applyAlignment="1">
      <alignment horizontal="center"/>
    </xf>
    <xf numFmtId="0" fontId="45" fillId="7" borderId="10" xfId="0" applyFont="1" applyFill="1" applyBorder="1" applyAlignment="1">
      <alignment horizontal="center"/>
    </xf>
    <xf numFmtId="0" fontId="45" fillId="14" borderId="3" xfId="0" applyFont="1" applyFill="1" applyBorder="1" applyAlignment="1">
      <alignment horizontal="center"/>
    </xf>
    <xf numFmtId="0" fontId="45" fillId="7" borderId="7" xfId="0" applyFont="1" applyFill="1" applyBorder="1" applyAlignment="1">
      <alignment horizontal="center"/>
    </xf>
    <xf numFmtId="0" fontId="45" fillId="2" borderId="5" xfId="0" applyFont="1" applyFill="1" applyBorder="1" applyAlignment="1">
      <alignment horizontal="center" vertical="center"/>
    </xf>
    <xf numFmtId="0" fontId="45" fillId="14" borderId="6" xfId="0" applyFont="1" applyFill="1" applyBorder="1" applyAlignment="1">
      <alignment horizontal="center"/>
    </xf>
    <xf numFmtId="0" fontId="45" fillId="2" borderId="7" xfId="0" applyFont="1" applyFill="1" applyBorder="1" applyAlignment="1">
      <alignment horizontal="center"/>
    </xf>
    <xf numFmtId="0" fontId="45" fillId="14" borderId="5" xfId="0" applyFont="1" applyFill="1" applyBorder="1" applyAlignment="1">
      <alignment horizontal="center"/>
    </xf>
    <xf numFmtId="0" fontId="45" fillId="2" borderId="3" xfId="0" applyFont="1" applyFill="1" applyBorder="1" applyAlignment="1">
      <alignment horizontal="center"/>
    </xf>
    <xf numFmtId="0" fontId="45" fillId="14" borderId="10" xfId="0" applyFont="1" applyFill="1" applyBorder="1" applyAlignment="1">
      <alignment horizontal="center"/>
    </xf>
    <xf numFmtId="1" fontId="46" fillId="0" borderId="5" xfId="0" applyNumberFormat="1" applyFont="1" applyBorder="1" applyAlignment="1">
      <alignment horizontal="center"/>
    </xf>
    <xf numFmtId="0" fontId="45" fillId="7" borderId="5" xfId="0" applyFont="1" applyFill="1" applyBorder="1" applyAlignment="1">
      <alignment horizontal="center"/>
    </xf>
    <xf numFmtId="0" fontId="46" fillId="0" borderId="0" xfId="0" applyFont="1" applyFill="1" applyBorder="1" applyAlignment="1">
      <alignment horizontal="left"/>
    </xf>
    <xf numFmtId="0" fontId="45" fillId="0" borderId="5" xfId="0" applyFont="1" applyBorder="1" applyAlignment="1">
      <alignment horizontal="center"/>
    </xf>
    <xf numFmtId="0" fontId="47" fillId="0" borderId="6" xfId="0" applyFont="1" applyBorder="1" applyAlignment="1">
      <alignment horizontal="center"/>
    </xf>
    <xf numFmtId="0" fontId="47" fillId="0" borderId="5" xfId="0" applyFont="1" applyBorder="1" applyAlignment="1">
      <alignment horizontal="center"/>
    </xf>
    <xf numFmtId="0" fontId="47" fillId="0" borderId="10" xfId="0" applyFont="1" applyBorder="1" applyAlignment="1">
      <alignment horizontal="center"/>
    </xf>
    <xf numFmtId="0" fontId="47" fillId="0" borderId="4" xfId="0" applyFont="1" applyBorder="1" applyAlignment="1">
      <alignment horizontal="center"/>
    </xf>
    <xf numFmtId="0" fontId="47" fillId="0" borderId="0" xfId="0" applyFont="1" applyBorder="1"/>
    <xf numFmtId="0" fontId="45" fillId="0" borderId="8" xfId="0" applyFont="1" applyBorder="1" applyAlignment="1">
      <alignment horizontal="center" vertical="center"/>
    </xf>
    <xf numFmtId="3" fontId="45" fillId="0" borderId="0" xfId="0" applyNumberFormat="1" applyFont="1" applyBorder="1" applyAlignment="1">
      <alignment horizontal="center"/>
    </xf>
    <xf numFmtId="3" fontId="45" fillId="0" borderId="61" xfId="0" quotePrefix="1" applyNumberFormat="1" applyFont="1" applyBorder="1" applyAlignment="1">
      <alignment horizontal="center"/>
    </xf>
    <xf numFmtId="3" fontId="45" fillId="0" borderId="64" xfId="0" applyNumberFormat="1" applyFont="1" applyBorder="1" applyAlignment="1">
      <alignment horizontal="center"/>
    </xf>
    <xf numFmtId="3" fontId="45" fillId="19" borderId="9" xfId="0" applyNumberFormat="1" applyFont="1" applyFill="1" applyBorder="1" applyAlignment="1">
      <alignment horizontal="center"/>
    </xf>
    <xf numFmtId="3" fontId="52" fillId="0" borderId="65" xfId="0" applyNumberFormat="1" applyFont="1" applyBorder="1" applyAlignment="1">
      <alignment horizontal="center"/>
    </xf>
    <xf numFmtId="3" fontId="52" fillId="0" borderId="64" xfId="0" applyNumberFormat="1" applyFont="1" applyBorder="1" applyAlignment="1">
      <alignment horizontal="center"/>
    </xf>
    <xf numFmtId="0" fontId="45" fillId="19" borderId="9" xfId="0" applyFont="1" applyFill="1" applyBorder="1" applyAlignment="1">
      <alignment horizontal="center"/>
    </xf>
    <xf numFmtId="0" fontId="45" fillId="19" borderId="2" xfId="0" applyFont="1" applyFill="1" applyBorder="1" applyAlignment="1">
      <alignment horizontal="center"/>
    </xf>
    <xf numFmtId="0" fontId="52" fillId="0" borderId="78" xfId="0" applyFont="1" applyFill="1" applyBorder="1" applyAlignment="1">
      <alignment horizontal="center"/>
    </xf>
    <xf numFmtId="0" fontId="47" fillId="0" borderId="70" xfId="0" applyFont="1" applyBorder="1"/>
    <xf numFmtId="0" fontId="52" fillId="0" borderId="71" xfId="0" applyFont="1" applyFill="1" applyBorder="1" applyAlignment="1">
      <alignment horizontal="center"/>
    </xf>
    <xf numFmtId="3" fontId="52" fillId="0" borderId="0" xfId="1" applyNumberFormat="1" applyFont="1" applyBorder="1" applyAlignment="1" applyProtection="1">
      <alignment horizontal="center" vertical="center"/>
    </xf>
    <xf numFmtId="0" fontId="52" fillId="0" borderId="9" xfId="0" applyFont="1" applyBorder="1" applyAlignment="1">
      <alignment horizontal="center"/>
    </xf>
    <xf numFmtId="3" fontId="52" fillId="0" borderId="9" xfId="1" applyNumberFormat="1" applyFont="1" applyBorder="1" applyAlignment="1" applyProtection="1">
      <alignment horizontal="center" vertical="center"/>
    </xf>
    <xf numFmtId="0" fontId="45" fillId="0" borderId="0" xfId="0" applyFont="1" applyBorder="1" applyAlignment="1">
      <alignment horizontal="center"/>
    </xf>
    <xf numFmtId="0" fontId="45" fillId="0" borderId="0" xfId="0" applyFont="1" applyBorder="1" applyAlignment="1">
      <alignment horizontal="center" vertical="center"/>
    </xf>
    <xf numFmtId="0" fontId="45" fillId="0" borderId="2" xfId="0" applyFont="1" applyBorder="1" applyAlignment="1">
      <alignment horizontal="center"/>
    </xf>
    <xf numFmtId="0" fontId="45" fillId="0" borderId="4" xfId="0" applyFont="1" applyBorder="1" applyAlignment="1">
      <alignment horizontal="center"/>
    </xf>
    <xf numFmtId="3" fontId="45" fillId="0" borderId="0" xfId="1" applyNumberFormat="1" applyFont="1" applyBorder="1" applyAlignment="1" applyProtection="1">
      <alignment horizontal="center" vertical="center"/>
    </xf>
    <xf numFmtId="3" fontId="45" fillId="0" borderId="2" xfId="0" applyNumberFormat="1" applyFont="1" applyBorder="1" applyAlignment="1">
      <alignment horizontal="center"/>
    </xf>
    <xf numFmtId="3" fontId="45" fillId="11" borderId="3" xfId="0" applyNumberFormat="1" applyFont="1" applyFill="1" applyBorder="1" applyAlignment="1">
      <alignment horizontal="center"/>
    </xf>
    <xf numFmtId="3" fontId="45" fillId="11" borderId="4" xfId="0" applyNumberFormat="1" applyFont="1" applyFill="1" applyBorder="1" applyAlignment="1">
      <alignment horizontal="center"/>
    </xf>
    <xf numFmtId="3" fontId="45" fillId="11" borderId="9" xfId="0" applyNumberFormat="1" applyFont="1" applyFill="1" applyBorder="1" applyAlignment="1">
      <alignment horizontal="center"/>
    </xf>
    <xf numFmtId="1" fontId="45" fillId="0" borderId="0" xfId="0" applyNumberFormat="1" applyFont="1" applyBorder="1" applyAlignment="1">
      <alignment horizontal="center"/>
    </xf>
    <xf numFmtId="3" fontId="47" fillId="7" borderId="0" xfId="0" applyNumberFormat="1" applyFont="1" applyFill="1" applyBorder="1" applyAlignment="1">
      <alignment horizontal="center"/>
    </xf>
    <xf numFmtId="3" fontId="53" fillId="23" borderId="2" xfId="0" applyNumberFormat="1" applyFont="1" applyFill="1" applyBorder="1" applyAlignment="1">
      <alignment horizontal="center"/>
    </xf>
    <xf numFmtId="0" fontId="45" fillId="0" borderId="0" xfId="0" applyFont="1" applyBorder="1" applyAlignment="1">
      <alignment horizontal="left"/>
    </xf>
    <xf numFmtId="3" fontId="47" fillId="0" borderId="4" xfId="0" applyNumberFormat="1" applyFont="1" applyBorder="1" applyAlignment="1">
      <alignment horizontal="center"/>
    </xf>
    <xf numFmtId="3" fontId="47" fillId="0" borderId="0" xfId="0" applyNumberFormat="1" applyFont="1" applyBorder="1" applyAlignment="1">
      <alignment horizontal="center"/>
    </xf>
    <xf numFmtId="3" fontId="47" fillId="0" borderId="2" xfId="0" applyNumberFormat="1" applyFont="1" applyBorder="1" applyAlignment="1">
      <alignment horizontal="center"/>
    </xf>
    <xf numFmtId="10" fontId="47" fillId="0" borderId="4" xfId="0" applyNumberFormat="1" applyFont="1" applyBorder="1" applyAlignment="1">
      <alignment horizontal="center"/>
    </xf>
    <xf numFmtId="10" fontId="47" fillId="0" borderId="2" xfId="0" applyNumberFormat="1" applyFont="1" applyBorder="1" applyAlignment="1">
      <alignment horizontal="center"/>
    </xf>
    <xf numFmtId="10" fontId="47" fillId="0" borderId="3" xfId="0" applyNumberFormat="1" applyFont="1" applyBorder="1" applyAlignment="1">
      <alignment horizontal="center"/>
    </xf>
    <xf numFmtId="10" fontId="47" fillId="0" borderId="4" xfId="0" applyNumberFormat="1" applyFont="1" applyBorder="1"/>
    <xf numFmtId="10" fontId="47" fillId="0" borderId="2" xfId="0" applyNumberFormat="1" applyFont="1" applyBorder="1"/>
    <xf numFmtId="0" fontId="45" fillId="0" borderId="2" xfId="0" applyFont="1" applyBorder="1" applyAlignment="1">
      <alignment horizontal="center" vertical="center"/>
    </xf>
    <xf numFmtId="3" fontId="45" fillId="0" borderId="77" xfId="1" applyNumberFormat="1" applyFont="1" applyBorder="1" applyAlignment="1" applyProtection="1">
      <alignment horizontal="center" vertical="center"/>
    </xf>
    <xf numFmtId="3" fontId="45" fillId="19" borderId="3" xfId="0" applyNumberFormat="1" applyFont="1" applyFill="1" applyBorder="1" applyAlignment="1">
      <alignment horizontal="center"/>
    </xf>
    <xf numFmtId="3" fontId="52" fillId="0" borderId="75" xfId="0" applyNumberFormat="1" applyFont="1" applyBorder="1" applyAlignment="1">
      <alignment horizontal="center"/>
    </xf>
    <xf numFmtId="3" fontId="52" fillId="0" borderId="77" xfId="0" applyNumberFormat="1" applyFont="1" applyBorder="1" applyAlignment="1">
      <alignment horizontal="center"/>
    </xf>
    <xf numFmtId="0" fontId="45" fillId="19" borderId="3" xfId="0" applyFont="1" applyFill="1" applyBorder="1" applyAlignment="1">
      <alignment horizontal="center"/>
    </xf>
    <xf numFmtId="0" fontId="52" fillId="0" borderId="79" xfId="0" applyFont="1" applyFill="1" applyBorder="1" applyAlignment="1">
      <alignment horizontal="center"/>
    </xf>
    <xf numFmtId="0" fontId="47" fillId="0" borderId="72" xfId="0" applyFont="1" applyBorder="1"/>
    <xf numFmtId="0" fontId="52" fillId="0" borderId="68" xfId="0" applyFont="1" applyFill="1" applyBorder="1" applyAlignment="1">
      <alignment horizontal="center"/>
    </xf>
    <xf numFmtId="0" fontId="52" fillId="0" borderId="3" xfId="0" applyFont="1" applyBorder="1" applyAlignment="1">
      <alignment horizontal="center"/>
    </xf>
    <xf numFmtId="3" fontId="52" fillId="0" borderId="3" xfId="1" applyNumberFormat="1" applyFont="1" applyFill="1" applyBorder="1" applyAlignment="1" applyProtection="1">
      <alignment horizontal="center" vertical="center"/>
    </xf>
    <xf numFmtId="3" fontId="45" fillId="0" borderId="0" xfId="0" applyNumberFormat="1" applyFont="1" applyFill="1" applyBorder="1" applyAlignment="1">
      <alignment horizontal="center"/>
    </xf>
    <xf numFmtId="3" fontId="45" fillId="0" borderId="0" xfId="0" applyNumberFormat="1" applyFont="1" applyFill="1" applyBorder="1" applyAlignment="1">
      <alignment horizontal="center" vertical="center"/>
    </xf>
    <xf numFmtId="3" fontId="45" fillId="0" borderId="2" xfId="0" applyNumberFormat="1" applyFont="1" applyFill="1" applyBorder="1" applyAlignment="1">
      <alignment horizontal="center"/>
    </xf>
    <xf numFmtId="3" fontId="45" fillId="0" borderId="4" xfId="0" applyNumberFormat="1" applyFont="1" applyFill="1" applyBorder="1" applyAlignment="1">
      <alignment horizontal="center"/>
    </xf>
    <xf numFmtId="3" fontId="45" fillId="10" borderId="2" xfId="0" applyNumberFormat="1" applyFont="1" applyFill="1" applyBorder="1" applyAlignment="1">
      <alignment horizontal="center"/>
    </xf>
    <xf numFmtId="3" fontId="45" fillId="19" borderId="2" xfId="0" applyNumberFormat="1" applyFont="1" applyFill="1" applyBorder="1" applyAlignment="1">
      <alignment horizontal="center"/>
    </xf>
    <xf numFmtId="3" fontId="52" fillId="0" borderId="79" xfId="0" applyNumberFormat="1" applyFont="1" applyFill="1" applyBorder="1" applyAlignment="1">
      <alignment horizontal="center"/>
    </xf>
    <xf numFmtId="3" fontId="52" fillId="0" borderId="72" xfId="0" applyNumberFormat="1" applyFont="1" applyFill="1" applyBorder="1" applyAlignment="1">
      <alignment horizontal="center"/>
    </xf>
    <xf numFmtId="3" fontId="52" fillId="0" borderId="68" xfId="0" applyNumberFormat="1" applyFont="1" applyFill="1" applyBorder="1" applyAlignment="1">
      <alignment horizontal="center"/>
    </xf>
    <xf numFmtId="3" fontId="52" fillId="0" borderId="3" xfId="0" applyNumberFormat="1" applyFont="1" applyBorder="1" applyAlignment="1">
      <alignment horizontal="center"/>
    </xf>
    <xf numFmtId="0" fontId="45" fillId="0" borderId="2" xfId="0" applyFont="1" applyFill="1" applyBorder="1" applyAlignment="1">
      <alignment horizontal="center"/>
    </xf>
    <xf numFmtId="0" fontId="45" fillId="0" borderId="4" xfId="0" applyFont="1" applyFill="1" applyBorder="1" applyAlignment="1">
      <alignment horizontal="center"/>
    </xf>
    <xf numFmtId="3" fontId="52" fillId="0" borderId="4" xfId="0" applyNumberFormat="1" applyFont="1" applyBorder="1" applyAlignment="1">
      <alignment horizontal="center"/>
    </xf>
    <xf numFmtId="3" fontId="52" fillId="0" borderId="4" xfId="0" applyNumberFormat="1" applyFont="1" applyFill="1" applyBorder="1" applyAlignment="1">
      <alignment horizontal="center"/>
    </xf>
    <xf numFmtId="3" fontId="52" fillId="0" borderId="77" xfId="0" applyNumberFormat="1" applyFont="1" applyFill="1" applyBorder="1" applyAlignment="1">
      <alignment horizontal="center"/>
    </xf>
    <xf numFmtId="3" fontId="52" fillId="0" borderId="75" xfId="0" applyNumberFormat="1" applyFont="1" applyFill="1" applyBorder="1" applyAlignment="1">
      <alignment horizontal="center"/>
    </xf>
    <xf numFmtId="3" fontId="52" fillId="0" borderId="0" xfId="1" applyNumberFormat="1" applyFont="1" applyFill="1" applyBorder="1" applyAlignment="1" applyProtection="1">
      <alignment horizontal="center" vertical="center"/>
    </xf>
    <xf numFmtId="3" fontId="52" fillId="0" borderId="3" xfId="0" applyNumberFormat="1" applyFont="1" applyFill="1" applyBorder="1" applyAlignment="1">
      <alignment horizontal="center"/>
    </xf>
    <xf numFmtId="3" fontId="45" fillId="0" borderId="0" xfId="1" applyNumberFormat="1" applyFont="1" applyFill="1" applyBorder="1" applyAlignment="1" applyProtection="1">
      <alignment horizontal="center" vertical="center"/>
    </xf>
    <xf numFmtId="3" fontId="52" fillId="0" borderId="5" xfId="1" applyNumberFormat="1" applyFont="1" applyFill="1" applyBorder="1" applyAlignment="1" applyProtection="1">
      <alignment horizontal="center" vertical="center"/>
    </xf>
    <xf numFmtId="3" fontId="52" fillId="0" borderId="7" xfId="0" applyNumberFormat="1" applyFont="1" applyFill="1" applyBorder="1" applyAlignment="1">
      <alignment horizontal="center"/>
    </xf>
    <xf numFmtId="3" fontId="52" fillId="0" borderId="7" xfId="1" applyNumberFormat="1" applyFont="1" applyFill="1" applyBorder="1" applyAlignment="1" applyProtection="1">
      <alignment horizontal="center" vertical="center"/>
    </xf>
    <xf numFmtId="3" fontId="45" fillId="13" borderId="5" xfId="0" applyNumberFormat="1" applyFont="1" applyFill="1" applyBorder="1" applyAlignment="1">
      <alignment horizontal="center"/>
    </xf>
    <xf numFmtId="3" fontId="45" fillId="0" borderId="5" xfId="0" applyNumberFormat="1" applyFont="1" applyFill="1" applyBorder="1" applyAlignment="1">
      <alignment horizontal="center" vertical="center"/>
    </xf>
    <xf numFmtId="3" fontId="45" fillId="0" borderId="10" xfId="0" applyNumberFormat="1" applyFont="1" applyFill="1" applyBorder="1" applyAlignment="1">
      <alignment horizontal="center"/>
    </xf>
    <xf numFmtId="3" fontId="45" fillId="11" borderId="0" xfId="0" applyNumberFormat="1" applyFont="1" applyFill="1" applyBorder="1" applyAlignment="1">
      <alignment horizontal="center"/>
    </xf>
    <xf numFmtId="3" fontId="45" fillId="16" borderId="9" xfId="0" applyNumberFormat="1" applyFont="1" applyFill="1" applyBorder="1" applyAlignment="1">
      <alignment horizontal="center"/>
    </xf>
    <xf numFmtId="3" fontId="53" fillId="23" borderId="2" xfId="0" applyNumberFormat="1" applyFont="1" applyFill="1" applyBorder="1" applyAlignment="1">
      <alignment horizontal="center" vertical="center" wrapText="1"/>
    </xf>
    <xf numFmtId="3" fontId="52" fillId="19" borderId="9" xfId="1" applyNumberFormat="1" applyFont="1" applyFill="1" applyBorder="1" applyAlignment="1" applyProtection="1">
      <alignment horizontal="center" vertical="center"/>
    </xf>
    <xf numFmtId="3" fontId="52" fillId="13" borderId="75" xfId="1" quotePrefix="1" applyNumberFormat="1" applyFont="1" applyFill="1" applyBorder="1" applyAlignment="1" applyProtection="1">
      <alignment horizontal="center" vertical="center"/>
    </xf>
    <xf numFmtId="3" fontId="52" fillId="13" borderId="77" xfId="1" applyNumberFormat="1" applyFont="1" applyFill="1" applyBorder="1" applyAlignment="1" applyProtection="1">
      <alignment horizontal="center" vertical="center"/>
    </xf>
    <xf numFmtId="3" fontId="45" fillId="19" borderId="7" xfId="0" applyNumberFormat="1" applyFont="1" applyFill="1" applyBorder="1" applyAlignment="1">
      <alignment horizontal="center"/>
    </xf>
    <xf numFmtId="3" fontId="52" fillId="13" borderId="61" xfId="1" applyNumberFormat="1" applyFont="1" applyFill="1" applyBorder="1" applyAlignment="1" applyProtection="1">
      <alignment horizontal="center" vertical="center"/>
    </xf>
    <xf numFmtId="3" fontId="47" fillId="13" borderId="0" xfId="1" applyNumberFormat="1" applyFont="1" applyFill="1" applyBorder="1" applyAlignment="1" applyProtection="1">
      <alignment horizontal="center" vertical="center"/>
    </xf>
    <xf numFmtId="3" fontId="47" fillId="0" borderId="0" xfId="1" applyNumberFormat="1" applyFont="1" applyFill="1" applyBorder="1" applyAlignment="1" applyProtection="1">
      <alignment horizontal="center" vertical="center"/>
    </xf>
    <xf numFmtId="3" fontId="47" fillId="0" borderId="2" xfId="0" applyNumberFormat="1" applyFont="1" applyFill="1" applyBorder="1" applyAlignment="1">
      <alignment horizontal="center"/>
    </xf>
    <xf numFmtId="0" fontId="47" fillId="13" borderId="0" xfId="0" applyFont="1" applyFill="1" applyBorder="1" applyAlignment="1">
      <alignment horizontal="center"/>
    </xf>
    <xf numFmtId="3" fontId="45" fillId="16" borderId="3" xfId="0" applyNumberFormat="1" applyFont="1" applyFill="1" applyBorder="1" applyAlignment="1">
      <alignment horizontal="center"/>
    </xf>
    <xf numFmtId="3" fontId="45" fillId="13" borderId="0" xfId="0" applyNumberFormat="1" applyFont="1" applyFill="1" applyBorder="1" applyAlignment="1">
      <alignment horizontal="center"/>
    </xf>
    <xf numFmtId="3" fontId="45" fillId="19" borderId="3" xfId="1" applyNumberFormat="1" applyFont="1" applyFill="1" applyBorder="1" applyAlignment="1" applyProtection="1">
      <alignment horizontal="center" vertical="center"/>
    </xf>
    <xf numFmtId="3" fontId="45" fillId="0" borderId="61" xfId="0" applyNumberFormat="1" applyFont="1" applyFill="1" applyBorder="1" applyAlignment="1">
      <alignment horizontal="center"/>
    </xf>
    <xf numFmtId="3" fontId="52" fillId="0" borderId="61" xfId="0" applyNumberFormat="1" applyFont="1" applyFill="1" applyBorder="1" applyAlignment="1">
      <alignment horizontal="center"/>
    </xf>
    <xf numFmtId="3" fontId="45" fillId="25" borderId="0" xfId="0" applyNumberFormat="1" applyFont="1" applyFill="1" applyBorder="1" applyAlignment="1">
      <alignment horizontal="center"/>
    </xf>
    <xf numFmtId="3" fontId="52" fillId="25" borderId="2" xfId="0" applyNumberFormat="1" applyFont="1" applyFill="1" applyBorder="1" applyAlignment="1">
      <alignment horizontal="center"/>
    </xf>
    <xf numFmtId="3" fontId="48" fillId="25" borderId="79" xfId="0" applyNumberFormat="1" applyFont="1" applyFill="1" applyBorder="1" applyAlignment="1">
      <alignment horizontal="center"/>
    </xf>
    <xf numFmtId="3" fontId="48" fillId="25" borderId="72" xfId="0" applyNumberFormat="1" applyFont="1" applyFill="1" applyBorder="1" applyAlignment="1">
      <alignment horizontal="center"/>
    </xf>
    <xf numFmtId="3" fontId="48" fillId="25" borderId="68" xfId="0" applyNumberFormat="1" applyFont="1" applyFill="1" applyBorder="1" applyAlignment="1">
      <alignment horizontal="center"/>
    </xf>
    <xf numFmtId="3" fontId="45" fillId="17" borderId="0" xfId="0" applyNumberFormat="1" applyFont="1" applyFill="1" applyBorder="1" applyAlignment="1">
      <alignment horizontal="center"/>
    </xf>
    <xf numFmtId="3" fontId="45" fillId="16" borderId="7" xfId="0" applyNumberFormat="1" applyFont="1" applyFill="1" applyBorder="1" applyAlignment="1">
      <alignment horizontal="center"/>
    </xf>
    <xf numFmtId="3" fontId="45" fillId="27" borderId="2" xfId="0" applyNumberFormat="1" applyFont="1" applyFill="1" applyBorder="1" applyAlignment="1">
      <alignment horizontal="center" vertical="center" wrapText="1"/>
    </xf>
    <xf numFmtId="3" fontId="45" fillId="17" borderId="4" xfId="0" applyNumberFormat="1" applyFont="1" applyFill="1" applyBorder="1" applyAlignment="1">
      <alignment horizontal="center"/>
    </xf>
    <xf numFmtId="3" fontId="45" fillId="19" borderId="7" xfId="1" applyNumberFormat="1" applyFont="1" applyFill="1" applyBorder="1" applyAlignment="1" applyProtection="1">
      <alignment horizontal="center" vertical="center"/>
    </xf>
    <xf numFmtId="3" fontId="52" fillId="13" borderId="76" xfId="1" quotePrefix="1" applyNumberFormat="1" applyFont="1" applyFill="1" applyBorder="1" applyAlignment="1" applyProtection="1">
      <alignment horizontal="center" vertical="center"/>
    </xf>
    <xf numFmtId="3" fontId="52" fillId="13" borderId="62" xfId="1" applyNumberFormat="1" applyFont="1" applyFill="1" applyBorder="1" applyAlignment="1" applyProtection="1">
      <alignment horizontal="center" vertical="center"/>
    </xf>
    <xf numFmtId="3" fontId="45" fillId="0" borderId="5" xfId="0" applyNumberFormat="1" applyFont="1" applyFill="1" applyBorder="1" applyAlignment="1">
      <alignment horizontal="center"/>
    </xf>
    <xf numFmtId="3" fontId="52" fillId="0" borderId="62" xfId="0" applyNumberFormat="1" applyFont="1" applyFill="1" applyBorder="1" applyAlignment="1">
      <alignment horizontal="center"/>
    </xf>
    <xf numFmtId="3" fontId="45" fillId="25" borderId="5" xfId="0" applyNumberFormat="1" applyFont="1" applyFill="1" applyBorder="1" applyAlignment="1">
      <alignment horizontal="center"/>
    </xf>
    <xf numFmtId="3" fontId="45" fillId="26" borderId="1" xfId="1" applyNumberFormat="1" applyFont="1" applyFill="1" applyBorder="1" applyAlignment="1">
      <alignment horizontal="center" vertical="center"/>
    </xf>
    <xf numFmtId="3" fontId="45" fillId="13" borderId="61" xfId="1" applyNumberFormat="1" applyFont="1" applyFill="1" applyBorder="1" applyAlignment="1">
      <alignment horizontal="center" vertical="center"/>
    </xf>
    <xf numFmtId="3" fontId="45" fillId="0" borderId="5" xfId="1" applyNumberFormat="1" applyFont="1" applyFill="1" applyBorder="1" applyAlignment="1">
      <alignment horizontal="center" vertical="center"/>
    </xf>
    <xf numFmtId="3" fontId="52" fillId="0" borderId="62" xfId="1" applyNumberFormat="1" applyFont="1" applyFill="1" applyBorder="1" applyAlignment="1">
      <alignment horizontal="center" vertical="center"/>
    </xf>
    <xf numFmtId="3" fontId="45" fillId="25" borderId="15" xfId="1" applyNumberFormat="1" applyFont="1" applyFill="1" applyBorder="1" applyAlignment="1">
      <alignment horizontal="center" vertical="center"/>
    </xf>
    <xf numFmtId="3" fontId="52" fillId="25" borderId="13" xfId="1" applyNumberFormat="1" applyFont="1" applyFill="1" applyBorder="1" applyAlignment="1">
      <alignment horizontal="center" vertical="center"/>
    </xf>
    <xf numFmtId="3" fontId="48" fillId="25" borderId="79" xfId="1" applyNumberFormat="1" applyFont="1" applyFill="1" applyBorder="1" applyAlignment="1">
      <alignment horizontal="center" vertical="center"/>
    </xf>
    <xf numFmtId="3" fontId="48" fillId="25" borderId="72" xfId="1" applyNumberFormat="1" applyFont="1" applyFill="1" applyBorder="1" applyAlignment="1">
      <alignment horizontal="center" vertical="center"/>
    </xf>
    <xf numFmtId="3" fontId="48" fillId="25" borderId="68" xfId="1" applyNumberFormat="1" applyFont="1" applyFill="1" applyBorder="1" applyAlignment="1">
      <alignment horizontal="center" vertical="center"/>
    </xf>
    <xf numFmtId="3" fontId="45" fillId="0" borderId="0" xfId="1" applyNumberFormat="1" applyFont="1" applyFill="1" applyBorder="1" applyAlignment="1">
      <alignment horizontal="center" vertical="center"/>
    </xf>
    <xf numFmtId="3" fontId="45" fillId="13" borderId="0" xfId="1" applyNumberFormat="1" applyFont="1" applyFill="1" applyBorder="1" applyAlignment="1">
      <alignment horizontal="center" vertical="center"/>
    </xf>
    <xf numFmtId="3" fontId="52" fillId="13" borderId="61" xfId="1" quotePrefix="1" applyNumberFormat="1" applyFont="1" applyFill="1" applyBorder="1" applyAlignment="1" applyProtection="1">
      <alignment horizontal="center" vertical="center"/>
    </xf>
    <xf numFmtId="3" fontId="45" fillId="0" borderId="61" xfId="1" applyNumberFormat="1" applyFont="1" applyFill="1" applyBorder="1" applyAlignment="1">
      <alignment horizontal="center" vertical="center"/>
    </xf>
    <xf numFmtId="3" fontId="47" fillId="0" borderId="0" xfId="1" applyNumberFormat="1" applyFont="1" applyFill="1" applyBorder="1" applyAlignment="1">
      <alignment horizontal="center" vertical="center"/>
    </xf>
    <xf numFmtId="3" fontId="47" fillId="0" borderId="2" xfId="1" applyNumberFormat="1" applyFont="1" applyFill="1" applyBorder="1" applyAlignment="1">
      <alignment horizontal="center" vertical="center"/>
    </xf>
    <xf numFmtId="3" fontId="47" fillId="0" borderId="79" xfId="1" applyNumberFormat="1" applyFont="1" applyFill="1" applyBorder="1" applyAlignment="1">
      <alignment horizontal="center" vertical="center"/>
    </xf>
    <xf numFmtId="3" fontId="48" fillId="0" borderId="72" xfId="1" applyNumberFormat="1" applyFont="1" applyFill="1" applyBorder="1" applyAlignment="1">
      <alignment horizontal="center" vertical="center"/>
    </xf>
    <xf numFmtId="3" fontId="48" fillId="0" borderId="68" xfId="1" applyNumberFormat="1" applyFont="1" applyFill="1" applyBorder="1" applyAlignment="1">
      <alignment horizontal="center" vertical="center"/>
    </xf>
    <xf numFmtId="3" fontId="45" fillId="0" borderId="2" xfId="1" applyNumberFormat="1" applyFont="1" applyFill="1" applyBorder="1" applyAlignment="1">
      <alignment horizontal="center" vertical="center"/>
    </xf>
    <xf numFmtId="3" fontId="45" fillId="0" borderId="79" xfId="1" applyNumberFormat="1" applyFont="1" applyFill="1" applyBorder="1" applyAlignment="1">
      <alignment horizontal="center" vertical="center"/>
    </xf>
    <xf numFmtId="3" fontId="55" fillId="0" borderId="0" xfId="1" applyNumberFormat="1" applyFont="1" applyFill="1" applyBorder="1" applyAlignment="1">
      <alignment horizontal="center" vertical="center"/>
    </xf>
    <xf numFmtId="3" fontId="55" fillId="2" borderId="0" xfId="1" applyNumberFormat="1" applyFont="1" applyFill="1" applyBorder="1" applyAlignment="1">
      <alignment horizontal="center" vertical="center"/>
    </xf>
    <xf numFmtId="3" fontId="55" fillId="0" borderId="0" xfId="1" applyNumberFormat="1" applyFont="1" applyFill="1" applyBorder="1" applyAlignment="1" applyProtection="1">
      <alignment horizontal="center" vertical="center"/>
    </xf>
    <xf numFmtId="3" fontId="46" fillId="11" borderId="3" xfId="0" applyNumberFormat="1" applyFont="1" applyFill="1" applyBorder="1" applyAlignment="1">
      <alignment horizontal="center"/>
    </xf>
    <xf numFmtId="3" fontId="45" fillId="7" borderId="0" xfId="0" applyNumberFormat="1" applyFont="1" applyFill="1" applyBorder="1" applyAlignment="1">
      <alignment horizontal="center"/>
    </xf>
    <xf numFmtId="3" fontId="45" fillId="11" borderId="7" xfId="0" applyNumberFormat="1" applyFont="1" applyFill="1" applyBorder="1" applyAlignment="1">
      <alignment horizontal="center"/>
    </xf>
    <xf numFmtId="3" fontId="45" fillId="17" borderId="6" xfId="0" applyNumberFormat="1" applyFont="1" applyFill="1" applyBorder="1" applyAlignment="1">
      <alignment horizontal="center"/>
    </xf>
    <xf numFmtId="3" fontId="45" fillId="10" borderId="54" xfId="0" applyNumberFormat="1" applyFont="1" applyFill="1" applyBorder="1" applyAlignment="1">
      <alignment horizontal="center"/>
    </xf>
    <xf numFmtId="3" fontId="45" fillId="10" borderId="43" xfId="0" applyNumberFormat="1" applyFont="1" applyFill="1" applyBorder="1" applyAlignment="1">
      <alignment horizontal="center"/>
    </xf>
    <xf numFmtId="0" fontId="45" fillId="0" borderId="9" xfId="0" applyFont="1" applyBorder="1" applyAlignment="1">
      <alignment horizontal="center" vertical="center"/>
    </xf>
    <xf numFmtId="3" fontId="45" fillId="7" borderId="0" xfId="1" applyNumberFormat="1" applyFont="1" applyFill="1" applyBorder="1" applyAlignment="1">
      <alignment horizontal="center" vertical="center"/>
    </xf>
    <xf numFmtId="3" fontId="45" fillId="7" borderId="61" xfId="1" quotePrefix="1" applyNumberFormat="1" applyFont="1" applyFill="1" applyBorder="1" applyAlignment="1">
      <alignment horizontal="center" vertical="center"/>
    </xf>
    <xf numFmtId="3" fontId="45" fillId="7" borderId="61" xfId="1" applyNumberFormat="1" applyFont="1" applyFill="1" applyBorder="1" applyAlignment="1">
      <alignment horizontal="center" vertical="center"/>
    </xf>
    <xf numFmtId="3" fontId="45" fillId="0" borderId="72" xfId="1" applyNumberFormat="1" applyFont="1" applyFill="1" applyBorder="1" applyAlignment="1">
      <alignment horizontal="center" vertical="center"/>
    </xf>
    <xf numFmtId="3" fontId="45" fillId="0" borderId="68" xfId="1" applyNumberFormat="1" applyFont="1" applyFill="1" applyBorder="1" applyAlignment="1">
      <alignment horizontal="center" vertical="center"/>
    </xf>
    <xf numFmtId="3" fontId="47" fillId="7" borderId="0" xfId="1" applyNumberFormat="1" applyFont="1" applyFill="1" applyBorder="1" applyAlignment="1" applyProtection="1">
      <alignment horizontal="center" vertical="center"/>
    </xf>
    <xf numFmtId="0" fontId="47" fillId="7" borderId="0" xfId="0" applyFont="1" applyFill="1" applyBorder="1" applyAlignment="1">
      <alignment horizontal="center"/>
    </xf>
    <xf numFmtId="3" fontId="45" fillId="0" borderId="8" xfId="0" applyNumberFormat="1" applyFont="1" applyBorder="1" applyAlignment="1">
      <alignment horizontal="center"/>
    </xf>
    <xf numFmtId="3" fontId="45" fillId="0" borderId="12" xfId="0" applyNumberFormat="1" applyFont="1" applyBorder="1" applyAlignment="1">
      <alignment horizontal="center"/>
    </xf>
    <xf numFmtId="3" fontId="45" fillId="10" borderId="55" xfId="0" applyNumberFormat="1" applyFont="1" applyFill="1" applyBorder="1" applyAlignment="1">
      <alignment horizontal="center"/>
    </xf>
    <xf numFmtId="3" fontId="45" fillId="0" borderId="3" xfId="0" applyNumberFormat="1" applyFont="1" applyFill="1" applyBorder="1" applyAlignment="1">
      <alignment horizontal="center"/>
    </xf>
    <xf numFmtId="0" fontId="45" fillId="0" borderId="9" xfId="0" applyFont="1" applyBorder="1" applyAlignment="1">
      <alignment horizontal="center"/>
    </xf>
    <xf numFmtId="0" fontId="45" fillId="0" borderId="3" xfId="0" applyFont="1" applyBorder="1" applyAlignment="1">
      <alignment horizontal="center" vertical="center"/>
    </xf>
    <xf numFmtId="3" fontId="45" fillId="10" borderId="56" xfId="0" applyNumberFormat="1" applyFont="1" applyFill="1" applyBorder="1" applyAlignment="1">
      <alignment horizontal="center"/>
    </xf>
    <xf numFmtId="3" fontId="46" fillId="10" borderId="2" xfId="0" applyNumberFormat="1" applyFont="1" applyFill="1" applyBorder="1" applyAlignment="1">
      <alignment horizontal="center" vertical="center" wrapText="1"/>
    </xf>
    <xf numFmtId="0" fontId="45" fillId="0" borderId="3" xfId="0" applyFont="1" applyBorder="1" applyAlignment="1">
      <alignment horizontal="center"/>
    </xf>
    <xf numFmtId="3" fontId="45" fillId="0" borderId="12" xfId="1" applyNumberFormat="1" applyFont="1" applyFill="1" applyBorder="1" applyAlignment="1">
      <alignment horizontal="center" vertical="center"/>
    </xf>
    <xf numFmtId="3" fontId="45" fillId="0" borderId="8" xfId="1" applyNumberFormat="1" applyFont="1" applyFill="1" applyBorder="1" applyAlignment="1">
      <alignment horizontal="center" vertical="center"/>
    </xf>
    <xf numFmtId="3" fontId="45" fillId="0" borderId="0" xfId="0" applyNumberFormat="1" applyFont="1" applyBorder="1" applyAlignment="1">
      <alignment horizontal="center" vertical="center"/>
    </xf>
    <xf numFmtId="3" fontId="45" fillId="0" borderId="4" xfId="0" applyNumberFormat="1" applyFont="1" applyBorder="1" applyAlignment="1">
      <alignment horizontal="center"/>
    </xf>
    <xf numFmtId="0" fontId="47" fillId="0" borderId="0" xfId="0" applyFont="1" applyBorder="1" applyAlignment="1">
      <alignment horizontal="center" vertical="center"/>
    </xf>
    <xf numFmtId="2" fontId="47" fillId="0" borderId="2" xfId="0" applyNumberFormat="1" applyFont="1" applyBorder="1" applyAlignment="1">
      <alignment horizontal="center"/>
    </xf>
    <xf numFmtId="2" fontId="47" fillId="0" borderId="0" xfId="0" applyNumberFormat="1" applyFont="1" applyBorder="1" applyAlignment="1">
      <alignment horizontal="center"/>
    </xf>
    <xf numFmtId="1" fontId="47" fillId="0" borderId="0" xfId="0" applyNumberFormat="1" applyFont="1" applyBorder="1" applyAlignment="1">
      <alignment horizontal="center"/>
    </xf>
    <xf numFmtId="0" fontId="47" fillId="0" borderId="0" xfId="0" applyFont="1" applyBorder="1" applyAlignment="1">
      <alignment horizontal="center"/>
    </xf>
    <xf numFmtId="0" fontId="45" fillId="0" borderId="0" xfId="0" applyFont="1" applyBorder="1"/>
    <xf numFmtId="3" fontId="47" fillId="0" borderId="5" xfId="0" applyNumberFormat="1" applyFont="1" applyBorder="1" applyAlignment="1">
      <alignment horizontal="center"/>
    </xf>
    <xf numFmtId="3" fontId="47" fillId="0" borderId="10" xfId="0" applyNumberFormat="1" applyFont="1" applyBorder="1" applyAlignment="1">
      <alignment horizontal="center"/>
    </xf>
    <xf numFmtId="3" fontId="47" fillId="0" borderId="79" xfId="0" applyNumberFormat="1" applyFont="1" applyBorder="1" applyAlignment="1">
      <alignment horizontal="center"/>
    </xf>
    <xf numFmtId="3" fontId="47" fillId="0" borderId="72" xfId="0" applyNumberFormat="1" applyFont="1" applyBorder="1" applyAlignment="1">
      <alignment horizontal="center"/>
    </xf>
    <xf numFmtId="3" fontId="47" fillId="0" borderId="68" xfId="0" applyNumberFormat="1" applyFont="1" applyBorder="1" applyAlignment="1">
      <alignment horizontal="center"/>
    </xf>
    <xf numFmtId="1" fontId="47" fillId="0" borderId="2" xfId="0" applyNumberFormat="1" applyFont="1" applyBorder="1" applyAlignment="1">
      <alignment horizontal="center"/>
    </xf>
    <xf numFmtId="0" fontId="45" fillId="0" borderId="7" xfId="0" applyFont="1" applyBorder="1" applyAlignment="1">
      <alignment horizontal="center"/>
    </xf>
    <xf numFmtId="3" fontId="47" fillId="0" borderId="12" xfId="0" applyNumberFormat="1" applyFont="1" applyFill="1" applyBorder="1" applyAlignment="1">
      <alignment horizontal="center"/>
    </xf>
    <xf numFmtId="3" fontId="47" fillId="0" borderId="8" xfId="0" applyNumberFormat="1" applyFont="1" applyFill="1" applyBorder="1" applyAlignment="1">
      <alignment horizontal="center"/>
    </xf>
    <xf numFmtId="3" fontId="47" fillId="0" borderId="79" xfId="0" applyNumberFormat="1" applyFont="1" applyFill="1" applyBorder="1" applyAlignment="1">
      <alignment horizontal="center"/>
    </xf>
    <xf numFmtId="3" fontId="47" fillId="0" borderId="72" xfId="0" applyNumberFormat="1" applyFont="1" applyFill="1" applyBorder="1" applyAlignment="1">
      <alignment horizontal="center"/>
    </xf>
    <xf numFmtId="3" fontId="47" fillId="0" borderId="68" xfId="0" applyNumberFormat="1" applyFont="1" applyFill="1" applyBorder="1" applyAlignment="1">
      <alignment horizontal="center"/>
    </xf>
    <xf numFmtId="3" fontId="47" fillId="0" borderId="3" xfId="0" applyNumberFormat="1" applyFont="1" applyBorder="1" applyAlignment="1">
      <alignment horizontal="center"/>
    </xf>
    <xf numFmtId="0" fontId="45" fillId="0" borderId="8" xfId="0" applyFont="1" applyBorder="1" applyAlignment="1">
      <alignment horizontal="center"/>
    </xf>
    <xf numFmtId="3" fontId="45" fillId="7" borderId="75" xfId="1" applyNumberFormat="1" applyFont="1" applyFill="1" applyBorder="1" applyAlignment="1">
      <alignment horizontal="center" vertical="center"/>
    </xf>
    <xf numFmtId="3" fontId="47" fillId="11" borderId="0" xfId="0" applyNumberFormat="1" applyFont="1" applyFill="1" applyBorder="1" applyAlignment="1">
      <alignment horizontal="center"/>
    </xf>
    <xf numFmtId="3" fontId="47" fillId="11" borderId="2" xfId="0" applyNumberFormat="1" applyFont="1" applyFill="1" applyBorder="1" applyAlignment="1">
      <alignment horizontal="center"/>
    </xf>
    <xf numFmtId="3" fontId="47" fillId="11" borderId="79" xfId="0" applyNumberFormat="1" applyFont="1" applyFill="1" applyBorder="1" applyAlignment="1">
      <alignment horizontal="center"/>
    </xf>
    <xf numFmtId="3" fontId="47" fillId="11" borderId="72" xfId="0" applyNumberFormat="1" applyFont="1" applyFill="1" applyBorder="1" applyAlignment="1">
      <alignment horizontal="center"/>
    </xf>
    <xf numFmtId="3" fontId="47" fillId="11" borderId="68" xfId="0" applyNumberFormat="1" applyFont="1" applyFill="1" applyBorder="1" applyAlignment="1">
      <alignment horizontal="center"/>
    </xf>
    <xf numFmtId="2" fontId="47" fillId="7" borderId="0" xfId="0" applyNumberFormat="1" applyFont="1" applyFill="1" applyBorder="1" applyAlignment="1">
      <alignment horizontal="center"/>
    </xf>
    <xf numFmtId="0" fontId="47" fillId="0" borderId="3" xfId="0" applyFont="1" applyBorder="1" applyAlignment="1">
      <alignment horizontal="center"/>
    </xf>
    <xf numFmtId="3" fontId="45" fillId="7" borderId="63" xfId="1" quotePrefix="1" applyNumberFormat="1" applyFont="1" applyFill="1" applyBorder="1" applyAlignment="1">
      <alignment horizontal="center" vertical="center"/>
    </xf>
    <xf numFmtId="3" fontId="45" fillId="7" borderId="63" xfId="1" applyNumberFormat="1" applyFont="1" applyFill="1" applyBorder="1" applyAlignment="1">
      <alignment horizontal="center" vertical="center"/>
    </xf>
    <xf numFmtId="3" fontId="45" fillId="7" borderId="84" xfId="1" applyNumberFormat="1" applyFont="1" applyFill="1" applyBorder="1" applyAlignment="1">
      <alignment horizontal="center" vertical="center"/>
    </xf>
    <xf numFmtId="3" fontId="47" fillId="11" borderId="83" xfId="0" applyNumberFormat="1" applyFont="1" applyFill="1" applyBorder="1" applyAlignment="1">
      <alignment horizontal="center"/>
    </xf>
    <xf numFmtId="3" fontId="47" fillId="11" borderId="73" xfId="0" applyNumberFormat="1" applyFont="1" applyFill="1" applyBorder="1" applyAlignment="1">
      <alignment horizontal="center"/>
    </xf>
    <xf numFmtId="3" fontId="47" fillId="11" borderId="74" xfId="0" applyNumberFormat="1" applyFont="1" applyFill="1" applyBorder="1" applyAlignment="1">
      <alignment horizontal="center"/>
    </xf>
    <xf numFmtId="0" fontId="47" fillId="0" borderId="2" xfId="0" applyFont="1" applyBorder="1" applyAlignment="1">
      <alignment horizontal="center"/>
    </xf>
    <xf numFmtId="3" fontId="45" fillId="7" borderId="0" xfId="1" quotePrefix="1" applyNumberFormat="1" applyFont="1" applyFill="1" applyBorder="1" applyAlignment="1">
      <alignment horizontal="center" vertical="center"/>
    </xf>
    <xf numFmtId="0" fontId="47" fillId="0" borderId="0" xfId="0" applyFont="1" applyFill="1" applyBorder="1" applyAlignment="1">
      <alignment horizontal="center" vertical="center"/>
    </xf>
    <xf numFmtId="2" fontId="47" fillId="0" borderId="2" xfId="0" applyNumberFormat="1" applyFont="1" applyFill="1" applyBorder="1" applyAlignment="1">
      <alignment horizontal="center"/>
    </xf>
    <xf numFmtId="2" fontId="47" fillId="0" borderId="0" xfId="0" applyNumberFormat="1" applyFont="1" applyFill="1" applyBorder="1" applyAlignment="1">
      <alignment horizontal="center"/>
    </xf>
    <xf numFmtId="1" fontId="47" fillId="0" borderId="2" xfId="0" applyNumberFormat="1" applyFont="1" applyFill="1" applyBorder="1" applyAlignment="1">
      <alignment horizontal="center"/>
    </xf>
    <xf numFmtId="0" fontId="47" fillId="0" borderId="3" xfId="0" applyFont="1" applyFill="1" applyBorder="1" applyAlignment="1">
      <alignment horizontal="center"/>
    </xf>
    <xf numFmtId="0" fontId="47" fillId="0" borderId="0" xfId="0" applyFont="1" applyFill="1" applyBorder="1" applyAlignment="1">
      <alignment horizontal="center"/>
    </xf>
    <xf numFmtId="10" fontId="47" fillId="18" borderId="4" xfId="0" applyNumberFormat="1" applyFont="1" applyFill="1" applyBorder="1"/>
    <xf numFmtId="10" fontId="47" fillId="18" borderId="2" xfId="0" applyNumberFormat="1" applyFont="1" applyFill="1" applyBorder="1"/>
    <xf numFmtId="0" fontId="47" fillId="0" borderId="0" xfId="0" applyFont="1" applyBorder="1" applyAlignment="1">
      <alignment vertical="center"/>
    </xf>
    <xf numFmtId="1" fontId="47" fillId="0" borderId="0" xfId="0" applyNumberFormat="1" applyFont="1" applyBorder="1"/>
    <xf numFmtId="3" fontId="47" fillId="0" borderId="0" xfId="0" applyNumberFormat="1" applyFont="1" applyBorder="1"/>
    <xf numFmtId="2" fontId="47" fillId="0" borderId="0" xfId="0" applyNumberFormat="1" applyFont="1" applyBorder="1"/>
    <xf numFmtId="169" fontId="47" fillId="0" borderId="0" xfId="0" applyNumberFormat="1" applyFont="1" applyBorder="1"/>
    <xf numFmtId="1" fontId="34" fillId="0" borderId="4" xfId="0" applyNumberFormat="1" applyFont="1" applyBorder="1"/>
    <xf numFmtId="0" fontId="7" fillId="18" borderId="4" xfId="0" applyFont="1" applyFill="1" applyBorder="1"/>
    <xf numFmtId="0" fontId="7" fillId="18" borderId="0" xfId="0" applyFont="1" applyFill="1" applyBorder="1"/>
    <xf numFmtId="0" fontId="7" fillId="19" borderId="4" xfId="0" applyFont="1" applyFill="1" applyBorder="1"/>
    <xf numFmtId="0" fontId="7" fillId="19" borderId="0" xfId="0" applyFont="1" applyFill="1" applyBorder="1"/>
    <xf numFmtId="0" fontId="7" fillId="19" borderId="6" xfId="0" applyFont="1" applyFill="1" applyBorder="1"/>
    <xf numFmtId="0" fontId="7" fillId="19" borderId="5" xfId="0" applyFont="1" applyFill="1" applyBorder="1"/>
    <xf numFmtId="0" fontId="7" fillId="19" borderId="11" xfId="0" applyFont="1" applyFill="1" applyBorder="1"/>
    <xf numFmtId="0" fontId="7" fillId="19" borderId="12" xfId="0" applyFont="1" applyFill="1" applyBorder="1"/>
    <xf numFmtId="2" fontId="0" fillId="18" borderId="4" xfId="0" applyNumberFormat="1" applyFill="1" applyBorder="1"/>
    <xf numFmtId="2" fontId="0" fillId="18" borderId="0" xfId="0" applyNumberFormat="1" applyFill="1" applyBorder="1"/>
    <xf numFmtId="2" fontId="0" fillId="18" borderId="2" xfId="0" applyNumberFormat="1" applyFill="1" applyBorder="1"/>
    <xf numFmtId="0" fontId="36" fillId="0" borderId="0" xfId="0" applyFont="1"/>
    <xf numFmtId="3" fontId="37" fillId="0" borderId="0" xfId="0" applyNumberFormat="1" applyFont="1"/>
    <xf numFmtId="0" fontId="37" fillId="0" borderId="1" xfId="0" applyFont="1" applyBorder="1" applyAlignment="1">
      <alignment horizontal="right"/>
    </xf>
    <xf numFmtId="0" fontId="37" fillId="0" borderId="13" xfId="0" applyFont="1" applyBorder="1" applyAlignment="1">
      <alignment horizontal="right"/>
    </xf>
    <xf numFmtId="0" fontId="37" fillId="0" borderId="11" xfId="0" applyFont="1" applyBorder="1"/>
    <xf numFmtId="169" fontId="37" fillId="0" borderId="9" xfId="0" applyNumberFormat="1" applyFont="1" applyBorder="1" applyAlignment="1">
      <alignment horizontal="right"/>
    </xf>
    <xf numFmtId="2" fontId="37" fillId="0" borderId="8" xfId="0" applyNumberFormat="1" applyFont="1" applyBorder="1" applyAlignment="1">
      <alignment horizontal="right"/>
    </xf>
    <xf numFmtId="0" fontId="37" fillId="0" borderId="6" xfId="0" applyFont="1" applyBorder="1"/>
    <xf numFmtId="169" fontId="37" fillId="0" borderId="7" xfId="0" applyNumberFormat="1" applyFont="1" applyBorder="1" applyAlignment="1">
      <alignment horizontal="right"/>
    </xf>
    <xf numFmtId="2" fontId="37" fillId="0" borderId="10" xfId="0" applyNumberFormat="1" applyFont="1" applyBorder="1" applyAlignment="1">
      <alignment horizontal="right"/>
    </xf>
    <xf numFmtId="0" fontId="37" fillId="0" borderId="4" xfId="0" applyFont="1" applyBorder="1"/>
    <xf numFmtId="169" fontId="37" fillId="0" borderId="3" xfId="0" applyNumberFormat="1" applyFont="1" applyBorder="1" applyAlignment="1">
      <alignment horizontal="right"/>
    </xf>
    <xf numFmtId="2" fontId="37" fillId="0" borderId="2" xfId="0" applyNumberFormat="1" applyFont="1" applyBorder="1" applyAlignment="1">
      <alignment horizontal="right"/>
    </xf>
    <xf numFmtId="169" fontId="37" fillId="0" borderId="9" xfId="0" applyNumberFormat="1" applyFont="1" applyBorder="1"/>
    <xf numFmtId="169" fontId="37" fillId="0" borderId="0" xfId="0" applyNumberFormat="1" applyFont="1" applyAlignment="1">
      <alignment horizontal="right"/>
    </xf>
    <xf numFmtId="169" fontId="37" fillId="0" borderId="3" xfId="0" applyNumberFormat="1" applyFont="1" applyBorder="1"/>
    <xf numFmtId="0" fontId="37" fillId="0" borderId="14" xfId="0" applyFont="1" applyBorder="1"/>
    <xf numFmtId="169" fontId="37" fillId="0" borderId="1" xfId="0" applyNumberFormat="1" applyFont="1" applyBorder="1"/>
    <xf numFmtId="2" fontId="37" fillId="0" borderId="13" xfId="0" applyNumberFormat="1" applyFont="1" applyBorder="1"/>
    <xf numFmtId="0" fontId="36" fillId="0" borderId="14" xfId="0" applyFont="1" applyFill="1" applyBorder="1"/>
    <xf numFmtId="169" fontId="36" fillId="0" borderId="1" xfId="0" applyNumberFormat="1" applyFont="1" applyBorder="1"/>
    <xf numFmtId="2" fontId="36" fillId="0" borderId="13" xfId="0" applyNumberFormat="1" applyFont="1" applyBorder="1"/>
    <xf numFmtId="0" fontId="36" fillId="0" borderId="1" xfId="0" applyFont="1" applyFill="1" applyBorder="1"/>
    <xf numFmtId="2" fontId="36" fillId="0" borderId="1" xfId="0" applyNumberFormat="1" applyFont="1" applyBorder="1"/>
    <xf numFmtId="167" fontId="1" fillId="24" borderId="11" xfId="0" applyNumberFormat="1" applyFont="1" applyFill="1" applyBorder="1" applyAlignment="1">
      <alignment horizontal="center"/>
    </xf>
    <xf numFmtId="167" fontId="1" fillId="24" borderId="12" xfId="0" applyNumberFormat="1" applyFont="1" applyFill="1" applyBorder="1" applyAlignment="1">
      <alignment horizontal="center"/>
    </xf>
    <xf numFmtId="165" fontId="47" fillId="0" borderId="0" xfId="0" applyNumberFormat="1" applyFont="1" applyBorder="1"/>
    <xf numFmtId="0" fontId="0" fillId="0" borderId="4" xfId="0" applyBorder="1"/>
    <xf numFmtId="0" fontId="0" fillId="0" borderId="0" xfId="0" applyBorder="1"/>
    <xf numFmtId="0" fontId="0" fillId="0" borderId="4" xfId="0" applyNumberFormat="1" applyBorder="1"/>
    <xf numFmtId="0" fontId="0" fillId="0" borderId="6" xfId="0" applyNumberFormat="1" applyBorder="1"/>
    <xf numFmtId="0" fontId="0" fillId="0" borderId="1" xfId="0" applyNumberFormat="1" applyBorder="1"/>
    <xf numFmtId="0" fontId="0" fillId="0" borderId="86" xfId="0" applyBorder="1"/>
    <xf numFmtId="0" fontId="0" fillId="0" borderId="35" xfId="0" applyBorder="1"/>
    <xf numFmtId="0" fontId="0" fillId="0" borderId="17" xfId="0" applyBorder="1"/>
    <xf numFmtId="0" fontId="0" fillId="0" borderId="18" xfId="0" applyBorder="1"/>
    <xf numFmtId="0" fontId="0" fillId="0" borderId="85" xfId="0" applyBorder="1"/>
    <xf numFmtId="0" fontId="0" fillId="0" borderId="53" xfId="0" applyBorder="1"/>
    <xf numFmtId="0" fontId="0" fillId="0" borderId="29" xfId="0" applyBorder="1"/>
    <xf numFmtId="0" fontId="0" fillId="0" borderId="87" xfId="0" applyBorder="1" applyAlignment="1">
      <alignment horizontal="left"/>
    </xf>
    <xf numFmtId="0" fontId="0" fillId="0" borderId="30" xfId="0" applyBorder="1"/>
    <xf numFmtId="0" fontId="0" fillId="18" borderId="30" xfId="0" applyFill="1" applyBorder="1"/>
    <xf numFmtId="0" fontId="0" fillId="0" borderId="57" xfId="0" applyBorder="1" applyAlignment="1">
      <alignment horizontal="left"/>
    </xf>
    <xf numFmtId="0" fontId="0" fillId="0" borderId="88" xfId="0" applyNumberFormat="1" applyBorder="1"/>
    <xf numFmtId="0" fontId="0" fillId="0" borderId="58" xfId="0" applyNumberFormat="1" applyBorder="1"/>
    <xf numFmtId="0" fontId="0" fillId="0" borderId="89" xfId="0" applyNumberFormat="1" applyBorder="1"/>
    <xf numFmtId="0" fontId="0" fillId="0" borderId="58" xfId="0" applyBorder="1"/>
    <xf numFmtId="0" fontId="0" fillId="0" borderId="59" xfId="0" applyBorder="1"/>
    <xf numFmtId="0" fontId="8" fillId="0" borderId="14" xfId="0" applyFont="1" applyBorder="1" applyAlignment="1">
      <alignment horizontal="center"/>
    </xf>
    <xf numFmtId="0" fontId="8" fillId="0" borderId="13" xfId="0" applyFont="1" applyBorder="1" applyAlignment="1">
      <alignment horizontal="center"/>
    </xf>
    <xf numFmtId="0" fontId="8" fillId="0" borderId="15" xfId="0" applyFont="1" applyBorder="1" applyAlignment="1">
      <alignment horizontal="center"/>
    </xf>
    <xf numFmtId="3" fontId="11" fillId="0" borderId="14" xfId="0" applyNumberFormat="1" applyFont="1" applyBorder="1" applyAlignment="1">
      <alignment horizontal="center"/>
    </xf>
    <xf numFmtId="3" fontId="8" fillId="0" borderId="20" xfId="0" applyNumberFormat="1" applyFont="1" applyBorder="1" applyAlignment="1">
      <alignment horizontal="center"/>
    </xf>
    <xf numFmtId="3" fontId="8" fillId="0" borderId="13" xfId="0" applyNumberFormat="1" applyFont="1" applyBorder="1" applyAlignment="1">
      <alignment horizontal="center"/>
    </xf>
    <xf numFmtId="3" fontId="8" fillId="4" borderId="13" xfId="0" applyNumberFormat="1" applyFont="1" applyFill="1" applyBorder="1" applyAlignment="1">
      <alignment horizontal="center"/>
    </xf>
    <xf numFmtId="3" fontId="8" fillId="4" borderId="24" xfId="0" applyNumberFormat="1" applyFont="1" applyFill="1" applyBorder="1" applyAlignment="1">
      <alignment horizontal="center"/>
    </xf>
    <xf numFmtId="167" fontId="1" fillId="18" borderId="6" xfId="0" applyNumberFormat="1" applyFont="1" applyFill="1" applyBorder="1" applyAlignment="1">
      <alignment horizontal="center"/>
    </xf>
    <xf numFmtId="0" fontId="11" fillId="0" borderId="0" xfId="0" applyFont="1" applyFill="1" applyBorder="1" applyAlignment="1">
      <alignment horizontal="center"/>
    </xf>
    <xf numFmtId="167" fontId="2" fillId="0" borderId="5" xfId="0" applyNumberFormat="1" applyFont="1" applyFill="1" applyBorder="1" applyAlignment="1">
      <alignment horizontal="center"/>
    </xf>
    <xf numFmtId="167" fontId="2" fillId="0" borderId="11" xfId="0" applyNumberFormat="1" applyFont="1" applyFill="1" applyBorder="1" applyAlignment="1">
      <alignment horizontal="center"/>
    </xf>
    <xf numFmtId="167" fontId="2" fillId="0" borderId="4" xfId="0" applyNumberFormat="1" applyFont="1" applyFill="1" applyBorder="1" applyAlignment="1">
      <alignment horizontal="center"/>
    </xf>
    <xf numFmtId="1" fontId="11" fillId="0" borderId="4" xfId="0" applyNumberFormat="1" applyFont="1" applyFill="1" applyBorder="1" applyAlignment="1">
      <alignment horizontal="center"/>
    </xf>
    <xf numFmtId="1" fontId="2" fillId="0" borderId="4" xfId="0" applyNumberFormat="1" applyFont="1" applyFill="1" applyBorder="1" applyAlignment="1">
      <alignment horizontal="center"/>
    </xf>
    <xf numFmtId="0" fontId="11" fillId="0" borderId="4" xfId="0" applyFont="1" applyFill="1" applyBorder="1" applyAlignment="1">
      <alignment horizontal="center"/>
    </xf>
    <xf numFmtId="167" fontId="2" fillId="0" borderId="6" xfId="0" applyNumberFormat="1" applyFont="1" applyFill="1" applyBorder="1" applyAlignment="1">
      <alignment horizontal="center"/>
    </xf>
    <xf numFmtId="167" fontId="28" fillId="0" borderId="4" xfId="0" applyNumberFormat="1" applyFont="1" applyFill="1" applyBorder="1" applyAlignment="1">
      <alignment horizontal="center"/>
    </xf>
    <xf numFmtId="167" fontId="11" fillId="0" borderId="4" xfId="0" applyNumberFormat="1" applyFont="1" applyFill="1" applyBorder="1" applyAlignment="1">
      <alignment horizontal="center"/>
    </xf>
    <xf numFmtId="167" fontId="11" fillId="0" borderId="6" xfId="0" applyNumberFormat="1" applyFont="1" applyFill="1" applyBorder="1" applyAlignment="1">
      <alignment horizontal="center"/>
    </xf>
    <xf numFmtId="1" fontId="11" fillId="0" borderId="11" xfId="0" applyNumberFormat="1" applyFont="1" applyFill="1" applyBorder="1" applyAlignment="1">
      <alignment horizontal="center"/>
    </xf>
    <xf numFmtId="10" fontId="47" fillId="0" borderId="0" xfId="0" applyNumberFormat="1" applyFont="1" applyBorder="1" applyAlignment="1">
      <alignment horizontal="center"/>
    </xf>
    <xf numFmtId="10" fontId="47" fillId="18" borderId="0" xfId="0" applyNumberFormat="1" applyFont="1" applyFill="1" applyBorder="1"/>
    <xf numFmtId="0" fontId="1" fillId="0" borderId="0" xfId="0" applyFont="1" applyBorder="1" applyAlignment="1">
      <alignment horizontal="center" vertical="center"/>
    </xf>
    <xf numFmtId="168" fontId="34" fillId="0" borderId="4" xfId="0" applyNumberFormat="1" applyFont="1" applyBorder="1"/>
    <xf numFmtId="168" fontId="34" fillId="0" borderId="4" xfId="0" applyNumberFormat="1" applyFont="1" applyFill="1" applyBorder="1"/>
    <xf numFmtId="168" fontId="34" fillId="0" borderId="0" xfId="0" applyNumberFormat="1" applyFont="1" applyFill="1" applyBorder="1"/>
    <xf numFmtId="0" fontId="34" fillId="0" borderId="4" xfId="0" applyFont="1" applyFill="1" applyBorder="1"/>
    <xf numFmtId="168" fontId="34" fillId="0" borderId="6" xfId="0" applyNumberFormat="1" applyFont="1" applyFill="1" applyBorder="1"/>
    <xf numFmtId="168" fontId="34" fillId="0" borderId="5" xfId="0" applyNumberFormat="1" applyFont="1" applyFill="1" applyBorder="1"/>
    <xf numFmtId="168" fontId="39" fillId="0" borderId="10" xfId="0" applyNumberFormat="1" applyFont="1" applyBorder="1"/>
    <xf numFmtId="0" fontId="6" fillId="0" borderId="0" xfId="0" applyFont="1" applyBorder="1" applyAlignment="1">
      <alignment horizontal="center"/>
    </xf>
    <xf numFmtId="0" fontId="6" fillId="0" borderId="2" xfId="0" applyFont="1" applyBorder="1"/>
    <xf numFmtId="170" fontId="6" fillId="0" borderId="0" xfId="0" applyNumberFormat="1" applyFont="1" applyBorder="1"/>
    <xf numFmtId="2" fontId="6" fillId="0" borderId="0" xfId="0" applyNumberFormat="1" applyFont="1" applyBorder="1"/>
    <xf numFmtId="0" fontId="6" fillId="0" borderId="0" xfId="0" applyFont="1" applyBorder="1" applyAlignment="1">
      <alignment vertical="center"/>
    </xf>
    <xf numFmtId="2" fontId="6" fillId="0" borderId="4" xfId="0" applyNumberFormat="1" applyFont="1" applyBorder="1"/>
    <xf numFmtId="0" fontId="6" fillId="0" borderId="4" xfId="0" applyFont="1" applyBorder="1"/>
    <xf numFmtId="0" fontId="6" fillId="0" borderId="6" xfId="0" applyFont="1" applyBorder="1"/>
    <xf numFmtId="0" fontId="6" fillId="0" borderId="10" xfId="0" applyFont="1" applyBorder="1"/>
    <xf numFmtId="0" fontId="20" fillId="0" borderId="9" xfId="0" applyFont="1" applyBorder="1" applyAlignment="1">
      <alignment horizontal="center"/>
    </xf>
    <xf numFmtId="0" fontId="20" fillId="0" borderId="3" xfId="0" applyFont="1" applyBorder="1" applyAlignment="1">
      <alignment horizontal="center"/>
    </xf>
    <xf numFmtId="0" fontId="20" fillId="0" borderId="7" xfId="0" applyFont="1" applyBorder="1" applyAlignment="1">
      <alignment horizontal="center"/>
    </xf>
    <xf numFmtId="0" fontId="6" fillId="0" borderId="12" xfId="0" applyFont="1" applyBorder="1"/>
    <xf numFmtId="0" fontId="2" fillId="0" borderId="15" xfId="0" applyFont="1" applyFill="1" applyBorder="1" applyAlignment="1">
      <alignment horizontal="left"/>
    </xf>
    <xf numFmtId="0" fontId="2" fillId="0" borderId="14" xfId="0" applyFont="1" applyFill="1" applyBorder="1" applyAlignment="1">
      <alignment horizontal="left"/>
    </xf>
    <xf numFmtId="0" fontId="2" fillId="0" borderId="11" xfId="0" applyFont="1" applyFill="1" applyBorder="1" applyAlignment="1">
      <alignment horizontal="left"/>
    </xf>
    <xf numFmtId="3" fontId="8" fillId="0" borderId="20" xfId="0" applyNumberFormat="1" applyFont="1" applyBorder="1" applyAlignment="1">
      <alignment horizontal="center"/>
    </xf>
    <xf numFmtId="3" fontId="8" fillId="0" borderId="13" xfId="0" applyNumberFormat="1" applyFont="1" applyBorder="1" applyAlignment="1">
      <alignment horizontal="center"/>
    </xf>
    <xf numFmtId="3" fontId="8" fillId="4" borderId="13" xfId="0" applyNumberFormat="1" applyFont="1" applyFill="1" applyBorder="1" applyAlignment="1">
      <alignment horizontal="center"/>
    </xf>
    <xf numFmtId="0" fontId="8" fillId="0" borderId="14" xfId="0" applyFont="1" applyBorder="1" applyAlignment="1">
      <alignment horizontal="center"/>
    </xf>
    <xf numFmtId="0" fontId="8" fillId="0" borderId="13" xfId="0" applyFont="1" applyBorder="1" applyAlignment="1">
      <alignment horizontal="center"/>
    </xf>
    <xf numFmtId="0" fontId="8" fillId="0" borderId="15" xfId="0" applyFont="1" applyBorder="1" applyAlignment="1">
      <alignment horizontal="center"/>
    </xf>
    <xf numFmtId="3" fontId="11" fillId="0" borderId="14" xfId="0" applyNumberFormat="1" applyFont="1" applyBorder="1" applyAlignment="1">
      <alignment horizontal="center"/>
    </xf>
    <xf numFmtId="0" fontId="27" fillId="18" borderId="0" xfId="0" applyFont="1" applyFill="1"/>
    <xf numFmtId="0" fontId="20" fillId="0" borderId="7" xfId="0" applyFont="1" applyBorder="1" applyAlignment="1">
      <alignment horizontal="right"/>
    </xf>
    <xf numFmtId="3" fontId="47" fillId="0" borderId="0" xfId="0" applyNumberFormat="1" applyFont="1" applyFill="1" applyBorder="1" applyAlignment="1">
      <alignment horizontal="center"/>
    </xf>
    <xf numFmtId="3" fontId="8" fillId="0" borderId="13" xfId="0" applyNumberFormat="1" applyFont="1" applyBorder="1" applyAlignment="1">
      <alignment horizontal="center"/>
    </xf>
    <xf numFmtId="3" fontId="8" fillId="4" borderId="13" xfId="0" applyNumberFormat="1" applyFont="1" applyFill="1" applyBorder="1" applyAlignment="1">
      <alignment horizontal="center"/>
    </xf>
    <xf numFmtId="3" fontId="8" fillId="4" borderId="24" xfId="0" applyNumberFormat="1" applyFont="1" applyFill="1" applyBorder="1" applyAlignment="1">
      <alignment horizontal="center"/>
    </xf>
    <xf numFmtId="3" fontId="8" fillId="0" borderId="20" xfId="0" applyNumberFormat="1" applyFont="1" applyBorder="1" applyAlignment="1">
      <alignment horizontal="center"/>
    </xf>
    <xf numFmtId="2" fontId="23" fillId="0" borderId="2" xfId="0" applyNumberFormat="1" applyFont="1" applyBorder="1"/>
    <xf numFmtId="2" fontId="23" fillId="0" borderId="10" xfId="0" applyNumberFormat="1" applyFont="1" applyBorder="1"/>
    <xf numFmtId="2" fontId="39" fillId="0" borderId="0" xfId="0" applyNumberFormat="1" applyFont="1" applyBorder="1"/>
    <xf numFmtId="2" fontId="23" fillId="0" borderId="0" xfId="0" applyNumberFormat="1" applyFont="1" applyBorder="1"/>
    <xf numFmtId="1" fontId="7" fillId="0" borderId="4" xfId="0" applyNumberFormat="1" applyFont="1" applyBorder="1"/>
    <xf numFmtId="1" fontId="7" fillId="0" borderId="0" xfId="0" applyNumberFormat="1" applyFont="1" applyBorder="1"/>
    <xf numFmtId="1" fontId="7" fillId="18" borderId="0" xfId="0" applyNumberFormat="1" applyFont="1" applyFill="1" applyBorder="1"/>
    <xf numFmtId="2" fontId="39" fillId="0" borderId="0" xfId="0" applyNumberFormat="1" applyFont="1" applyFill="1" applyBorder="1"/>
    <xf numFmtId="2" fontId="39" fillId="0" borderId="2" xfId="0" applyNumberFormat="1" applyFont="1" applyBorder="1"/>
    <xf numFmtId="2" fontId="39" fillId="0" borderId="2" xfId="0" applyNumberFormat="1" applyFont="1" applyFill="1" applyBorder="1"/>
    <xf numFmtId="2" fontId="7" fillId="0" borderId="0" xfId="0" applyNumberFormat="1" applyFont="1" applyBorder="1"/>
    <xf numFmtId="2" fontId="23" fillId="0" borderId="5" xfId="0" applyNumberFormat="1" applyFont="1" applyBorder="1"/>
    <xf numFmtId="0" fontId="6" fillId="0" borderId="15" xfId="0" applyFont="1" applyBorder="1"/>
    <xf numFmtId="0" fontId="6" fillId="0" borderId="13" xfId="0" applyFont="1" applyBorder="1"/>
    <xf numFmtId="3" fontId="11" fillId="0" borderId="14" xfId="0" applyNumberFormat="1" applyFont="1" applyBorder="1" applyAlignment="1">
      <alignment horizontal="center"/>
    </xf>
    <xf numFmtId="0" fontId="8" fillId="0" borderId="14" xfId="0" applyFont="1" applyBorder="1" applyAlignment="1">
      <alignment horizontal="center"/>
    </xf>
    <xf numFmtId="0" fontId="8" fillId="0" borderId="13" xfId="0" applyFont="1" applyBorder="1" applyAlignment="1">
      <alignment horizontal="center"/>
    </xf>
    <xf numFmtId="0" fontId="8" fillId="0" borderId="15" xfId="0" applyFont="1" applyBorder="1" applyAlignment="1">
      <alignment horizontal="center"/>
    </xf>
    <xf numFmtId="0" fontId="20" fillId="0" borderId="6" xfId="0" applyFont="1" applyBorder="1"/>
    <xf numFmtId="0" fontId="20" fillId="0" borderId="7" xfId="0" applyFont="1" applyBorder="1"/>
    <xf numFmtId="0" fontId="20" fillId="0" borderId="3" xfId="0" applyFont="1" applyBorder="1"/>
    <xf numFmtId="0" fontId="1" fillId="0" borderId="12" xfId="0" applyFont="1" applyBorder="1" applyAlignment="1">
      <alignment horizontal="center"/>
    </xf>
    <xf numFmtId="169" fontId="1" fillId="0" borderId="0" xfId="0" applyNumberFormat="1" applyFont="1" applyBorder="1"/>
    <xf numFmtId="170" fontId="1" fillId="0" borderId="0" xfId="0" applyNumberFormat="1" applyFont="1" applyBorder="1"/>
    <xf numFmtId="2" fontId="1" fillId="0" borderId="0" xfId="0" applyNumberFormat="1" applyFont="1" applyBorder="1"/>
    <xf numFmtId="0" fontId="1" fillId="0" borderId="2" xfId="0" applyFont="1" applyBorder="1"/>
    <xf numFmtId="0" fontId="1" fillId="0" borderId="14" xfId="0" applyFont="1" applyBorder="1" applyAlignment="1">
      <alignment horizontal="center"/>
    </xf>
    <xf numFmtId="2" fontId="1" fillId="0" borderId="4" xfId="0" applyNumberFormat="1" applyFont="1" applyBorder="1"/>
    <xf numFmtId="169" fontId="1" fillId="0" borderId="4" xfId="0" applyNumberFormat="1" applyFont="1" applyBorder="1"/>
    <xf numFmtId="167" fontId="1" fillId="0" borderId="0" xfId="0" applyNumberFormat="1" applyFont="1" applyBorder="1"/>
    <xf numFmtId="10" fontId="0" fillId="29" borderId="15" xfId="0" applyNumberFormat="1" applyFill="1" applyBorder="1"/>
    <xf numFmtId="0" fontId="7" fillId="12" borderId="5" xfId="0" applyFont="1" applyFill="1" applyBorder="1"/>
    <xf numFmtId="1" fontId="7" fillId="0" borderId="0" xfId="0" applyNumberFormat="1" applyFont="1" applyFill="1" applyBorder="1"/>
    <xf numFmtId="0" fontId="23" fillId="0" borderId="4" xfId="0" applyFont="1" applyFill="1" applyBorder="1"/>
    <xf numFmtId="0" fontId="23" fillId="0" borderId="0" xfId="0" applyFont="1" applyFill="1" applyBorder="1"/>
    <xf numFmtId="0" fontId="33" fillId="0" borderId="2" xfId="0" applyFont="1" applyFill="1" applyBorder="1"/>
    <xf numFmtId="3" fontId="8" fillId="0" borderId="13" xfId="0" applyNumberFormat="1" applyFont="1" applyBorder="1" applyAlignment="1">
      <alignment horizontal="center"/>
    </xf>
    <xf numFmtId="3" fontId="8" fillId="4" borderId="13" xfId="0" applyNumberFormat="1" applyFont="1" applyFill="1" applyBorder="1" applyAlignment="1">
      <alignment horizontal="center"/>
    </xf>
    <xf numFmtId="3" fontId="8" fillId="4" borderId="24" xfId="0" applyNumberFormat="1" applyFont="1" applyFill="1" applyBorder="1" applyAlignment="1">
      <alignment horizontal="center"/>
    </xf>
    <xf numFmtId="3" fontId="8" fillId="0" borderId="20" xfId="0" applyNumberFormat="1" applyFont="1" applyBorder="1" applyAlignment="1">
      <alignment horizontal="center"/>
    </xf>
    <xf numFmtId="0" fontId="20" fillId="0" borderId="0" xfId="0" applyFont="1" applyFill="1"/>
    <xf numFmtId="0" fontId="6" fillId="0" borderId="12" xfId="0" applyFont="1" applyBorder="1" applyAlignment="1">
      <alignment horizontal="center" vertical="center"/>
    </xf>
    <xf numFmtId="170" fontId="6" fillId="0" borderId="0" xfId="0" applyNumberFormat="1" applyFont="1" applyBorder="1" applyAlignment="1">
      <alignment vertical="center"/>
    </xf>
    <xf numFmtId="0" fontId="1" fillId="0" borderId="0" xfId="0" applyFont="1" applyBorder="1" applyAlignment="1">
      <alignment horizontal="right"/>
    </xf>
    <xf numFmtId="0" fontId="1" fillId="0" borderId="0" xfId="0" applyFont="1" applyBorder="1" applyAlignment="1">
      <alignment horizontal="left" vertical="center"/>
    </xf>
    <xf numFmtId="2" fontId="1" fillId="0" borderId="0" xfId="0" applyNumberFormat="1" applyFont="1" applyBorder="1" applyAlignment="1">
      <alignment vertical="center"/>
    </xf>
    <xf numFmtId="169" fontId="1" fillId="0" borderId="0" xfId="0" applyNumberFormat="1" applyFont="1" applyBorder="1" applyAlignment="1">
      <alignment vertical="center"/>
    </xf>
    <xf numFmtId="167" fontId="35" fillId="18" borderId="3" xfId="0" applyNumberFormat="1" applyFont="1" applyFill="1" applyBorder="1"/>
    <xf numFmtId="167" fontId="38" fillId="18" borderId="3" xfId="0" applyNumberFormat="1" applyFont="1" applyFill="1" applyBorder="1" applyAlignment="1">
      <alignment horizontal="right"/>
    </xf>
    <xf numFmtId="2" fontId="35" fillId="19" borderId="3" xfId="0" applyNumberFormat="1" applyFont="1" applyFill="1" applyBorder="1"/>
    <xf numFmtId="167" fontId="2" fillId="18" borderId="0" xfId="0" applyNumberFormat="1" applyFont="1" applyFill="1" applyBorder="1" applyAlignment="1">
      <alignment horizontal="center"/>
    </xf>
    <xf numFmtId="0" fontId="45" fillId="14" borderId="9" xfId="0" applyFont="1" applyFill="1" applyBorder="1" applyAlignment="1">
      <alignment horizontal="center"/>
    </xf>
    <xf numFmtId="0" fontId="45" fillId="14" borderId="7" xfId="0" applyFont="1" applyFill="1" applyBorder="1" applyAlignment="1">
      <alignment horizontal="center"/>
    </xf>
    <xf numFmtId="1" fontId="20" fillId="0" borderId="4" xfId="0" applyNumberFormat="1" applyFont="1" applyFill="1" applyBorder="1" applyAlignment="1">
      <alignment horizontal="center"/>
    </xf>
    <xf numFmtId="3" fontId="11" fillId="0" borderId="14" xfId="0" applyNumberFormat="1" applyFont="1" applyBorder="1" applyAlignment="1">
      <alignment horizontal="center"/>
    </xf>
    <xf numFmtId="3" fontId="8" fillId="0" borderId="13" xfId="0" applyNumberFormat="1" applyFont="1" applyBorder="1" applyAlignment="1">
      <alignment horizontal="center"/>
    </xf>
    <xf numFmtId="3" fontId="8" fillId="4" borderId="24" xfId="0" applyNumberFormat="1" applyFont="1" applyFill="1" applyBorder="1" applyAlignment="1">
      <alignment horizontal="center"/>
    </xf>
    <xf numFmtId="3" fontId="8" fillId="0" borderId="20" xfId="0" applyNumberFormat="1" applyFont="1" applyBorder="1" applyAlignment="1">
      <alignment horizontal="center"/>
    </xf>
    <xf numFmtId="0" fontId="8" fillId="0" borderId="14" xfId="0" applyFont="1" applyBorder="1" applyAlignment="1">
      <alignment horizontal="center"/>
    </xf>
    <xf numFmtId="0" fontId="8" fillId="0" borderId="13" xfId="0" applyFont="1" applyBorder="1" applyAlignment="1">
      <alignment horizontal="center"/>
    </xf>
    <xf numFmtId="0" fontId="8" fillId="0" borderId="15" xfId="0" applyFont="1" applyBorder="1" applyAlignment="1">
      <alignment horizontal="center"/>
    </xf>
    <xf numFmtId="167" fontId="6" fillId="18" borderId="0" xfId="0" applyNumberFormat="1" applyFont="1" applyFill="1" applyBorder="1" applyAlignment="1">
      <alignment horizontal="center"/>
    </xf>
    <xf numFmtId="167" fontId="6" fillId="18" borderId="4" xfId="0" applyNumberFormat="1" applyFont="1" applyFill="1" applyBorder="1" applyAlignment="1">
      <alignment horizontal="center"/>
    </xf>
    <xf numFmtId="0" fontId="20" fillId="0" borderId="3" xfId="0" applyFont="1" applyFill="1" applyBorder="1"/>
    <xf numFmtId="0" fontId="34" fillId="0" borderId="0" xfId="0" applyFont="1" applyFill="1"/>
    <xf numFmtId="0" fontId="39" fillId="0" borderId="0" xfId="0" applyFont="1" applyFill="1"/>
    <xf numFmtId="1" fontId="7" fillId="0" borderId="0" xfId="0" applyNumberFormat="1" applyFont="1" applyFill="1"/>
    <xf numFmtId="0" fontId="6" fillId="0" borderId="0" xfId="0" applyFont="1" applyBorder="1" applyAlignment="1">
      <alignment horizontal="right"/>
    </xf>
    <xf numFmtId="2" fontId="6" fillId="0" borderId="0" xfId="0" applyNumberFormat="1" applyFont="1" applyBorder="1" applyAlignment="1">
      <alignment vertical="center"/>
    </xf>
    <xf numFmtId="0" fontId="6" fillId="0" borderId="5" xfId="0" applyFont="1" applyBorder="1" applyAlignment="1">
      <alignment horizontal="right"/>
    </xf>
    <xf numFmtId="169" fontId="6" fillId="0" borderId="5" xfId="0" applyNumberFormat="1" applyFont="1" applyBorder="1"/>
    <xf numFmtId="169" fontId="6" fillId="0" borderId="5" xfId="0" applyNumberFormat="1" applyFont="1" applyBorder="1" applyAlignment="1">
      <alignment vertical="center"/>
    </xf>
    <xf numFmtId="0" fontId="1" fillId="0" borderId="2" xfId="0" applyFont="1" applyBorder="1" applyAlignment="1">
      <alignment horizontal="center"/>
    </xf>
    <xf numFmtId="10" fontId="28" fillId="0" borderId="0" xfId="0" applyNumberFormat="1" applyFont="1" applyBorder="1" applyAlignment="1">
      <alignment horizontal="center"/>
    </xf>
    <xf numFmtId="168" fontId="28" fillId="0" borderId="0" xfId="0" applyNumberFormat="1" applyFont="1" applyBorder="1" applyAlignment="1">
      <alignment horizontal="center"/>
    </xf>
    <xf numFmtId="0" fontId="1" fillId="0" borderId="15" xfId="0" applyFont="1" applyBorder="1" applyAlignment="1">
      <alignment vertical="center"/>
    </xf>
    <xf numFmtId="0" fontId="1" fillId="0" borderId="15" xfId="0" applyFont="1" applyBorder="1" applyAlignment="1">
      <alignment horizontal="center"/>
    </xf>
    <xf numFmtId="167" fontId="2" fillId="18" borderId="2" xfId="0" applyNumberFormat="1" applyFont="1" applyFill="1" applyBorder="1" applyAlignment="1">
      <alignment horizontal="center"/>
    </xf>
    <xf numFmtId="0" fontId="35" fillId="18" borderId="3" xfId="0" applyFont="1" applyFill="1" applyBorder="1"/>
    <xf numFmtId="2" fontId="38" fillId="19" borderId="3" xfId="0" applyNumberFormat="1" applyFont="1" applyFill="1" applyBorder="1"/>
    <xf numFmtId="0" fontId="20" fillId="0" borderId="3" xfId="0" applyFont="1" applyBorder="1" applyAlignment="1">
      <alignment horizontal="center" vertical="center"/>
    </xf>
    <xf numFmtId="0" fontId="42" fillId="18" borderId="12" xfId="0" applyFont="1" applyFill="1" applyBorder="1" applyAlignment="1">
      <alignment horizontal="center" vertical="center"/>
    </xf>
    <xf numFmtId="0" fontId="42" fillId="18" borderId="5" xfId="0" applyFont="1" applyFill="1" applyBorder="1" applyAlignment="1">
      <alignment horizontal="center" vertical="center"/>
    </xf>
    <xf numFmtId="0" fontId="16" fillId="21" borderId="0" xfId="0" applyFont="1" applyFill="1" applyAlignment="1">
      <alignment horizontal="center" wrapText="1"/>
    </xf>
    <xf numFmtId="2" fontId="38" fillId="18" borderId="3" xfId="0" applyNumberFormat="1" applyFont="1" applyFill="1" applyBorder="1"/>
    <xf numFmtId="167" fontId="38" fillId="18" borderId="3" xfId="0" applyNumberFormat="1" applyFont="1" applyFill="1" applyBorder="1"/>
    <xf numFmtId="0" fontId="8" fillId="0" borderId="14" xfId="0" applyFont="1" applyBorder="1" applyAlignment="1">
      <alignment horizontal="center"/>
    </xf>
    <xf numFmtId="0" fontId="8" fillId="0" borderId="13" xfId="0" applyFont="1" applyBorder="1" applyAlignment="1">
      <alignment horizontal="center"/>
    </xf>
    <xf numFmtId="3" fontId="11" fillId="0" borderId="14" xfId="0" applyNumberFormat="1" applyFont="1" applyBorder="1" applyAlignment="1">
      <alignment horizontal="center"/>
    </xf>
    <xf numFmtId="0" fontId="8" fillId="0" borderId="15" xfId="0" applyFont="1" applyBorder="1" applyAlignment="1">
      <alignment horizontal="center"/>
    </xf>
    <xf numFmtId="3" fontId="8" fillId="4" borderId="13" xfId="0" applyNumberFormat="1" applyFont="1" applyFill="1" applyBorder="1" applyAlignment="1">
      <alignment horizontal="center"/>
    </xf>
    <xf numFmtId="3" fontId="8" fillId="0" borderId="13" xfId="0" applyNumberFormat="1" applyFont="1" applyBorder="1" applyAlignment="1">
      <alignment horizontal="center"/>
    </xf>
    <xf numFmtId="3" fontId="8" fillId="4" borderId="24" xfId="0" applyNumberFormat="1" applyFont="1" applyFill="1" applyBorder="1" applyAlignment="1">
      <alignment horizontal="center"/>
    </xf>
    <xf numFmtId="3" fontId="8" fillId="0" borderId="20" xfId="0" applyNumberFormat="1" applyFont="1" applyBorder="1" applyAlignment="1">
      <alignment horizontal="center"/>
    </xf>
    <xf numFmtId="1" fontId="7" fillId="18" borderId="0" xfId="0" applyNumberFormat="1" applyFont="1" applyFill="1"/>
    <xf numFmtId="10" fontId="8" fillId="21" borderId="15" xfId="0" applyNumberFormat="1" applyFont="1" applyFill="1" applyBorder="1" applyAlignment="1">
      <alignment horizontal="center"/>
    </xf>
    <xf numFmtId="1" fontId="23" fillId="0" borderId="0" xfId="0" applyNumberFormat="1" applyFont="1" applyFill="1" applyBorder="1"/>
    <xf numFmtId="2" fontId="23" fillId="0" borderId="2" xfId="0" applyNumberFormat="1" applyFont="1" applyFill="1" applyBorder="1"/>
    <xf numFmtId="0" fontId="23" fillId="0" borderId="5" xfId="0" applyFont="1" applyFill="1" applyBorder="1"/>
    <xf numFmtId="0" fontId="23" fillId="0" borderId="10" xfId="0" applyFont="1" applyFill="1" applyBorder="1"/>
    <xf numFmtId="0" fontId="23" fillId="0" borderId="12" xfId="0" applyFont="1" applyFill="1" applyBorder="1"/>
    <xf numFmtId="0" fontId="23" fillId="0" borderId="8" xfId="0" applyFont="1" applyFill="1" applyBorder="1"/>
    <xf numFmtId="1" fontId="39" fillId="0" borderId="0" xfId="0" applyNumberFormat="1" applyFont="1" applyFill="1" applyBorder="1"/>
    <xf numFmtId="2" fontId="23" fillId="0" borderId="0" xfId="0" applyNumberFormat="1" applyFont="1" applyFill="1" applyBorder="1"/>
    <xf numFmtId="0" fontId="11" fillId="10" borderId="2" xfId="0" applyFont="1" applyFill="1" applyBorder="1" applyAlignment="1">
      <alignment horizontal="center"/>
    </xf>
    <xf numFmtId="0" fontId="42" fillId="11" borderId="0" xfId="0" applyFont="1" applyFill="1" applyAlignment="1">
      <alignment horizontal="center" wrapText="1"/>
    </xf>
    <xf numFmtId="0" fontId="42" fillId="11" borderId="12" xfId="0" applyFont="1" applyFill="1" applyBorder="1"/>
    <xf numFmtId="0" fontId="42" fillId="11" borderId="5" xfId="0" applyFont="1" applyFill="1" applyBorder="1" applyAlignment="1">
      <alignment horizontal="center"/>
    </xf>
    <xf numFmtId="0" fontId="42" fillId="11" borderId="12" xfId="0" applyFont="1" applyFill="1" applyBorder="1" applyAlignment="1">
      <alignment horizontal="center"/>
    </xf>
    <xf numFmtId="3" fontId="42" fillId="11" borderId="0" xfId="0" applyNumberFormat="1" applyFont="1" applyFill="1" applyBorder="1" applyAlignment="1">
      <alignment horizontal="center"/>
    </xf>
    <xf numFmtId="0" fontId="42" fillId="11" borderId="0" xfId="0" applyFont="1" applyFill="1" applyBorder="1" applyAlignment="1">
      <alignment horizontal="center"/>
    </xf>
    <xf numFmtId="168" fontId="42" fillId="11" borderId="0" xfId="0" applyNumberFormat="1" applyFont="1" applyFill="1" applyBorder="1" applyAlignment="1">
      <alignment horizontal="center"/>
    </xf>
    <xf numFmtId="0" fontId="42" fillId="11" borderId="12" xfId="0" applyFont="1" applyFill="1" applyBorder="1" applyAlignment="1">
      <alignment horizontal="center" vertical="center"/>
    </xf>
    <xf numFmtId="0" fontId="42" fillId="11" borderId="5" xfId="0" applyFont="1" applyFill="1" applyBorder="1" applyAlignment="1">
      <alignment horizontal="center" vertical="center"/>
    </xf>
    <xf numFmtId="1" fontId="42" fillId="11" borderId="0" xfId="0" applyNumberFormat="1" applyFont="1" applyFill="1" applyBorder="1" applyAlignment="1">
      <alignment horizontal="center"/>
    </xf>
    <xf numFmtId="167" fontId="42" fillId="11" borderId="0" xfId="0" applyNumberFormat="1" applyFont="1" applyFill="1" applyBorder="1" applyAlignment="1">
      <alignment horizontal="center"/>
    </xf>
    <xf numFmtId="1" fontId="7" fillId="19" borderId="0" xfId="0" applyNumberFormat="1" applyFont="1" applyFill="1" applyBorder="1"/>
    <xf numFmtId="1" fontId="34" fillId="18" borderId="0" xfId="0" applyNumberFormat="1" applyFont="1" applyFill="1" applyBorder="1"/>
    <xf numFmtId="0" fontId="16" fillId="0" borderId="0" xfId="0" applyFont="1" applyFill="1" applyAlignment="1">
      <alignment horizontal="center" wrapText="1"/>
    </xf>
    <xf numFmtId="1" fontId="16" fillId="2" borderId="0" xfId="0" applyNumberFormat="1" applyFont="1" applyFill="1" applyBorder="1" applyAlignment="1">
      <alignment horizontal="center"/>
    </xf>
    <xf numFmtId="0" fontId="20" fillId="2" borderId="3" xfId="0" applyFont="1" applyFill="1" applyBorder="1" applyAlignment="1">
      <alignment horizontal="center" vertical="center"/>
    </xf>
    <xf numFmtId="0" fontId="16" fillId="2" borderId="7" xfId="0" applyFont="1" applyFill="1" applyBorder="1" applyAlignment="1">
      <alignment horizontal="center" vertical="center"/>
    </xf>
    <xf numFmtId="0" fontId="20" fillId="2" borderId="9" xfId="0" applyFont="1" applyFill="1" applyBorder="1" applyAlignment="1">
      <alignment horizontal="center"/>
    </xf>
    <xf numFmtId="0" fontId="20" fillId="2" borderId="7" xfId="0" applyFont="1" applyFill="1" applyBorder="1" applyAlignment="1">
      <alignment horizontal="center"/>
    </xf>
    <xf numFmtId="0" fontId="20" fillId="2" borderId="3" xfId="0" applyFont="1" applyFill="1" applyBorder="1" applyAlignment="1">
      <alignment horizontal="center"/>
    </xf>
    <xf numFmtId="3" fontId="8" fillId="4" borderId="24" xfId="0" applyNumberFormat="1" applyFont="1" applyFill="1" applyBorder="1" applyAlignment="1">
      <alignment horizontal="center"/>
    </xf>
    <xf numFmtId="3" fontId="8" fillId="0" borderId="20" xfId="0" applyNumberFormat="1" applyFont="1" applyBorder="1" applyAlignment="1">
      <alignment horizontal="center"/>
    </xf>
    <xf numFmtId="0" fontId="8" fillId="0" borderId="14" xfId="0" applyFont="1" applyBorder="1" applyAlignment="1">
      <alignment horizontal="center"/>
    </xf>
    <xf numFmtId="0" fontId="8" fillId="0" borderId="13" xfId="0" applyFont="1" applyBorder="1" applyAlignment="1">
      <alignment horizontal="center"/>
    </xf>
    <xf numFmtId="0" fontId="8" fillId="0" borderId="15" xfId="0" applyFont="1" applyBorder="1" applyAlignment="1">
      <alignment horizontal="center"/>
    </xf>
    <xf numFmtId="3" fontId="11" fillId="0" borderId="14" xfId="0" applyNumberFormat="1" applyFont="1" applyBorder="1" applyAlignment="1">
      <alignment horizontal="center"/>
    </xf>
    <xf numFmtId="0" fontId="16" fillId="0" borderId="2" xfId="0" applyFont="1" applyBorder="1" applyAlignment="1">
      <alignment horizontal="center"/>
    </xf>
    <xf numFmtId="0" fontId="20" fillId="0" borderId="4" xfId="0" applyFont="1" applyFill="1" applyBorder="1"/>
    <xf numFmtId="0" fontId="20" fillId="18" borderId="0" xfId="0" applyFont="1" applyFill="1"/>
    <xf numFmtId="2" fontId="16" fillId="0" borderId="0" xfId="0" applyNumberFormat="1" applyFont="1" applyBorder="1" applyAlignment="1">
      <alignment horizontal="right"/>
    </xf>
    <xf numFmtId="169" fontId="20" fillId="0" borderId="0" xfId="0" applyNumberFormat="1" applyFont="1" applyFill="1" applyBorder="1"/>
    <xf numFmtId="3" fontId="16" fillId="0" borderId="0" xfId="0" applyNumberFormat="1" applyFont="1" applyBorder="1" applyAlignment="1">
      <alignment horizontal="right"/>
    </xf>
    <xf numFmtId="0" fontId="20" fillId="0" borderId="1" xfId="0" applyFont="1" applyBorder="1" applyAlignment="1">
      <alignment horizontal="center"/>
    </xf>
    <xf numFmtId="0" fontId="20" fillId="0" borderId="14" xfId="0" applyFont="1" applyBorder="1" applyAlignment="1">
      <alignment horizontal="right"/>
    </xf>
    <xf numFmtId="0" fontId="20" fillId="0" borderId="1" xfId="0" applyFont="1" applyFill="1" applyBorder="1" applyAlignment="1">
      <alignment horizontal="center"/>
    </xf>
    <xf numFmtId="0" fontId="20" fillId="0" borderId="7" xfId="0" applyFont="1" applyFill="1" applyBorder="1" applyAlignment="1">
      <alignment horizontal="center"/>
    </xf>
    <xf numFmtId="3" fontId="11" fillId="0" borderId="12" xfId="0" applyNumberFormat="1" applyFont="1" applyBorder="1" applyAlignment="1">
      <alignment horizontal="center"/>
    </xf>
    <xf numFmtId="10" fontId="8" fillId="0" borderId="93" xfId="0" applyNumberFormat="1" applyFont="1" applyFill="1" applyBorder="1" applyAlignment="1">
      <alignment horizontal="center"/>
    </xf>
    <xf numFmtId="0" fontId="20" fillId="0" borderId="0" xfId="0" applyFont="1" applyFill="1" applyBorder="1"/>
    <xf numFmtId="0" fontId="16" fillId="2" borderId="3" xfId="0" applyFont="1" applyFill="1" applyBorder="1" applyAlignment="1">
      <alignment horizontal="center" vertical="center"/>
    </xf>
    <xf numFmtId="0" fontId="20" fillId="0" borderId="9" xfId="0" applyFont="1" applyBorder="1" applyAlignment="1">
      <alignment horizontal="center" vertical="center"/>
    </xf>
    <xf numFmtId="0" fontId="20" fillId="0" borderId="7" xfId="0" applyFont="1" applyBorder="1" applyAlignment="1">
      <alignment horizontal="center" vertical="center"/>
    </xf>
    <xf numFmtId="0" fontId="42" fillId="11" borderId="0" xfId="0" applyFont="1" applyFill="1" applyBorder="1" applyAlignment="1">
      <alignment horizontal="center" vertical="center"/>
    </xf>
    <xf numFmtId="0" fontId="42" fillId="18" borderId="0" xfId="0" applyFont="1" applyFill="1" applyBorder="1" applyAlignment="1">
      <alignment horizontal="center" vertical="center"/>
    </xf>
    <xf numFmtId="0" fontId="20" fillId="0" borderId="0" xfId="0" applyFont="1" applyAlignment="1">
      <alignment horizontal="right" vertical="center"/>
    </xf>
    <xf numFmtId="0" fontId="8" fillId="0" borderId="0" xfId="0" applyFont="1" applyBorder="1" applyAlignment="1">
      <alignment horizontal="center" vertical="center" wrapText="1"/>
    </xf>
    <xf numFmtId="0" fontId="8" fillId="0" borderId="5" xfId="0" applyFont="1" applyBorder="1" applyAlignment="1">
      <alignment horizontal="center" vertical="center" wrapText="1"/>
    </xf>
    <xf numFmtId="0" fontId="21" fillId="0" borderId="0" xfId="0" applyFont="1" applyAlignment="1">
      <alignment horizontal="left"/>
    </xf>
    <xf numFmtId="0" fontId="20" fillId="0" borderId="2" xfId="0" applyFont="1" applyBorder="1" applyAlignment="1">
      <alignment horizontal="center"/>
    </xf>
    <xf numFmtId="0" fontId="20" fillId="0" borderId="14" xfId="0" applyFont="1" applyBorder="1" applyAlignment="1">
      <alignment horizontal="center"/>
    </xf>
    <xf numFmtId="0" fontId="58" fillId="0" borderId="9" xfId="0" applyFont="1" applyFill="1" applyBorder="1" applyAlignment="1">
      <alignment horizontal="center" vertical="center"/>
    </xf>
    <xf numFmtId="0" fontId="58" fillId="0" borderId="3" xfId="0" applyFont="1" applyFill="1" applyBorder="1" applyAlignment="1">
      <alignment horizontal="center" vertical="center"/>
    </xf>
    <xf numFmtId="170" fontId="58" fillId="0" borderId="7" xfId="0" applyNumberFormat="1" applyFont="1" applyFill="1" applyBorder="1" applyAlignment="1">
      <alignment horizontal="center" vertical="center"/>
    </xf>
    <xf numFmtId="2" fontId="58" fillId="0" borderId="3" xfId="0" applyNumberFormat="1" applyFont="1" applyFill="1" applyBorder="1" applyAlignment="1">
      <alignment horizontal="center" vertical="center"/>
    </xf>
    <xf numFmtId="171" fontId="20" fillId="2" borderId="7" xfId="0" applyNumberFormat="1" applyFont="1" applyFill="1" applyBorder="1" applyAlignment="1">
      <alignment horizontal="center"/>
    </xf>
    <xf numFmtId="2" fontId="20" fillId="2" borderId="4" xfId="0" applyNumberFormat="1" applyFont="1" applyFill="1" applyBorder="1" applyAlignment="1">
      <alignment horizontal="center"/>
    </xf>
    <xf numFmtId="3" fontId="58" fillId="0" borderId="3" xfId="0" applyNumberFormat="1" applyFont="1" applyFill="1" applyBorder="1" applyAlignment="1">
      <alignment horizontal="center" vertical="center"/>
    </xf>
    <xf numFmtId="2" fontId="20" fillId="0" borderId="0" xfId="0" applyNumberFormat="1" applyFont="1"/>
    <xf numFmtId="174" fontId="20" fillId="0" borderId="0" xfId="0" applyNumberFormat="1" applyFont="1"/>
    <xf numFmtId="3" fontId="47" fillId="0" borderId="90" xfId="0" applyNumberFormat="1" applyFont="1" applyFill="1" applyBorder="1" applyAlignment="1">
      <alignment horizontal="center"/>
    </xf>
    <xf numFmtId="2" fontId="47" fillId="0" borderId="90" xfId="0" applyNumberFormat="1" applyFont="1" applyFill="1" applyBorder="1" applyAlignment="1">
      <alignment horizontal="center"/>
    </xf>
    <xf numFmtId="3" fontId="1" fillId="2" borderId="94" xfId="0" applyNumberFormat="1" applyFont="1" applyFill="1" applyBorder="1" applyAlignment="1">
      <alignment horizontal="center"/>
    </xf>
    <xf numFmtId="167" fontId="8" fillId="2" borderId="95" xfId="0" applyNumberFormat="1" applyFont="1" applyFill="1" applyBorder="1" applyAlignment="1">
      <alignment horizontal="center"/>
    </xf>
    <xf numFmtId="167" fontId="34" fillId="2" borderId="95" xfId="0" applyNumberFormat="1" applyFont="1" applyFill="1" applyBorder="1" applyAlignment="1">
      <alignment horizontal="center"/>
    </xf>
    <xf numFmtId="0" fontId="39" fillId="0" borderId="94" xfId="0" applyFont="1" applyFill="1" applyBorder="1"/>
    <xf numFmtId="0" fontId="39" fillId="0" borderId="90" xfId="0" applyFont="1" applyFill="1" applyBorder="1"/>
    <xf numFmtId="168" fontId="39" fillId="0" borderId="90" xfId="0" applyNumberFormat="1" applyFont="1" applyFill="1" applyBorder="1"/>
    <xf numFmtId="0" fontId="23" fillId="0" borderId="90" xfId="0" applyFont="1" applyFill="1" applyBorder="1"/>
    <xf numFmtId="0" fontId="33" fillId="0" borderId="90" xfId="0" applyFont="1" applyFill="1" applyBorder="1"/>
    <xf numFmtId="0" fontId="23" fillId="0" borderId="96" xfId="0" applyFont="1" applyBorder="1"/>
    <xf numFmtId="0" fontId="23" fillId="0" borderId="90" xfId="0" applyFont="1" applyBorder="1"/>
    <xf numFmtId="2" fontId="23" fillId="0" borderId="90" xfId="0" applyNumberFormat="1" applyFont="1" applyBorder="1"/>
    <xf numFmtId="2" fontId="23" fillId="0" borderId="97" xfId="0" applyNumberFormat="1" applyFont="1" applyBorder="1"/>
    <xf numFmtId="168" fontId="39" fillId="0" borderId="96" xfId="0" applyNumberFormat="1" applyFont="1" applyFill="1" applyBorder="1"/>
    <xf numFmtId="0" fontId="47" fillId="18" borderId="0" xfId="0" applyFont="1" applyFill="1" applyBorder="1" applyAlignment="1">
      <alignment vertical="center"/>
    </xf>
    <xf numFmtId="0" fontId="47" fillId="18" borderId="0" xfId="0" applyFont="1" applyFill="1" applyBorder="1"/>
    <xf numFmtId="0" fontId="59" fillId="18" borderId="0" xfId="4" applyFill="1" applyBorder="1" applyAlignment="1">
      <alignment horizontal="right"/>
    </xf>
    <xf numFmtId="3" fontId="11" fillId="0" borderId="14" xfId="0" applyNumberFormat="1" applyFont="1" applyBorder="1" applyAlignment="1">
      <alignment horizontal="center"/>
    </xf>
    <xf numFmtId="0" fontId="20" fillId="0" borderId="9" xfId="0" applyFont="1" applyFill="1" applyBorder="1" applyAlignment="1">
      <alignment horizontal="center"/>
    </xf>
    <xf numFmtId="0" fontId="20" fillId="2" borderId="6" xfId="0" applyFont="1" applyFill="1" applyBorder="1" applyAlignment="1">
      <alignment horizontal="center"/>
    </xf>
    <xf numFmtId="0" fontId="20" fillId="2" borderId="92" xfId="0" applyFont="1" applyFill="1" applyBorder="1" applyAlignment="1">
      <alignment horizontal="center"/>
    </xf>
    <xf numFmtId="0" fontId="16" fillId="2" borderId="9" xfId="0" applyFont="1" applyFill="1" applyBorder="1" applyAlignment="1">
      <alignment horizontal="center" vertical="center"/>
    </xf>
    <xf numFmtId="2" fontId="20" fillId="2" borderId="3" xfId="0" applyNumberFormat="1" applyFont="1" applyFill="1" applyBorder="1" applyAlignment="1">
      <alignment horizontal="center"/>
    </xf>
    <xf numFmtId="0" fontId="16" fillId="0" borderId="9" xfId="0" applyFont="1" applyBorder="1" applyAlignment="1">
      <alignment horizontal="center"/>
    </xf>
    <xf numFmtId="0" fontId="20" fillId="0" borderId="11" xfId="0" applyFont="1" applyBorder="1" applyAlignment="1">
      <alignment horizontal="center" vertical="center"/>
    </xf>
    <xf numFmtId="171" fontId="20" fillId="2" borderId="4" xfId="0" applyNumberFormat="1" applyFont="1" applyFill="1" applyBorder="1" applyAlignment="1">
      <alignment horizontal="center"/>
    </xf>
    <xf numFmtId="171" fontId="20" fillId="2" borderId="92" xfId="0" applyNumberFormat="1" applyFont="1" applyFill="1" applyBorder="1" applyAlignment="1">
      <alignment horizontal="center"/>
    </xf>
    <xf numFmtId="0" fontId="8" fillId="0" borderId="14" xfId="0" applyFont="1" applyBorder="1" applyAlignment="1">
      <alignment horizontal="centerContinuous"/>
    </xf>
    <xf numFmtId="0" fontId="8" fillId="0" borderId="13" xfId="0" applyFont="1" applyBorder="1" applyAlignment="1">
      <alignment horizontal="centerContinuous"/>
    </xf>
    <xf numFmtId="3" fontId="8" fillId="4" borderId="13" xfId="0" applyNumberFormat="1" applyFont="1" applyFill="1" applyBorder="1" applyAlignment="1">
      <alignment horizontal="center"/>
    </xf>
    <xf numFmtId="3" fontId="8" fillId="0" borderId="13" xfId="0" applyNumberFormat="1" applyFont="1" applyBorder="1" applyAlignment="1">
      <alignment horizontal="center"/>
    </xf>
    <xf numFmtId="3" fontId="8" fillId="0" borderId="20" xfId="0" applyNumberFormat="1" applyFont="1" applyBorder="1" applyAlignment="1">
      <alignment horizontal="center"/>
    </xf>
    <xf numFmtId="2" fontId="35" fillId="19" borderId="7" xfId="0" applyNumberFormat="1" applyFont="1" applyFill="1" applyBorder="1"/>
    <xf numFmtId="0" fontId="0" fillId="0" borderId="5" xfId="0" applyBorder="1"/>
    <xf numFmtId="3" fontId="0" fillId="0" borderId="0" xfId="0" applyNumberFormat="1"/>
    <xf numFmtId="3" fontId="0" fillId="0" borderId="8" xfId="0" applyNumberFormat="1" applyBorder="1"/>
    <xf numFmtId="0" fontId="0" fillId="0" borderId="10" xfId="0" applyBorder="1"/>
    <xf numFmtId="3" fontId="0" fillId="0" borderId="2" xfId="0" applyNumberFormat="1" applyBorder="1"/>
    <xf numFmtId="3" fontId="0" fillId="0" borderId="13" xfId="0" applyNumberFormat="1" applyBorder="1"/>
    <xf numFmtId="1" fontId="7" fillId="18" borderId="5" xfId="0" applyNumberFormat="1" applyFont="1" applyFill="1" applyBorder="1"/>
    <xf numFmtId="3" fontId="47" fillId="18" borderId="2" xfId="0" applyNumberFormat="1" applyFont="1" applyFill="1" applyBorder="1" applyAlignment="1">
      <alignment horizontal="center"/>
    </xf>
    <xf numFmtId="0" fontId="8" fillId="0" borderId="0" xfId="0" applyFont="1" applyBorder="1" applyAlignment="1">
      <alignment horizontal="center" vertical="center" wrapText="1"/>
    </xf>
    <xf numFmtId="0" fontId="8" fillId="0" borderId="5" xfId="0" applyFont="1" applyBorder="1" applyAlignment="1">
      <alignment horizontal="center" vertical="center" wrapText="1"/>
    </xf>
    <xf numFmtId="3" fontId="16" fillId="18" borderId="0" xfId="0" applyNumberFormat="1" applyFont="1" applyFill="1" applyBorder="1" applyAlignment="1">
      <alignment horizontal="right"/>
    </xf>
    <xf numFmtId="2" fontId="16" fillId="18" borderId="0" xfId="0" applyNumberFormat="1" applyFont="1" applyFill="1" applyBorder="1" applyAlignment="1">
      <alignment horizontal="right"/>
    </xf>
    <xf numFmtId="0" fontId="16" fillId="0" borderId="6" xfId="0" applyFont="1" applyFill="1" applyBorder="1" applyAlignment="1">
      <alignment horizontal="center" vertical="center"/>
    </xf>
    <xf numFmtId="0" fontId="16" fillId="0" borderId="4" xfId="0" applyFont="1" applyFill="1" applyBorder="1" applyAlignment="1">
      <alignment horizontal="center" vertical="center"/>
    </xf>
    <xf numFmtId="0" fontId="20" fillId="0" borderId="4" xfId="0" applyFont="1" applyFill="1" applyBorder="1" applyAlignment="1">
      <alignment horizontal="center"/>
    </xf>
    <xf numFmtId="0" fontId="20" fillId="0" borderId="4" xfId="0" applyFont="1" applyFill="1" applyBorder="1" applyAlignment="1">
      <alignment horizontal="center" vertical="center"/>
    </xf>
    <xf numFmtId="171" fontId="20" fillId="0" borderId="4" xfId="0" applyNumberFormat="1" applyFont="1" applyFill="1" applyBorder="1" applyAlignment="1">
      <alignment horizontal="center"/>
    </xf>
    <xf numFmtId="171" fontId="20" fillId="0" borderId="92" xfId="0" applyNumberFormat="1" applyFont="1" applyFill="1" applyBorder="1" applyAlignment="1">
      <alignment horizontal="center"/>
    </xf>
    <xf numFmtId="171" fontId="20" fillId="0" borderId="6" xfId="0" applyNumberFormat="1" applyFont="1" applyFill="1" applyBorder="1" applyAlignment="1">
      <alignment horizontal="center"/>
    </xf>
    <xf numFmtId="0" fontId="16" fillId="0" borderId="12" xfId="0" applyFont="1" applyFill="1" applyBorder="1" applyAlignment="1">
      <alignment horizontal="center" vertical="center"/>
    </xf>
    <xf numFmtId="0" fontId="16" fillId="0" borderId="5" xfId="0" applyFont="1" applyFill="1" applyBorder="1" applyAlignment="1">
      <alignment horizontal="center" vertical="center"/>
    </xf>
    <xf numFmtId="0" fontId="16" fillId="0" borderId="0" xfId="0" applyFont="1" applyFill="1" applyBorder="1" applyAlignment="1">
      <alignment horizontal="center" vertical="center"/>
    </xf>
    <xf numFmtId="1" fontId="16" fillId="0" borderId="0" xfId="0" applyNumberFormat="1" applyFont="1" applyFill="1" applyBorder="1" applyAlignment="1">
      <alignment horizontal="center"/>
    </xf>
    <xf numFmtId="167" fontId="16" fillId="0" borderId="0" xfId="0" applyNumberFormat="1" applyFont="1" applyFill="1" applyBorder="1" applyAlignment="1">
      <alignment horizontal="center"/>
    </xf>
    <xf numFmtId="170" fontId="16" fillId="0" borderId="0" xfId="0" applyNumberFormat="1" applyFont="1" applyFill="1" applyBorder="1" applyAlignment="1">
      <alignment horizontal="center"/>
    </xf>
    <xf numFmtId="170" fontId="16" fillId="0" borderId="5" xfId="0" applyNumberFormat="1" applyFont="1" applyFill="1" applyBorder="1" applyAlignment="1">
      <alignment horizontal="center"/>
    </xf>
    <xf numFmtId="0" fontId="1" fillId="0" borderId="0" xfId="0" applyFont="1" applyFill="1" applyBorder="1" applyAlignment="1">
      <alignment horizontal="center" vertical="center"/>
    </xf>
    <xf numFmtId="3" fontId="16" fillId="0" borderId="90" xfId="0" applyNumberFormat="1" applyFont="1" applyFill="1" applyBorder="1" applyAlignment="1">
      <alignment horizontal="center"/>
    </xf>
    <xf numFmtId="170" fontId="16" fillId="5" borderId="0" xfId="0" applyNumberFormat="1" applyFont="1" applyFill="1" applyBorder="1" applyAlignment="1">
      <alignment horizontal="center"/>
    </xf>
    <xf numFmtId="170" fontId="16" fillId="5" borderId="5" xfId="0" applyNumberFormat="1" applyFont="1" applyFill="1" applyBorder="1" applyAlignment="1">
      <alignment horizontal="center"/>
    </xf>
    <xf numFmtId="0" fontId="16" fillId="0" borderId="7" xfId="0" applyFont="1" applyFill="1" applyBorder="1" applyAlignment="1">
      <alignment horizontal="center" vertical="center"/>
    </xf>
    <xf numFmtId="2" fontId="20" fillId="0" borderId="4" xfId="0" applyNumberFormat="1" applyFont="1" applyFill="1" applyBorder="1" applyAlignment="1">
      <alignment horizontal="center"/>
    </xf>
    <xf numFmtId="170" fontId="20" fillId="0" borderId="92" xfId="0" applyNumberFormat="1" applyFont="1" applyFill="1" applyBorder="1" applyAlignment="1">
      <alignment horizontal="center"/>
    </xf>
    <xf numFmtId="170" fontId="20" fillId="0" borderId="6" xfId="0" applyNumberFormat="1" applyFont="1" applyFill="1" applyBorder="1" applyAlignment="1">
      <alignment horizontal="center"/>
    </xf>
    <xf numFmtId="2" fontId="20" fillId="30" borderId="4" xfId="0" applyNumberFormat="1" applyFont="1" applyFill="1" applyBorder="1" applyAlignment="1">
      <alignment horizontal="center"/>
    </xf>
    <xf numFmtId="2" fontId="20" fillId="30" borderId="0" xfId="0" applyNumberFormat="1" applyFont="1" applyFill="1" applyBorder="1" applyAlignment="1">
      <alignment horizontal="center"/>
    </xf>
    <xf numFmtId="175" fontId="20" fillId="0" borderId="6" xfId="0" applyNumberFormat="1" applyFont="1" applyFill="1" applyBorder="1" applyAlignment="1">
      <alignment horizontal="center"/>
    </xf>
    <xf numFmtId="167" fontId="60" fillId="0" borderId="0" xfId="0" applyNumberFormat="1" applyFont="1" applyAlignment="1">
      <alignment horizontal="center"/>
    </xf>
    <xf numFmtId="167" fontId="60" fillId="0" borderId="5" xfId="0" applyNumberFormat="1" applyFont="1" applyBorder="1" applyAlignment="1">
      <alignment horizontal="center"/>
    </xf>
    <xf numFmtId="0" fontId="58" fillId="0" borderId="4" xfId="0" applyFont="1" applyFill="1" applyBorder="1" applyAlignment="1">
      <alignment horizontal="center" vertical="center"/>
    </xf>
    <xf numFmtId="0" fontId="58" fillId="0" borderId="0" xfId="0" applyFont="1" applyFill="1" applyBorder="1" applyAlignment="1">
      <alignment horizontal="center" vertical="center"/>
    </xf>
    <xf numFmtId="3" fontId="58" fillId="0" borderId="4" xfId="0" applyNumberFormat="1" applyFont="1" applyFill="1" applyBorder="1" applyAlignment="1">
      <alignment horizontal="center" vertical="center"/>
    </xf>
    <xf numFmtId="2" fontId="58" fillId="0" borderId="4" xfId="0" applyNumberFormat="1" applyFont="1" applyFill="1" applyBorder="1" applyAlignment="1">
      <alignment horizontal="center" vertical="center"/>
    </xf>
    <xf numFmtId="2" fontId="58" fillId="0" borderId="91" xfId="0" applyNumberFormat="1" applyFont="1" applyFill="1" applyBorder="1" applyAlignment="1">
      <alignment horizontal="center" vertical="center"/>
    </xf>
    <xf numFmtId="170" fontId="58" fillId="0" borderId="6" xfId="0" applyNumberFormat="1" applyFont="1" applyFill="1" applyBorder="1" applyAlignment="1">
      <alignment horizontal="center" vertical="center"/>
    </xf>
    <xf numFmtId="0" fontId="20" fillId="0" borderId="3" xfId="0" applyFont="1" applyFill="1" applyBorder="1" applyAlignment="1">
      <alignment horizontal="center"/>
    </xf>
    <xf numFmtId="0" fontId="20" fillId="0" borderId="11" xfId="0" applyFont="1" applyFill="1" applyBorder="1" applyAlignment="1">
      <alignment horizontal="center"/>
    </xf>
    <xf numFmtId="0" fontId="20" fillId="0" borderId="6" xfId="0" applyFont="1" applyFill="1" applyBorder="1" applyAlignment="1">
      <alignment horizontal="center"/>
    </xf>
    <xf numFmtId="0" fontId="20" fillId="0" borderId="92" xfId="0" applyFont="1" applyFill="1" applyBorder="1" applyAlignment="1">
      <alignment horizontal="center"/>
    </xf>
    <xf numFmtId="2" fontId="1" fillId="0" borderId="0" xfId="0" applyNumberFormat="1" applyFont="1" applyFill="1" applyBorder="1" applyAlignment="1">
      <alignment horizontal="right"/>
    </xf>
    <xf numFmtId="0" fontId="6" fillId="0" borderId="0" xfId="0" applyFont="1" applyFill="1" applyBorder="1"/>
    <xf numFmtId="2" fontId="1" fillId="0" borderId="92" xfId="0" applyNumberFormat="1" applyFont="1" applyFill="1" applyBorder="1" applyAlignment="1">
      <alignment horizontal="right"/>
    </xf>
    <xf numFmtId="0" fontId="8" fillId="18" borderId="0" xfId="0" applyFont="1" applyFill="1" applyBorder="1"/>
    <xf numFmtId="0" fontId="7" fillId="0" borderId="5" xfId="0" applyFont="1" applyFill="1" applyBorder="1"/>
    <xf numFmtId="0" fontId="47" fillId="0" borderId="14" xfId="0" applyFont="1" applyFill="1" applyBorder="1" applyAlignment="1">
      <alignment horizontal="center"/>
    </xf>
    <xf numFmtId="0" fontId="47" fillId="0" borderId="15" xfId="0" applyFont="1" applyFill="1" applyBorder="1" applyAlignment="1">
      <alignment horizontal="center"/>
    </xf>
    <xf numFmtId="0" fontId="47" fillId="0" borderId="13" xfId="0" applyFont="1" applyFill="1" applyBorder="1" applyAlignment="1">
      <alignment horizontal="center"/>
    </xf>
    <xf numFmtId="0" fontId="8" fillId="0" borderId="0" xfId="0" applyFont="1" applyBorder="1" applyAlignment="1">
      <alignment horizontal="center" vertical="center" wrapText="1"/>
    </xf>
    <xf numFmtId="0" fontId="8" fillId="0" borderId="5" xfId="0" applyFont="1" applyBorder="1" applyAlignment="1">
      <alignment horizontal="center" vertical="center" wrapText="1"/>
    </xf>
    <xf numFmtId="0" fontId="8" fillId="0" borderId="9" xfId="0" applyFont="1" applyBorder="1" applyAlignment="1">
      <alignment horizontal="center" vertical="center" wrapText="1"/>
    </xf>
    <xf numFmtId="0" fontId="8" fillId="0" borderId="3" xfId="0" applyFont="1" applyBorder="1" applyAlignment="1">
      <alignment horizontal="center" vertical="center" wrapText="1"/>
    </xf>
    <xf numFmtId="0" fontId="8" fillId="0" borderId="7" xfId="0" applyFont="1" applyBorder="1" applyAlignment="1">
      <alignment horizontal="center" vertical="center" wrapText="1"/>
    </xf>
    <xf numFmtId="3" fontId="11" fillId="0" borderId="14" xfId="0" applyNumberFormat="1" applyFont="1" applyBorder="1" applyAlignment="1">
      <alignment horizontal="center"/>
    </xf>
    <xf numFmtId="0" fontId="11" fillId="0" borderId="13" xfId="0" applyFont="1" applyBorder="1" applyAlignment="1">
      <alignment horizontal="center"/>
    </xf>
    <xf numFmtId="0" fontId="8" fillId="0" borderId="14" xfId="0" applyFont="1" applyBorder="1" applyAlignment="1">
      <alignment horizontal="center"/>
    </xf>
    <xf numFmtId="0" fontId="8" fillId="0" borderId="13" xfId="0" applyFont="1" applyBorder="1" applyAlignment="1">
      <alignment horizontal="center"/>
    </xf>
    <xf numFmtId="0" fontId="0" fillId="0" borderId="13" xfId="0" applyBorder="1" applyAlignment="1">
      <alignment horizontal="center"/>
    </xf>
    <xf numFmtId="0" fontId="11" fillId="0" borderId="15" xfId="0" applyFont="1" applyBorder="1" applyAlignment="1">
      <alignment horizontal="center"/>
    </xf>
    <xf numFmtId="3" fontId="11" fillId="0" borderId="5" xfId="0" applyNumberFormat="1" applyFont="1" applyBorder="1" applyAlignment="1">
      <alignment horizontal="center"/>
    </xf>
    <xf numFmtId="0" fontId="11" fillId="0" borderId="10" xfId="0" applyFont="1" applyBorder="1" applyAlignment="1">
      <alignment horizontal="center"/>
    </xf>
    <xf numFmtId="0" fontId="8" fillId="0" borderId="11" xfId="0" applyFont="1" applyBorder="1" applyAlignment="1">
      <alignment horizontal="center"/>
    </xf>
    <xf numFmtId="0" fontId="8" fillId="0" borderId="8" xfId="0" applyFont="1" applyBorder="1" applyAlignment="1">
      <alignment horizontal="center"/>
    </xf>
    <xf numFmtId="0" fontId="8" fillId="0" borderId="12" xfId="0" applyFont="1" applyBorder="1" applyAlignment="1">
      <alignment horizontal="center"/>
    </xf>
    <xf numFmtId="0" fontId="8" fillId="0" borderId="0" xfId="0" applyFont="1" applyBorder="1" applyAlignment="1">
      <alignment horizontal="center"/>
    </xf>
    <xf numFmtId="0" fontId="8" fillId="0" borderId="29" xfId="0" applyFont="1" applyBorder="1" applyAlignment="1">
      <alignment horizontal="center"/>
    </xf>
    <xf numFmtId="0" fontId="8" fillId="0" borderId="2" xfId="0" applyFont="1" applyBorder="1" applyAlignment="1">
      <alignment horizontal="center"/>
    </xf>
    <xf numFmtId="0" fontId="11" fillId="0" borderId="5" xfId="0" applyFont="1" applyBorder="1" applyAlignment="1">
      <alignment horizontal="center"/>
    </xf>
    <xf numFmtId="0" fontId="11" fillId="0" borderId="39" xfId="0" applyFont="1" applyBorder="1" applyAlignment="1">
      <alignment horizontal="center"/>
    </xf>
    <xf numFmtId="0" fontId="11" fillId="0" borderId="6" xfId="0" applyFont="1" applyBorder="1" applyAlignment="1">
      <alignment horizontal="center"/>
    </xf>
    <xf numFmtId="0" fontId="8" fillId="0" borderId="4" xfId="0" applyFont="1" applyBorder="1" applyAlignment="1">
      <alignment horizontal="center"/>
    </xf>
    <xf numFmtId="0" fontId="8" fillId="0" borderId="15" xfId="0" applyFont="1" applyBorder="1" applyAlignment="1">
      <alignment horizontal="center"/>
    </xf>
    <xf numFmtId="3" fontId="8" fillId="4" borderId="14" xfId="0" applyNumberFormat="1" applyFont="1" applyFill="1" applyBorder="1" applyAlignment="1">
      <alignment horizontal="center"/>
    </xf>
    <xf numFmtId="3" fontId="8" fillId="4" borderId="13" xfId="0" applyNumberFormat="1" applyFont="1" applyFill="1" applyBorder="1" applyAlignment="1">
      <alignment horizontal="center"/>
    </xf>
    <xf numFmtId="3" fontId="8" fillId="0" borderId="14" xfId="0" applyNumberFormat="1" applyFont="1" applyBorder="1" applyAlignment="1">
      <alignment horizontal="center"/>
    </xf>
    <xf numFmtId="3" fontId="8" fillId="0" borderId="13" xfId="0" applyNumberFormat="1" applyFont="1" applyBorder="1" applyAlignment="1">
      <alignment horizontal="center"/>
    </xf>
    <xf numFmtId="0" fontId="1" fillId="0" borderId="0" xfId="0" applyFont="1" applyFill="1" applyBorder="1" applyAlignment="1">
      <alignment horizontal="center"/>
    </xf>
    <xf numFmtId="0" fontId="1" fillId="0" borderId="2" xfId="0" applyFont="1" applyFill="1" applyBorder="1" applyAlignment="1">
      <alignment horizontal="center"/>
    </xf>
    <xf numFmtId="0" fontId="1" fillId="0" borderId="4" xfId="0" applyFont="1" applyFill="1" applyBorder="1" applyAlignment="1">
      <alignment horizontal="center"/>
    </xf>
    <xf numFmtId="3" fontId="2" fillId="0" borderId="35" xfId="0" applyNumberFormat="1" applyFont="1" applyBorder="1" applyAlignment="1">
      <alignment horizontal="center"/>
    </xf>
    <xf numFmtId="3" fontId="2" fillId="0" borderId="18" xfId="0" applyNumberFormat="1" applyFont="1" applyBorder="1" applyAlignment="1">
      <alignment horizontal="center"/>
    </xf>
    <xf numFmtId="3" fontId="11" fillId="0" borderId="6" xfId="0" applyNumberFormat="1" applyFont="1" applyBorder="1" applyAlignment="1">
      <alignment horizontal="center"/>
    </xf>
    <xf numFmtId="3" fontId="8" fillId="4" borderId="25" xfId="0" applyNumberFormat="1" applyFont="1" applyFill="1" applyBorder="1" applyAlignment="1">
      <alignment horizontal="center"/>
    </xf>
    <xf numFmtId="3" fontId="8" fillId="4" borderId="24" xfId="0" applyNumberFormat="1" applyFont="1" applyFill="1" applyBorder="1" applyAlignment="1">
      <alignment horizontal="center"/>
    </xf>
    <xf numFmtId="3" fontId="8" fillId="0" borderId="6" xfId="0" applyNumberFormat="1" applyFont="1" applyFill="1" applyBorder="1" applyAlignment="1">
      <alignment horizontal="center"/>
    </xf>
    <xf numFmtId="3" fontId="8" fillId="0" borderId="10" xfId="0" applyNumberFormat="1" applyFont="1" applyFill="1" applyBorder="1" applyAlignment="1">
      <alignment horizontal="center"/>
    </xf>
    <xf numFmtId="3" fontId="8" fillId="0" borderId="21" xfId="0" applyNumberFormat="1" applyFont="1" applyBorder="1" applyAlignment="1">
      <alignment horizontal="center"/>
    </xf>
    <xf numFmtId="3" fontId="8" fillId="0" borderId="20" xfId="0" applyNumberFormat="1" applyFont="1" applyBorder="1" applyAlignment="1">
      <alignment horizontal="center"/>
    </xf>
  </cellXfs>
  <cellStyles count="5">
    <cellStyle name="Hyperlink" xfId="4" builtinId="8"/>
    <cellStyle name="Normal" xfId="0" builtinId="0"/>
    <cellStyle name="Normal 2" xfId="3" xr:uid="{00000000-0005-0000-0000-000001000000}"/>
    <cellStyle name="Normal_Historical Database" xfId="1" xr:uid="{00000000-0005-0000-0000-000002000000}"/>
    <cellStyle name="Percent" xfId="2" builtinId="5"/>
  </cellStyles>
  <dxfs count="0"/>
  <tableStyles count="0" defaultTableStyle="TableStyleMedium9" defaultPivotStyle="PivotStyleLight16"/>
  <colors>
    <mruColors>
      <color rgb="FFFFFF99"/>
      <color rgb="FFE50BC6"/>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100" b="1" i="0" baseline="0"/>
              <a:t>Average Annual, Wild Proportion of Samples by Week and Average Samples by Week 1985–2011 </a:t>
            </a:r>
            <a:endParaRPr lang="en-US" sz="1100"/>
          </a:p>
        </c:rich>
      </c:tx>
      <c:overlay val="0"/>
    </c:title>
    <c:autoTitleDeleted val="0"/>
    <c:plotArea>
      <c:layout/>
      <c:barChart>
        <c:barDir val="col"/>
        <c:grouping val="clustered"/>
        <c:varyColors val="0"/>
        <c:ser>
          <c:idx val="1"/>
          <c:order val="0"/>
          <c:tx>
            <c:strRef>
              <c:f>TreatyCatch!$EL$62</c:f>
              <c:strCache>
                <c:ptCount val="1"/>
                <c:pt idx="0">
                  <c:v>W Proportions</c:v>
                </c:pt>
              </c:strCache>
            </c:strRef>
          </c:tx>
          <c:spPr>
            <a:solidFill>
              <a:schemeClr val="tx2">
                <a:lumMod val="60000"/>
                <a:lumOff val="40000"/>
              </a:schemeClr>
            </a:solidFill>
            <a:ln>
              <a:solidFill>
                <a:srgbClr val="4F81BD"/>
              </a:solidFill>
            </a:ln>
          </c:spPr>
          <c:invertIfNegative val="0"/>
          <c:val>
            <c:numRef>
              <c:f>TreatyCatch!$EL$63:$EL$115</c:f>
              <c:numCache>
                <c:formatCode>0.0000</c:formatCode>
                <c:ptCount val="53"/>
                <c:pt idx="0">
                  <c:v>9.0679008099075115E-2</c:v>
                </c:pt>
                <c:pt idx="1">
                  <c:v>0.31398454519120356</c:v>
                </c:pt>
                <c:pt idx="2">
                  <c:v>0.2670163120104177</c:v>
                </c:pt>
                <c:pt idx="3">
                  <c:v>0.40878107262095803</c:v>
                </c:pt>
                <c:pt idx="4">
                  <c:v>0.41241889483065958</c:v>
                </c:pt>
                <c:pt idx="5">
                  <c:v>0.65671240221202087</c:v>
                </c:pt>
                <c:pt idx="6">
                  <c:v>0.65098010483813529</c:v>
                </c:pt>
                <c:pt idx="7">
                  <c:v>0.60719054780785719</c:v>
                </c:pt>
                <c:pt idx="8">
                  <c:v>0.85026041666666674</c:v>
                </c:pt>
                <c:pt idx="9">
                  <c:v>0.8880341880341881</c:v>
                </c:pt>
                <c:pt idx="10">
                  <c:v>0.94082296380090491</c:v>
                </c:pt>
                <c:pt idx="11">
                  <c:v>0.91598380566801618</c:v>
                </c:pt>
                <c:pt idx="12">
                  <c:v>0.92105263157894735</c:v>
                </c:pt>
                <c:pt idx="13">
                  <c:v>1</c:v>
                </c:pt>
                <c:pt idx="14">
                  <c:v>0.96201329534662872</c:v>
                </c:pt>
                <c:pt idx="15">
                  <c:v>1</c:v>
                </c:pt>
                <c:pt idx="16">
                  <c:v>0</c:v>
                </c:pt>
                <c:pt idx="17">
                  <c:v>0.91666666666666663</c:v>
                </c:pt>
                <c:pt idx="18">
                  <c:v>0.91166713090927276</c:v>
                </c:pt>
                <c:pt idx="19">
                  <c:v>0.99128282828282821</c:v>
                </c:pt>
                <c:pt idx="20">
                  <c:v>0.89784157066765768</c:v>
                </c:pt>
                <c:pt idx="21">
                  <c:v>0.99145299145299148</c:v>
                </c:pt>
                <c:pt idx="22">
                  <c:v>0.75</c:v>
                </c:pt>
                <c:pt idx="23">
                  <c:v>1</c:v>
                </c:pt>
                <c:pt idx="24">
                  <c:v>0.75</c:v>
                </c:pt>
                <c:pt idx="25">
                  <c:v>0.71666666666666667</c:v>
                </c:pt>
                <c:pt idx="26">
                  <c:v>0.66666666666666663</c:v>
                </c:pt>
                <c:pt idx="27">
                  <c:v>0.31666666666666671</c:v>
                </c:pt>
                <c:pt idx="28">
                  <c:v>0.77777777777777768</c:v>
                </c:pt>
                <c:pt idx="29">
                  <c:v>0.5</c:v>
                </c:pt>
                <c:pt idx="30">
                  <c:v>0.1111111111111111</c:v>
                </c:pt>
                <c:pt idx="31">
                  <c:v>0.75</c:v>
                </c:pt>
                <c:pt idx="32">
                  <c:v>0</c:v>
                </c:pt>
                <c:pt idx="33">
                  <c:v>0.16666666666666666</c:v>
                </c:pt>
                <c:pt idx="34">
                  <c:v>0.15384615384615385</c:v>
                </c:pt>
                <c:pt idx="35">
                  <c:v>0.34814814814814815</c:v>
                </c:pt>
                <c:pt idx="36">
                  <c:v>0.14285714285714285</c:v>
                </c:pt>
                <c:pt idx="37">
                  <c:v>0.30578512396694219</c:v>
                </c:pt>
                <c:pt idx="38">
                  <c:v>0.12179487179487179</c:v>
                </c:pt>
                <c:pt idx="39">
                  <c:v>0.22222222222222221</c:v>
                </c:pt>
                <c:pt idx="40">
                  <c:v>0.55555555555555558</c:v>
                </c:pt>
                <c:pt idx="41">
                  <c:v>0.33333333333333337</c:v>
                </c:pt>
                <c:pt idx="42">
                  <c:v>0.17037037037037037</c:v>
                </c:pt>
                <c:pt idx="43">
                  <c:v>0.2</c:v>
                </c:pt>
                <c:pt idx="44">
                  <c:v>4.7619047619047616E-2</c:v>
                </c:pt>
                <c:pt idx="45">
                  <c:v>0</c:v>
                </c:pt>
                <c:pt idx="46">
                  <c:v>0</c:v>
                </c:pt>
                <c:pt idx="47">
                  <c:v>0</c:v>
                </c:pt>
                <c:pt idx="48">
                  <c:v>3.923611111111111E-2</c:v>
                </c:pt>
                <c:pt idx="49">
                  <c:v>1.9138629523975804E-2</c:v>
                </c:pt>
                <c:pt idx="50">
                  <c:v>8.8269386127353092E-2</c:v>
                </c:pt>
                <c:pt idx="51">
                  <c:v>6.4636078679935469E-2</c:v>
                </c:pt>
                <c:pt idx="52">
                  <c:v>0.14073863596228373</c:v>
                </c:pt>
              </c:numCache>
            </c:numRef>
          </c:val>
          <c:extLst>
            <c:ext xmlns:c16="http://schemas.microsoft.com/office/drawing/2014/chart" uri="{C3380CC4-5D6E-409C-BE32-E72D297353CC}">
              <c16:uniqueId val="{00000000-4ACB-42DC-A0EB-0D008551DD72}"/>
            </c:ext>
          </c:extLst>
        </c:ser>
        <c:dLbls>
          <c:showLegendKey val="0"/>
          <c:showVal val="0"/>
          <c:showCatName val="0"/>
          <c:showSerName val="0"/>
          <c:showPercent val="0"/>
          <c:showBubbleSize val="0"/>
        </c:dLbls>
        <c:gapWidth val="150"/>
        <c:axId val="154071552"/>
        <c:axId val="129815616"/>
      </c:barChart>
      <c:lineChart>
        <c:grouping val="standard"/>
        <c:varyColors val="0"/>
        <c:ser>
          <c:idx val="2"/>
          <c:order val="1"/>
          <c:tx>
            <c:strRef>
              <c:f>TreatyCatch!$EM$62</c:f>
              <c:strCache>
                <c:ptCount val="1"/>
                <c:pt idx="0">
                  <c:v>1985-2011 Ave. Samples</c:v>
                </c:pt>
              </c:strCache>
            </c:strRef>
          </c:tx>
          <c:spPr>
            <a:ln>
              <a:solidFill>
                <a:sysClr val="windowText" lastClr="000000">
                  <a:alpha val="80000"/>
                </a:sysClr>
              </a:solidFill>
            </a:ln>
          </c:spPr>
          <c:marker>
            <c:symbol val="none"/>
          </c:marker>
          <c:val>
            <c:numRef>
              <c:f>TreatyCatch!$EM$63:$EM$115</c:f>
              <c:numCache>
                <c:formatCode>0.0</c:formatCode>
                <c:ptCount val="53"/>
                <c:pt idx="0">
                  <c:v>58.75</c:v>
                </c:pt>
                <c:pt idx="1">
                  <c:v>102.01666666666667</c:v>
                </c:pt>
                <c:pt idx="2">
                  <c:v>78.134615384615387</c:v>
                </c:pt>
                <c:pt idx="3">
                  <c:v>40.769230769230774</c:v>
                </c:pt>
                <c:pt idx="4">
                  <c:v>29.404761904761905</c:v>
                </c:pt>
                <c:pt idx="5">
                  <c:v>35.55952380952381</c:v>
                </c:pt>
                <c:pt idx="6">
                  <c:v>26.939560439560438</c:v>
                </c:pt>
                <c:pt idx="7">
                  <c:v>21.1</c:v>
                </c:pt>
                <c:pt idx="8">
                  <c:v>12.175000000000001</c:v>
                </c:pt>
                <c:pt idx="9">
                  <c:v>15.166666666666666</c:v>
                </c:pt>
                <c:pt idx="10">
                  <c:v>18.916666666666668</c:v>
                </c:pt>
                <c:pt idx="11">
                  <c:v>18.866666666666667</c:v>
                </c:pt>
                <c:pt idx="12">
                  <c:v>11.5</c:v>
                </c:pt>
                <c:pt idx="13">
                  <c:v>25.666666666666668</c:v>
                </c:pt>
                <c:pt idx="14">
                  <c:v>27.833333333333332</c:v>
                </c:pt>
                <c:pt idx="15">
                  <c:v>27.75</c:v>
                </c:pt>
                <c:pt idx="16">
                  <c:v>0</c:v>
                </c:pt>
                <c:pt idx="17">
                  <c:v>4.6666666666666661</c:v>
                </c:pt>
                <c:pt idx="18">
                  <c:v>12.553333333333335</c:v>
                </c:pt>
                <c:pt idx="19">
                  <c:v>10.433333333333334</c:v>
                </c:pt>
                <c:pt idx="20">
                  <c:v>10.683636363636364</c:v>
                </c:pt>
                <c:pt idx="21">
                  <c:v>4.2777777777777777</c:v>
                </c:pt>
                <c:pt idx="22">
                  <c:v>2.166666666666667</c:v>
                </c:pt>
                <c:pt idx="23">
                  <c:v>2</c:v>
                </c:pt>
                <c:pt idx="24">
                  <c:v>2</c:v>
                </c:pt>
                <c:pt idx="25">
                  <c:v>4.4000000000000004</c:v>
                </c:pt>
                <c:pt idx="26">
                  <c:v>8.5</c:v>
                </c:pt>
                <c:pt idx="27">
                  <c:v>6.5</c:v>
                </c:pt>
                <c:pt idx="28">
                  <c:v>3.333333333333333</c:v>
                </c:pt>
                <c:pt idx="29">
                  <c:v>3</c:v>
                </c:pt>
                <c:pt idx="30">
                  <c:v>2.333333333333333</c:v>
                </c:pt>
                <c:pt idx="31">
                  <c:v>4.666666666666667</c:v>
                </c:pt>
                <c:pt idx="32">
                  <c:v>0</c:v>
                </c:pt>
                <c:pt idx="33">
                  <c:v>2.833333333333333</c:v>
                </c:pt>
                <c:pt idx="34">
                  <c:v>2.5</c:v>
                </c:pt>
                <c:pt idx="35">
                  <c:v>5.5714285714285712</c:v>
                </c:pt>
                <c:pt idx="36">
                  <c:v>4.3571428571428577</c:v>
                </c:pt>
                <c:pt idx="37">
                  <c:v>3.625</c:v>
                </c:pt>
                <c:pt idx="38">
                  <c:v>3.25</c:v>
                </c:pt>
                <c:pt idx="39">
                  <c:v>3.5</c:v>
                </c:pt>
                <c:pt idx="40">
                  <c:v>2.95</c:v>
                </c:pt>
                <c:pt idx="41">
                  <c:v>3</c:v>
                </c:pt>
                <c:pt idx="42">
                  <c:v>2.875</c:v>
                </c:pt>
                <c:pt idx="43">
                  <c:v>4.25</c:v>
                </c:pt>
                <c:pt idx="44">
                  <c:v>6.2857142857142856</c:v>
                </c:pt>
                <c:pt idx="45">
                  <c:v>1</c:v>
                </c:pt>
                <c:pt idx="46">
                  <c:v>1</c:v>
                </c:pt>
                <c:pt idx="47">
                  <c:v>2</c:v>
                </c:pt>
                <c:pt idx="48">
                  <c:v>20.5</c:v>
                </c:pt>
                <c:pt idx="49">
                  <c:v>37.266666666666666</c:v>
                </c:pt>
                <c:pt idx="50">
                  <c:v>74.888888888888886</c:v>
                </c:pt>
                <c:pt idx="51">
                  <c:v>83.333333333333329</c:v>
                </c:pt>
                <c:pt idx="52">
                  <c:v>78.833333333333329</c:v>
                </c:pt>
              </c:numCache>
            </c:numRef>
          </c:val>
          <c:smooth val="0"/>
          <c:extLst>
            <c:ext xmlns:c16="http://schemas.microsoft.com/office/drawing/2014/chart" uri="{C3380CC4-5D6E-409C-BE32-E72D297353CC}">
              <c16:uniqueId val="{00000001-4ACB-42DC-A0EB-0D008551DD72}"/>
            </c:ext>
          </c:extLst>
        </c:ser>
        <c:dLbls>
          <c:showLegendKey val="0"/>
          <c:showVal val="0"/>
          <c:showCatName val="0"/>
          <c:showSerName val="0"/>
          <c:showPercent val="0"/>
          <c:showBubbleSize val="0"/>
        </c:dLbls>
        <c:marker val="1"/>
        <c:smooth val="0"/>
        <c:axId val="154312192"/>
        <c:axId val="129816192"/>
      </c:lineChart>
      <c:catAx>
        <c:axId val="154071552"/>
        <c:scaling>
          <c:orientation val="minMax"/>
        </c:scaling>
        <c:delete val="0"/>
        <c:axPos val="b"/>
        <c:title>
          <c:tx>
            <c:rich>
              <a:bodyPr/>
              <a:lstStyle/>
              <a:p>
                <a:pPr>
                  <a:defRPr/>
                </a:pPr>
                <a:r>
                  <a:rPr lang="en-US"/>
                  <a:t>Management Week</a:t>
                </a:r>
              </a:p>
            </c:rich>
          </c:tx>
          <c:overlay val="0"/>
        </c:title>
        <c:majorTickMark val="out"/>
        <c:minorTickMark val="none"/>
        <c:tickLblPos val="nextTo"/>
        <c:crossAx val="129815616"/>
        <c:crosses val="autoZero"/>
        <c:auto val="1"/>
        <c:lblAlgn val="ctr"/>
        <c:lblOffset val="100"/>
        <c:noMultiLvlLbl val="0"/>
      </c:catAx>
      <c:valAx>
        <c:axId val="129815616"/>
        <c:scaling>
          <c:orientation val="minMax"/>
          <c:max val="1"/>
        </c:scaling>
        <c:delete val="0"/>
        <c:axPos val="l"/>
        <c:majorGridlines/>
        <c:title>
          <c:tx>
            <c:rich>
              <a:bodyPr rot="-5400000" vert="horz"/>
              <a:lstStyle/>
              <a:p>
                <a:pPr>
                  <a:defRPr/>
                </a:pPr>
                <a:r>
                  <a:rPr lang="en-US"/>
                  <a:t>Average Wild Proportion of Samples</a:t>
                </a:r>
              </a:p>
            </c:rich>
          </c:tx>
          <c:overlay val="0"/>
        </c:title>
        <c:numFmt formatCode="0.00" sourceLinked="0"/>
        <c:majorTickMark val="out"/>
        <c:minorTickMark val="none"/>
        <c:tickLblPos val="nextTo"/>
        <c:crossAx val="154071552"/>
        <c:crosses val="autoZero"/>
        <c:crossBetween val="between"/>
      </c:valAx>
      <c:valAx>
        <c:axId val="129816192"/>
        <c:scaling>
          <c:orientation val="minMax"/>
          <c:max val="120"/>
          <c:min val="0"/>
        </c:scaling>
        <c:delete val="0"/>
        <c:axPos val="r"/>
        <c:title>
          <c:tx>
            <c:rich>
              <a:bodyPr rot="-5400000" vert="horz"/>
              <a:lstStyle/>
              <a:p>
                <a:pPr>
                  <a:defRPr/>
                </a:pPr>
                <a:r>
                  <a:rPr lang="en-US"/>
                  <a:t>Average Samples per Week</a:t>
                </a:r>
              </a:p>
            </c:rich>
          </c:tx>
          <c:overlay val="0"/>
        </c:title>
        <c:numFmt formatCode="0" sourceLinked="0"/>
        <c:majorTickMark val="out"/>
        <c:minorTickMark val="none"/>
        <c:tickLblPos val="nextTo"/>
        <c:crossAx val="154312192"/>
        <c:crosses val="max"/>
        <c:crossBetween val="between"/>
        <c:majorUnit val="10"/>
      </c:valAx>
      <c:catAx>
        <c:axId val="154312192"/>
        <c:scaling>
          <c:orientation val="minMax"/>
        </c:scaling>
        <c:delete val="1"/>
        <c:axPos val="b"/>
        <c:majorTickMark val="out"/>
        <c:minorTickMark val="none"/>
        <c:tickLblPos val="none"/>
        <c:crossAx val="129816192"/>
        <c:crosses val="autoZero"/>
        <c:auto val="1"/>
        <c:lblAlgn val="ctr"/>
        <c:lblOffset val="100"/>
        <c:noMultiLvlLbl val="0"/>
      </c:catAx>
    </c:plotArea>
    <c:legend>
      <c:legendPos val="r"/>
      <c:overlay val="0"/>
      <c:txPr>
        <a:bodyPr/>
        <a:lstStyle/>
        <a:p>
          <a:pPr>
            <a:defRPr sz="800"/>
          </a:pPr>
          <a:endParaRPr lang="en-US"/>
        </a:p>
      </c:txPr>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Average Annual, Wild Proportion of Samples by Week and Average Samples</a:t>
            </a:r>
            <a:r>
              <a:rPr lang="en-US" sz="1100" baseline="0"/>
              <a:t> </a:t>
            </a:r>
            <a:r>
              <a:rPr lang="en-US" sz="1100"/>
              <a:t>by Week 2001–2011 </a:t>
            </a:r>
          </a:p>
        </c:rich>
      </c:tx>
      <c:overlay val="0"/>
    </c:title>
    <c:autoTitleDeleted val="0"/>
    <c:plotArea>
      <c:layout/>
      <c:barChart>
        <c:barDir val="col"/>
        <c:grouping val="clustered"/>
        <c:varyColors val="0"/>
        <c:ser>
          <c:idx val="1"/>
          <c:order val="0"/>
          <c:tx>
            <c:strRef>
              <c:f>TreatyCatch!$ER$62</c:f>
              <c:strCache>
                <c:ptCount val="1"/>
                <c:pt idx="0">
                  <c:v>W Proportions</c:v>
                </c:pt>
              </c:strCache>
            </c:strRef>
          </c:tx>
          <c:spPr>
            <a:solidFill>
              <a:schemeClr val="tx2">
                <a:lumMod val="60000"/>
                <a:lumOff val="40000"/>
              </a:schemeClr>
            </a:solidFill>
            <a:ln>
              <a:solidFill>
                <a:schemeClr val="accent1"/>
              </a:solidFill>
            </a:ln>
            <a:effectLst>
              <a:outerShdw blurRad="50800" dist="50800" dir="5400000" algn="ctr" rotWithShape="0">
                <a:schemeClr val="bg1"/>
              </a:outerShdw>
            </a:effectLst>
          </c:spPr>
          <c:invertIfNegative val="0"/>
          <c:val>
            <c:numRef>
              <c:f>TreatyCatch!$ER$63:$ER$115</c:f>
              <c:numCache>
                <c:formatCode>0.0000</c:formatCode>
                <c:ptCount val="53"/>
                <c:pt idx="0">
                  <c:v>9.6743295019157086E-2</c:v>
                </c:pt>
                <c:pt idx="1">
                  <c:v>0.5781440781440782</c:v>
                </c:pt>
                <c:pt idx="2">
                  <c:v>0.33333333333333331</c:v>
                </c:pt>
                <c:pt idx="3">
                  <c:v>0.46052631578947367</c:v>
                </c:pt>
                <c:pt idx="4">
                  <c:v>0.55999999999999994</c:v>
                </c:pt>
                <c:pt idx="5">
                  <c:v>0.87533030106129528</c:v>
                </c:pt>
                <c:pt idx="6">
                  <c:v>0.77056699602918077</c:v>
                </c:pt>
                <c:pt idx="7">
                  <c:v>0.61944444444444446</c:v>
                </c:pt>
                <c:pt idx="8">
                  <c:v>0.87648809523809523</c:v>
                </c:pt>
                <c:pt idx="9">
                  <c:v>0.91538461538461546</c:v>
                </c:pt>
                <c:pt idx="10">
                  <c:v>0.94070512820512819</c:v>
                </c:pt>
                <c:pt idx="11">
                  <c:v>0.96076923076923082</c:v>
                </c:pt>
                <c:pt idx="12">
                  <c:v>0.92105263157894735</c:v>
                </c:pt>
                <c:pt idx="13">
                  <c:v>1</c:v>
                </c:pt>
                <c:pt idx="14">
                  <c:v>0.96201329534662872</c:v>
                </c:pt>
                <c:pt idx="15">
                  <c:v>1</c:v>
                </c:pt>
                <c:pt idx="16">
                  <c:v>0</c:v>
                </c:pt>
                <c:pt idx="17">
                  <c:v>0.75</c:v>
                </c:pt>
                <c:pt idx="18">
                  <c:v>0.98088963167705856</c:v>
                </c:pt>
                <c:pt idx="19">
                  <c:v>0.98505627705627696</c:v>
                </c:pt>
                <c:pt idx="20">
                  <c:v>0.97321937321937335</c:v>
                </c:pt>
                <c:pt idx="21">
                  <c:v>1</c:v>
                </c:pt>
                <c:pt idx="22">
                  <c:v>1</c:v>
                </c:pt>
                <c:pt idx="23">
                  <c:v>1</c:v>
                </c:pt>
                <c:pt idx="24">
                  <c:v>1</c:v>
                </c:pt>
                <c:pt idx="25">
                  <c:v>0.52777777777777779</c:v>
                </c:pt>
                <c:pt idx="26">
                  <c:v>0.5</c:v>
                </c:pt>
                <c:pt idx="27">
                  <c:v>0.39583333333333337</c:v>
                </c:pt>
                <c:pt idx="28">
                  <c:v>0.77777777777777768</c:v>
                </c:pt>
                <c:pt idx="29">
                  <c:v>0.5</c:v>
                </c:pt>
                <c:pt idx="30">
                  <c:v>0.1111111111111111</c:v>
                </c:pt>
                <c:pt idx="31">
                  <c:v>0.75</c:v>
                </c:pt>
                <c:pt idx="32">
                  <c:v>0</c:v>
                </c:pt>
                <c:pt idx="33">
                  <c:v>0</c:v>
                </c:pt>
                <c:pt idx="34">
                  <c:v>0.125</c:v>
                </c:pt>
                <c:pt idx="35">
                  <c:v>0.56666666666666665</c:v>
                </c:pt>
                <c:pt idx="36">
                  <c:v>0</c:v>
                </c:pt>
                <c:pt idx="37">
                  <c:v>0.47272727272727277</c:v>
                </c:pt>
                <c:pt idx="38">
                  <c:v>0</c:v>
                </c:pt>
                <c:pt idx="39">
                  <c:v>0.33333333333333331</c:v>
                </c:pt>
                <c:pt idx="40">
                  <c:v>0</c:v>
                </c:pt>
                <c:pt idx="41">
                  <c:v>0.4333333333333334</c:v>
                </c:pt>
                <c:pt idx="42">
                  <c:v>0.1</c:v>
                </c:pt>
                <c:pt idx="43">
                  <c:v>0.5</c:v>
                </c:pt>
                <c:pt idx="44">
                  <c:v>0</c:v>
                </c:pt>
                <c:pt idx="45">
                  <c:v>0</c:v>
                </c:pt>
                <c:pt idx="46">
                  <c:v>0</c:v>
                </c:pt>
                <c:pt idx="47">
                  <c:v>0</c:v>
                </c:pt>
                <c:pt idx="48">
                  <c:v>1.8749999999999999E-2</c:v>
                </c:pt>
                <c:pt idx="49">
                  <c:v>1.680672268907563E-2</c:v>
                </c:pt>
                <c:pt idx="50">
                  <c:v>0.10969785575048734</c:v>
                </c:pt>
                <c:pt idx="51">
                  <c:v>5.1372602668334377E-2</c:v>
                </c:pt>
                <c:pt idx="52">
                  <c:v>6.3899430740037955E-2</c:v>
                </c:pt>
              </c:numCache>
            </c:numRef>
          </c:val>
          <c:extLst>
            <c:ext xmlns:c16="http://schemas.microsoft.com/office/drawing/2014/chart" uri="{C3380CC4-5D6E-409C-BE32-E72D297353CC}">
              <c16:uniqueId val="{00000000-2E76-409D-80D9-4659E75578FE}"/>
            </c:ext>
          </c:extLst>
        </c:ser>
        <c:dLbls>
          <c:showLegendKey val="0"/>
          <c:showVal val="0"/>
          <c:showCatName val="0"/>
          <c:showSerName val="0"/>
          <c:showPercent val="0"/>
          <c:showBubbleSize val="0"/>
        </c:dLbls>
        <c:gapWidth val="150"/>
        <c:axId val="158557696"/>
        <c:axId val="129817920"/>
      </c:barChart>
      <c:lineChart>
        <c:grouping val="standard"/>
        <c:varyColors val="0"/>
        <c:ser>
          <c:idx val="2"/>
          <c:order val="1"/>
          <c:tx>
            <c:strRef>
              <c:f>TreatyCatch!$ES$62</c:f>
              <c:strCache>
                <c:ptCount val="1"/>
                <c:pt idx="0">
                  <c:v>2001-11 Ave. Samples</c:v>
                </c:pt>
              </c:strCache>
            </c:strRef>
          </c:tx>
          <c:spPr>
            <a:ln>
              <a:solidFill>
                <a:sysClr val="windowText" lastClr="000000">
                  <a:alpha val="80000"/>
                </a:sysClr>
              </a:solidFill>
            </a:ln>
          </c:spPr>
          <c:marker>
            <c:symbol val="none"/>
          </c:marker>
          <c:val>
            <c:numRef>
              <c:f>TreatyCatch!$ES$63:$ES$115</c:f>
              <c:numCache>
                <c:formatCode>0.0</c:formatCode>
                <c:ptCount val="53"/>
                <c:pt idx="0">
                  <c:v>23.5</c:v>
                </c:pt>
                <c:pt idx="1">
                  <c:v>60.5</c:v>
                </c:pt>
                <c:pt idx="2">
                  <c:v>21</c:v>
                </c:pt>
                <c:pt idx="3">
                  <c:v>9.85</c:v>
                </c:pt>
                <c:pt idx="4">
                  <c:v>9.4</c:v>
                </c:pt>
                <c:pt idx="5">
                  <c:v>24.3</c:v>
                </c:pt>
                <c:pt idx="6">
                  <c:v>16</c:v>
                </c:pt>
                <c:pt idx="7">
                  <c:v>21.6</c:v>
                </c:pt>
                <c:pt idx="8">
                  <c:v>13.571428571428571</c:v>
                </c:pt>
                <c:pt idx="9">
                  <c:v>18.416666666666668</c:v>
                </c:pt>
                <c:pt idx="10">
                  <c:v>19.666666666666668</c:v>
                </c:pt>
                <c:pt idx="11">
                  <c:v>18.25</c:v>
                </c:pt>
                <c:pt idx="12">
                  <c:v>11.5</c:v>
                </c:pt>
                <c:pt idx="13">
                  <c:v>25.666666666666668</c:v>
                </c:pt>
                <c:pt idx="14">
                  <c:v>27.833333333333332</c:v>
                </c:pt>
                <c:pt idx="15">
                  <c:v>34</c:v>
                </c:pt>
                <c:pt idx="16">
                  <c:v>0</c:v>
                </c:pt>
                <c:pt idx="17">
                  <c:v>4</c:v>
                </c:pt>
                <c:pt idx="18">
                  <c:v>15.899999999999999</c:v>
                </c:pt>
                <c:pt idx="19">
                  <c:v>15.475000000000001</c:v>
                </c:pt>
                <c:pt idx="20">
                  <c:v>9.5166666666666657</c:v>
                </c:pt>
                <c:pt idx="21">
                  <c:v>3.6666666666666665</c:v>
                </c:pt>
                <c:pt idx="22">
                  <c:v>1</c:v>
                </c:pt>
                <c:pt idx="23">
                  <c:v>1.3333333333333333</c:v>
                </c:pt>
                <c:pt idx="24">
                  <c:v>1</c:v>
                </c:pt>
                <c:pt idx="25">
                  <c:v>5</c:v>
                </c:pt>
                <c:pt idx="26">
                  <c:v>6</c:v>
                </c:pt>
                <c:pt idx="27">
                  <c:v>6.8333333333333339</c:v>
                </c:pt>
                <c:pt idx="28">
                  <c:v>3.333333333333333</c:v>
                </c:pt>
                <c:pt idx="29">
                  <c:v>3</c:v>
                </c:pt>
                <c:pt idx="30">
                  <c:v>2.333333333333333</c:v>
                </c:pt>
                <c:pt idx="31">
                  <c:v>4.666666666666667</c:v>
                </c:pt>
                <c:pt idx="32">
                  <c:v>0</c:v>
                </c:pt>
                <c:pt idx="33">
                  <c:v>0</c:v>
                </c:pt>
                <c:pt idx="34">
                  <c:v>2</c:v>
                </c:pt>
                <c:pt idx="35">
                  <c:v>3.5</c:v>
                </c:pt>
                <c:pt idx="36">
                  <c:v>1.6666666666666667</c:v>
                </c:pt>
                <c:pt idx="37">
                  <c:v>5</c:v>
                </c:pt>
                <c:pt idx="38">
                  <c:v>1.25</c:v>
                </c:pt>
                <c:pt idx="39">
                  <c:v>2.5</c:v>
                </c:pt>
                <c:pt idx="40">
                  <c:v>3</c:v>
                </c:pt>
                <c:pt idx="41">
                  <c:v>3.6666666666666665</c:v>
                </c:pt>
                <c:pt idx="42">
                  <c:v>4</c:v>
                </c:pt>
                <c:pt idx="43">
                  <c:v>1</c:v>
                </c:pt>
                <c:pt idx="44">
                  <c:v>1.3333333333333333</c:v>
                </c:pt>
                <c:pt idx="45">
                  <c:v>1</c:v>
                </c:pt>
                <c:pt idx="46">
                  <c:v>0</c:v>
                </c:pt>
                <c:pt idx="47">
                  <c:v>2</c:v>
                </c:pt>
                <c:pt idx="48">
                  <c:v>15.5</c:v>
                </c:pt>
                <c:pt idx="49">
                  <c:v>13.714285714285714</c:v>
                </c:pt>
                <c:pt idx="50">
                  <c:v>29</c:v>
                </c:pt>
                <c:pt idx="51">
                  <c:v>45.083333333333336</c:v>
                </c:pt>
                <c:pt idx="52">
                  <c:v>38.416666666666664</c:v>
                </c:pt>
              </c:numCache>
            </c:numRef>
          </c:val>
          <c:smooth val="0"/>
          <c:extLst>
            <c:ext xmlns:c16="http://schemas.microsoft.com/office/drawing/2014/chart" uri="{C3380CC4-5D6E-409C-BE32-E72D297353CC}">
              <c16:uniqueId val="{00000001-2E76-409D-80D9-4659E75578FE}"/>
            </c:ext>
          </c:extLst>
        </c:ser>
        <c:dLbls>
          <c:showLegendKey val="0"/>
          <c:showVal val="0"/>
          <c:showCatName val="0"/>
          <c:showSerName val="0"/>
          <c:showPercent val="0"/>
          <c:showBubbleSize val="0"/>
        </c:dLbls>
        <c:marker val="1"/>
        <c:smooth val="0"/>
        <c:axId val="158558720"/>
        <c:axId val="154361856"/>
      </c:lineChart>
      <c:catAx>
        <c:axId val="158557696"/>
        <c:scaling>
          <c:orientation val="minMax"/>
        </c:scaling>
        <c:delete val="0"/>
        <c:axPos val="b"/>
        <c:title>
          <c:tx>
            <c:rich>
              <a:bodyPr/>
              <a:lstStyle/>
              <a:p>
                <a:pPr>
                  <a:defRPr/>
                </a:pPr>
                <a:r>
                  <a:rPr lang="en-US"/>
                  <a:t>Management Week</a:t>
                </a:r>
              </a:p>
            </c:rich>
          </c:tx>
          <c:overlay val="0"/>
        </c:title>
        <c:majorTickMark val="out"/>
        <c:minorTickMark val="none"/>
        <c:tickLblPos val="nextTo"/>
        <c:crossAx val="129817920"/>
        <c:crosses val="autoZero"/>
        <c:auto val="1"/>
        <c:lblAlgn val="ctr"/>
        <c:lblOffset val="100"/>
        <c:noMultiLvlLbl val="0"/>
      </c:catAx>
      <c:valAx>
        <c:axId val="129817920"/>
        <c:scaling>
          <c:orientation val="minMax"/>
          <c:max val="1"/>
        </c:scaling>
        <c:delete val="0"/>
        <c:axPos val="l"/>
        <c:majorGridlines/>
        <c:title>
          <c:tx>
            <c:rich>
              <a:bodyPr rot="-5400000" vert="horz"/>
              <a:lstStyle/>
              <a:p>
                <a:pPr>
                  <a:defRPr/>
                </a:pPr>
                <a:r>
                  <a:rPr lang="en-US"/>
                  <a:t>Average Wild Proportion of Samples</a:t>
                </a:r>
              </a:p>
            </c:rich>
          </c:tx>
          <c:overlay val="0"/>
        </c:title>
        <c:numFmt formatCode="0.00" sourceLinked="0"/>
        <c:majorTickMark val="out"/>
        <c:minorTickMark val="none"/>
        <c:tickLblPos val="nextTo"/>
        <c:crossAx val="158557696"/>
        <c:crosses val="autoZero"/>
        <c:crossBetween val="between"/>
      </c:valAx>
      <c:valAx>
        <c:axId val="154361856"/>
        <c:scaling>
          <c:orientation val="minMax"/>
          <c:max val="120"/>
          <c:min val="0"/>
        </c:scaling>
        <c:delete val="0"/>
        <c:axPos val="r"/>
        <c:title>
          <c:tx>
            <c:rich>
              <a:bodyPr rot="-5400000" vert="horz"/>
              <a:lstStyle/>
              <a:p>
                <a:pPr>
                  <a:defRPr/>
                </a:pPr>
                <a:r>
                  <a:rPr lang="en-US"/>
                  <a:t>Average Samples per Week</a:t>
                </a:r>
              </a:p>
            </c:rich>
          </c:tx>
          <c:overlay val="0"/>
        </c:title>
        <c:numFmt formatCode="0" sourceLinked="0"/>
        <c:majorTickMark val="out"/>
        <c:minorTickMark val="none"/>
        <c:tickLblPos val="nextTo"/>
        <c:crossAx val="158558720"/>
        <c:crosses val="max"/>
        <c:crossBetween val="between"/>
        <c:majorUnit val="10"/>
      </c:valAx>
      <c:catAx>
        <c:axId val="158558720"/>
        <c:scaling>
          <c:orientation val="minMax"/>
        </c:scaling>
        <c:delete val="1"/>
        <c:axPos val="b"/>
        <c:majorTickMark val="out"/>
        <c:minorTickMark val="none"/>
        <c:tickLblPos val="none"/>
        <c:crossAx val="154361856"/>
        <c:crosses val="autoZero"/>
        <c:auto val="1"/>
        <c:lblAlgn val="ctr"/>
        <c:lblOffset val="100"/>
        <c:noMultiLvlLbl val="0"/>
      </c:catAx>
    </c:plotArea>
    <c:legend>
      <c:legendPos val="r"/>
      <c:overlay val="0"/>
      <c:txPr>
        <a:bodyPr/>
        <a:lstStyle/>
        <a:p>
          <a:pPr>
            <a:defRPr sz="800"/>
          </a:pPr>
          <a:endParaRPr lang="en-US"/>
        </a:p>
      </c:txPr>
    </c:legend>
    <c:plotVisOnly val="1"/>
    <c:dispBlanksAs val="gap"/>
    <c:showDLblsOverMax val="0"/>
  </c:chart>
  <c:printSettings>
    <c:headerFooter/>
    <c:pageMargins b="0.75000000000001399" l="0.70000000000000062" r="0.70000000000000062" t="0.75000000000001399" header="0.30000000000000032" footer="0.30000000000000032"/>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Average Annual, Wild Proportion of Samples by Week Average</a:t>
            </a:r>
            <a:r>
              <a:rPr lang="en-US" sz="1100" baseline="0"/>
              <a:t> Samples by Week </a:t>
            </a:r>
            <a:r>
              <a:rPr lang="en-US" sz="1100"/>
              <a:t>1985–2000 </a:t>
            </a:r>
          </a:p>
        </c:rich>
      </c:tx>
      <c:layout>
        <c:manualLayout>
          <c:xMode val="edge"/>
          <c:yMode val="edge"/>
          <c:x val="0.17094101569471254"/>
          <c:y val="1.8895510307724055E-2"/>
        </c:manualLayout>
      </c:layout>
      <c:overlay val="0"/>
    </c:title>
    <c:autoTitleDeleted val="0"/>
    <c:plotArea>
      <c:layout>
        <c:manualLayout>
          <c:layoutTarget val="inner"/>
          <c:xMode val="edge"/>
          <c:yMode val="edge"/>
          <c:x val="0.10075153990768072"/>
          <c:y val="9.6154590071575244E-2"/>
          <c:w val="0.64746379000701149"/>
          <c:h val="0.72532722461158794"/>
        </c:manualLayout>
      </c:layout>
      <c:barChart>
        <c:barDir val="col"/>
        <c:grouping val="clustered"/>
        <c:varyColors val="0"/>
        <c:ser>
          <c:idx val="1"/>
          <c:order val="0"/>
          <c:tx>
            <c:strRef>
              <c:f>TreatyCatch!$EX$62</c:f>
              <c:strCache>
                <c:ptCount val="1"/>
                <c:pt idx="0">
                  <c:v>W Proportions</c:v>
                </c:pt>
              </c:strCache>
            </c:strRef>
          </c:tx>
          <c:spPr>
            <a:solidFill>
              <a:schemeClr val="tx2">
                <a:lumMod val="60000"/>
                <a:lumOff val="40000"/>
              </a:schemeClr>
            </a:solidFill>
            <a:ln>
              <a:solidFill>
                <a:srgbClr val="4F81BD"/>
              </a:solidFill>
            </a:ln>
          </c:spPr>
          <c:invertIfNegative val="0"/>
          <c:val>
            <c:numRef>
              <c:f>TreatyCatch!$EX$63:$EX$115</c:f>
              <c:numCache>
                <c:formatCode>0.0000</c:formatCode>
                <c:ptCount val="53"/>
                <c:pt idx="0">
                  <c:v>8.8657579125714467E-2</c:v>
                </c:pt>
                <c:pt idx="1">
                  <c:v>0.13787818988928721</c:v>
                </c:pt>
                <c:pt idx="2">
                  <c:v>0.23017352238657565</c:v>
                </c:pt>
                <c:pt idx="3">
                  <c:v>0.37428424384194753</c:v>
                </c:pt>
                <c:pt idx="4">
                  <c:v>0.33862834224598931</c:v>
                </c:pt>
                <c:pt idx="5">
                  <c:v>0.49274897807506507</c:v>
                </c:pt>
                <c:pt idx="6">
                  <c:v>0.53139321364708969</c:v>
                </c:pt>
                <c:pt idx="7">
                  <c:v>0.5949366511712697</c:v>
                </c:pt>
                <c:pt idx="8">
                  <c:v>0.66666666666666663</c:v>
                </c:pt>
                <c:pt idx="9">
                  <c:v>0.83333333333333326</c:v>
                </c:pt>
                <c:pt idx="10">
                  <c:v>0.94117647058823528</c:v>
                </c:pt>
                <c:pt idx="11">
                  <c:v>0.73684210526315785</c:v>
                </c:pt>
                <c:pt idx="12">
                  <c:v>0</c:v>
                </c:pt>
                <c:pt idx="13">
                  <c:v>0</c:v>
                </c:pt>
                <c:pt idx="14">
                  <c:v>0</c:v>
                </c:pt>
                <c:pt idx="15">
                  <c:v>1</c:v>
                </c:pt>
                <c:pt idx="16">
                  <c:v>0</c:v>
                </c:pt>
                <c:pt idx="17">
                  <c:v>1</c:v>
                </c:pt>
                <c:pt idx="18">
                  <c:v>0.79629629629629628</c:v>
                </c:pt>
                <c:pt idx="19">
                  <c:v>1</c:v>
                </c:pt>
                <c:pt idx="20">
                  <c:v>0.82246376811594202</c:v>
                </c:pt>
                <c:pt idx="21">
                  <c:v>0.98717948717948723</c:v>
                </c:pt>
                <c:pt idx="22">
                  <c:v>0.66666666666666663</c:v>
                </c:pt>
                <c:pt idx="23">
                  <c:v>1</c:v>
                </c:pt>
                <c:pt idx="24">
                  <c:v>0.5</c:v>
                </c:pt>
                <c:pt idx="25">
                  <c:v>1</c:v>
                </c:pt>
                <c:pt idx="26">
                  <c:v>1</c:v>
                </c:pt>
                <c:pt idx="27">
                  <c:v>0</c:v>
                </c:pt>
                <c:pt idx="28">
                  <c:v>0</c:v>
                </c:pt>
                <c:pt idx="29">
                  <c:v>0</c:v>
                </c:pt>
                <c:pt idx="30">
                  <c:v>0</c:v>
                </c:pt>
                <c:pt idx="31">
                  <c:v>0</c:v>
                </c:pt>
                <c:pt idx="32">
                  <c:v>0</c:v>
                </c:pt>
                <c:pt idx="33">
                  <c:v>0.2</c:v>
                </c:pt>
                <c:pt idx="34">
                  <c:v>0.16666666666666666</c:v>
                </c:pt>
                <c:pt idx="35">
                  <c:v>0.2388888888888889</c:v>
                </c:pt>
                <c:pt idx="36">
                  <c:v>0.25</c:v>
                </c:pt>
                <c:pt idx="37">
                  <c:v>0.16666666666666666</c:v>
                </c:pt>
                <c:pt idx="38">
                  <c:v>0.17592592592592593</c:v>
                </c:pt>
                <c:pt idx="39">
                  <c:v>0.18518518518518517</c:v>
                </c:pt>
                <c:pt idx="40">
                  <c:v>0.66666666666666663</c:v>
                </c:pt>
                <c:pt idx="41">
                  <c:v>0.20833333333333331</c:v>
                </c:pt>
                <c:pt idx="42">
                  <c:v>0.19047619047619047</c:v>
                </c:pt>
                <c:pt idx="43">
                  <c:v>0</c:v>
                </c:pt>
                <c:pt idx="44">
                  <c:v>8.3333333333333329E-2</c:v>
                </c:pt>
                <c:pt idx="45">
                  <c:v>0</c:v>
                </c:pt>
                <c:pt idx="46">
                  <c:v>0</c:v>
                </c:pt>
                <c:pt idx="47">
                  <c:v>0</c:v>
                </c:pt>
                <c:pt idx="48">
                  <c:v>8.0208333333333326E-2</c:v>
                </c:pt>
                <c:pt idx="49">
                  <c:v>2.1179048004513455E-2</c:v>
                </c:pt>
                <c:pt idx="50">
                  <c:v>7.7555151315785956E-2</c:v>
                </c:pt>
                <c:pt idx="51">
                  <c:v>7.3478396021002881E-2</c:v>
                </c:pt>
                <c:pt idx="52">
                  <c:v>0.1791582385734066</c:v>
                </c:pt>
              </c:numCache>
            </c:numRef>
          </c:val>
          <c:extLst>
            <c:ext xmlns:c16="http://schemas.microsoft.com/office/drawing/2014/chart" uri="{C3380CC4-5D6E-409C-BE32-E72D297353CC}">
              <c16:uniqueId val="{00000000-08CA-47DA-9850-45FBA6E0E2B8}"/>
            </c:ext>
          </c:extLst>
        </c:ser>
        <c:dLbls>
          <c:showLegendKey val="0"/>
          <c:showVal val="0"/>
          <c:showCatName val="0"/>
          <c:showSerName val="0"/>
          <c:showPercent val="0"/>
          <c:showBubbleSize val="0"/>
        </c:dLbls>
        <c:gapWidth val="150"/>
        <c:axId val="159438336"/>
        <c:axId val="154363584"/>
      </c:barChart>
      <c:lineChart>
        <c:grouping val="standard"/>
        <c:varyColors val="0"/>
        <c:ser>
          <c:idx val="2"/>
          <c:order val="1"/>
          <c:tx>
            <c:strRef>
              <c:f>TreatyCatch!$EY$62</c:f>
              <c:strCache>
                <c:ptCount val="1"/>
                <c:pt idx="0">
                  <c:v>1985-2000 Ave. Samples</c:v>
                </c:pt>
              </c:strCache>
            </c:strRef>
          </c:tx>
          <c:spPr>
            <a:ln>
              <a:solidFill>
                <a:sysClr val="windowText" lastClr="000000">
                  <a:alpha val="80000"/>
                </a:sysClr>
              </a:solidFill>
            </a:ln>
          </c:spPr>
          <c:marker>
            <c:symbol val="none"/>
          </c:marker>
          <c:val>
            <c:numRef>
              <c:f>TreatyCatch!$EY$63:$EY$115</c:f>
              <c:numCache>
                <c:formatCode>0.0</c:formatCode>
                <c:ptCount val="53"/>
                <c:pt idx="0">
                  <c:v>70.5</c:v>
                </c:pt>
                <c:pt idx="1">
                  <c:v>118.66666666666666</c:v>
                </c:pt>
                <c:pt idx="2">
                  <c:v>104.25</c:v>
                </c:pt>
                <c:pt idx="3">
                  <c:v>56.388888888888886</c:v>
                </c:pt>
                <c:pt idx="4">
                  <c:v>37.900000000000006</c:v>
                </c:pt>
                <c:pt idx="5">
                  <c:v>43.5</c:v>
                </c:pt>
                <c:pt idx="6">
                  <c:v>37</c:v>
                </c:pt>
                <c:pt idx="7">
                  <c:v>21</c:v>
                </c:pt>
                <c:pt idx="8">
                  <c:v>3</c:v>
                </c:pt>
                <c:pt idx="9">
                  <c:v>8.5</c:v>
                </c:pt>
                <c:pt idx="10">
                  <c:v>17</c:v>
                </c:pt>
                <c:pt idx="11">
                  <c:v>19</c:v>
                </c:pt>
                <c:pt idx="12">
                  <c:v>0</c:v>
                </c:pt>
                <c:pt idx="13">
                  <c:v>0</c:v>
                </c:pt>
                <c:pt idx="14">
                  <c:v>0</c:v>
                </c:pt>
                <c:pt idx="15">
                  <c:v>9</c:v>
                </c:pt>
                <c:pt idx="16">
                  <c:v>0</c:v>
                </c:pt>
                <c:pt idx="17">
                  <c:v>4</c:v>
                </c:pt>
                <c:pt idx="18">
                  <c:v>6.1</c:v>
                </c:pt>
                <c:pt idx="19">
                  <c:v>2.6</c:v>
                </c:pt>
                <c:pt idx="20">
                  <c:v>12.3</c:v>
                </c:pt>
                <c:pt idx="21">
                  <c:v>4.8333333333333339</c:v>
                </c:pt>
                <c:pt idx="22">
                  <c:v>2.25</c:v>
                </c:pt>
                <c:pt idx="23">
                  <c:v>2.5</c:v>
                </c:pt>
                <c:pt idx="24">
                  <c:v>1</c:v>
                </c:pt>
                <c:pt idx="25">
                  <c:v>1.5</c:v>
                </c:pt>
                <c:pt idx="26">
                  <c:v>1</c:v>
                </c:pt>
                <c:pt idx="27">
                  <c:v>1</c:v>
                </c:pt>
                <c:pt idx="28">
                  <c:v>0</c:v>
                </c:pt>
                <c:pt idx="29">
                  <c:v>0</c:v>
                </c:pt>
                <c:pt idx="30">
                  <c:v>0</c:v>
                </c:pt>
                <c:pt idx="31">
                  <c:v>0</c:v>
                </c:pt>
                <c:pt idx="32">
                  <c:v>0</c:v>
                </c:pt>
                <c:pt idx="33">
                  <c:v>3</c:v>
                </c:pt>
                <c:pt idx="34">
                  <c:v>2.75</c:v>
                </c:pt>
                <c:pt idx="35">
                  <c:v>6.4</c:v>
                </c:pt>
                <c:pt idx="36">
                  <c:v>5.25</c:v>
                </c:pt>
                <c:pt idx="37">
                  <c:v>2.2000000000000002</c:v>
                </c:pt>
                <c:pt idx="38">
                  <c:v>3.75</c:v>
                </c:pt>
                <c:pt idx="39">
                  <c:v>4</c:v>
                </c:pt>
                <c:pt idx="40">
                  <c:v>2.5333333333333332</c:v>
                </c:pt>
                <c:pt idx="41">
                  <c:v>2.5</c:v>
                </c:pt>
                <c:pt idx="42">
                  <c:v>2.5</c:v>
                </c:pt>
                <c:pt idx="43">
                  <c:v>5.333333333333333</c:v>
                </c:pt>
                <c:pt idx="44">
                  <c:v>7</c:v>
                </c:pt>
                <c:pt idx="45">
                  <c:v>1</c:v>
                </c:pt>
                <c:pt idx="46">
                  <c:v>1</c:v>
                </c:pt>
                <c:pt idx="47">
                  <c:v>0</c:v>
                </c:pt>
                <c:pt idx="48">
                  <c:v>31</c:v>
                </c:pt>
                <c:pt idx="49">
                  <c:v>56.625</c:v>
                </c:pt>
                <c:pt idx="50">
                  <c:v>97.555555555555557</c:v>
                </c:pt>
                <c:pt idx="51">
                  <c:v>108.06944444444444</c:v>
                </c:pt>
                <c:pt idx="52">
                  <c:v>98.660714285714292</c:v>
                </c:pt>
              </c:numCache>
            </c:numRef>
          </c:val>
          <c:smooth val="0"/>
          <c:extLst>
            <c:ext xmlns:c16="http://schemas.microsoft.com/office/drawing/2014/chart" uri="{C3380CC4-5D6E-409C-BE32-E72D297353CC}">
              <c16:uniqueId val="{00000001-08CA-47DA-9850-45FBA6E0E2B8}"/>
            </c:ext>
          </c:extLst>
        </c:ser>
        <c:dLbls>
          <c:showLegendKey val="0"/>
          <c:showVal val="0"/>
          <c:showCatName val="0"/>
          <c:showSerName val="0"/>
          <c:showPercent val="0"/>
          <c:showBubbleSize val="0"/>
        </c:dLbls>
        <c:marker val="1"/>
        <c:smooth val="0"/>
        <c:axId val="159439360"/>
        <c:axId val="154364160"/>
      </c:lineChart>
      <c:catAx>
        <c:axId val="159438336"/>
        <c:scaling>
          <c:orientation val="minMax"/>
        </c:scaling>
        <c:delete val="0"/>
        <c:axPos val="b"/>
        <c:title>
          <c:tx>
            <c:rich>
              <a:bodyPr/>
              <a:lstStyle/>
              <a:p>
                <a:pPr>
                  <a:defRPr/>
                </a:pPr>
                <a:r>
                  <a:rPr lang="en-US"/>
                  <a:t>Management Week</a:t>
                </a:r>
              </a:p>
            </c:rich>
          </c:tx>
          <c:overlay val="0"/>
        </c:title>
        <c:majorTickMark val="out"/>
        <c:minorTickMark val="none"/>
        <c:tickLblPos val="nextTo"/>
        <c:crossAx val="154363584"/>
        <c:crosses val="autoZero"/>
        <c:auto val="1"/>
        <c:lblAlgn val="ctr"/>
        <c:lblOffset val="100"/>
        <c:noMultiLvlLbl val="0"/>
      </c:catAx>
      <c:valAx>
        <c:axId val="154363584"/>
        <c:scaling>
          <c:orientation val="minMax"/>
          <c:max val="1"/>
        </c:scaling>
        <c:delete val="0"/>
        <c:axPos val="l"/>
        <c:majorGridlines/>
        <c:title>
          <c:tx>
            <c:rich>
              <a:bodyPr rot="-5400000" vert="horz"/>
              <a:lstStyle/>
              <a:p>
                <a:pPr>
                  <a:defRPr/>
                </a:pPr>
                <a:r>
                  <a:rPr lang="en-US"/>
                  <a:t>Average Wild Proportion of Samples</a:t>
                </a:r>
              </a:p>
            </c:rich>
          </c:tx>
          <c:overlay val="0"/>
        </c:title>
        <c:numFmt formatCode="0.00" sourceLinked="0"/>
        <c:majorTickMark val="out"/>
        <c:minorTickMark val="none"/>
        <c:tickLblPos val="nextTo"/>
        <c:crossAx val="159438336"/>
        <c:crosses val="autoZero"/>
        <c:crossBetween val="between"/>
      </c:valAx>
      <c:valAx>
        <c:axId val="154364160"/>
        <c:scaling>
          <c:orientation val="minMax"/>
          <c:max val="120"/>
          <c:min val="0"/>
        </c:scaling>
        <c:delete val="0"/>
        <c:axPos val="r"/>
        <c:title>
          <c:tx>
            <c:rich>
              <a:bodyPr rot="-5400000" vert="horz"/>
              <a:lstStyle/>
              <a:p>
                <a:pPr>
                  <a:defRPr/>
                </a:pPr>
                <a:r>
                  <a:rPr lang="en-US"/>
                  <a:t>Average Samples Per Week</a:t>
                </a:r>
              </a:p>
            </c:rich>
          </c:tx>
          <c:overlay val="0"/>
        </c:title>
        <c:numFmt formatCode="0" sourceLinked="0"/>
        <c:majorTickMark val="out"/>
        <c:minorTickMark val="none"/>
        <c:tickLblPos val="nextTo"/>
        <c:crossAx val="159439360"/>
        <c:crosses val="max"/>
        <c:crossBetween val="between"/>
        <c:majorUnit val="10"/>
      </c:valAx>
      <c:catAx>
        <c:axId val="159439360"/>
        <c:scaling>
          <c:orientation val="minMax"/>
        </c:scaling>
        <c:delete val="1"/>
        <c:axPos val="b"/>
        <c:majorTickMark val="out"/>
        <c:minorTickMark val="none"/>
        <c:tickLblPos val="none"/>
        <c:crossAx val="154364160"/>
        <c:crosses val="autoZero"/>
        <c:auto val="1"/>
        <c:lblAlgn val="ctr"/>
        <c:lblOffset val="100"/>
        <c:noMultiLvlLbl val="0"/>
      </c:catAx>
    </c:plotArea>
    <c:legend>
      <c:legendPos val="r"/>
      <c:overlay val="0"/>
      <c:txPr>
        <a:bodyPr/>
        <a:lstStyle/>
        <a:p>
          <a:pPr>
            <a:defRPr sz="800"/>
          </a:pPr>
          <a:endParaRPr lang="en-US"/>
        </a:p>
      </c:txPr>
    </c:legend>
    <c:plotVisOnly val="1"/>
    <c:dispBlanksAs val="gap"/>
    <c:showDLblsOverMax val="0"/>
  </c:chart>
  <c:printSettings>
    <c:headerFooter/>
    <c:pageMargins b="0.75000000000001421" l="0.70000000000000062" r="0.70000000000000062" t="0.75000000000001421" header="0.30000000000000032" footer="0.30000000000000032"/>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Average Annual, Hatchery and Wild Proportion of Samples by Week and Treaty  Catch by Week 1985–2000 </a:t>
            </a:r>
          </a:p>
        </c:rich>
      </c:tx>
      <c:overlay val="0"/>
    </c:title>
    <c:autoTitleDeleted val="0"/>
    <c:plotArea>
      <c:layout/>
      <c:barChart>
        <c:barDir val="col"/>
        <c:grouping val="percentStacked"/>
        <c:varyColors val="0"/>
        <c:ser>
          <c:idx val="0"/>
          <c:order val="0"/>
          <c:tx>
            <c:strRef>
              <c:f>TreatyCatch!$EW$62</c:f>
              <c:strCache>
                <c:ptCount val="1"/>
                <c:pt idx="0">
                  <c:v>H Proportions</c:v>
                </c:pt>
              </c:strCache>
            </c:strRef>
          </c:tx>
          <c:spPr>
            <a:solidFill>
              <a:schemeClr val="tx2">
                <a:lumMod val="60000"/>
                <a:lumOff val="40000"/>
              </a:schemeClr>
            </a:solidFill>
          </c:spPr>
          <c:invertIfNegative val="0"/>
          <c:val>
            <c:numRef>
              <c:f>TreatyCatch!$EW$63:$EW$115</c:f>
              <c:numCache>
                <c:formatCode>0.0000</c:formatCode>
                <c:ptCount val="53"/>
                <c:pt idx="0">
                  <c:v>0.91134242087428563</c:v>
                </c:pt>
                <c:pt idx="1">
                  <c:v>0.86212181011071276</c:v>
                </c:pt>
                <c:pt idx="2">
                  <c:v>0.76982647761342438</c:v>
                </c:pt>
                <c:pt idx="3">
                  <c:v>0.62571575615805253</c:v>
                </c:pt>
                <c:pt idx="4">
                  <c:v>0.66137165775401063</c:v>
                </c:pt>
                <c:pt idx="5">
                  <c:v>0.50725102192493499</c:v>
                </c:pt>
                <c:pt idx="6">
                  <c:v>0.46860678635291025</c:v>
                </c:pt>
                <c:pt idx="7">
                  <c:v>0.40506334882873024</c:v>
                </c:pt>
                <c:pt idx="8">
                  <c:v>0.33333333333333331</c:v>
                </c:pt>
                <c:pt idx="9">
                  <c:v>0.16666666666666666</c:v>
                </c:pt>
                <c:pt idx="10">
                  <c:v>5.8823529411764705E-2</c:v>
                </c:pt>
                <c:pt idx="11">
                  <c:v>0.26315789473684209</c:v>
                </c:pt>
                <c:pt idx="12">
                  <c:v>0</c:v>
                </c:pt>
                <c:pt idx="13">
                  <c:v>0</c:v>
                </c:pt>
                <c:pt idx="14">
                  <c:v>0</c:v>
                </c:pt>
                <c:pt idx="15">
                  <c:v>0</c:v>
                </c:pt>
                <c:pt idx="16">
                  <c:v>0</c:v>
                </c:pt>
                <c:pt idx="17">
                  <c:v>0</c:v>
                </c:pt>
                <c:pt idx="18">
                  <c:v>0.20370370370370372</c:v>
                </c:pt>
                <c:pt idx="19">
                  <c:v>0</c:v>
                </c:pt>
                <c:pt idx="20">
                  <c:v>0.17753623188405798</c:v>
                </c:pt>
                <c:pt idx="21">
                  <c:v>1.2820512820512822E-2</c:v>
                </c:pt>
                <c:pt idx="22">
                  <c:v>0.33333333333333331</c:v>
                </c:pt>
                <c:pt idx="23">
                  <c:v>0</c:v>
                </c:pt>
                <c:pt idx="24">
                  <c:v>0.5</c:v>
                </c:pt>
                <c:pt idx="25">
                  <c:v>0</c:v>
                </c:pt>
                <c:pt idx="26">
                  <c:v>0</c:v>
                </c:pt>
                <c:pt idx="27">
                  <c:v>1</c:v>
                </c:pt>
                <c:pt idx="28">
                  <c:v>0</c:v>
                </c:pt>
                <c:pt idx="29">
                  <c:v>0</c:v>
                </c:pt>
                <c:pt idx="30">
                  <c:v>0</c:v>
                </c:pt>
                <c:pt idx="31">
                  <c:v>0</c:v>
                </c:pt>
                <c:pt idx="32">
                  <c:v>0</c:v>
                </c:pt>
                <c:pt idx="33">
                  <c:v>0.8</c:v>
                </c:pt>
                <c:pt idx="34">
                  <c:v>0.83333333333333337</c:v>
                </c:pt>
                <c:pt idx="35">
                  <c:v>0.76111111111111107</c:v>
                </c:pt>
                <c:pt idx="36">
                  <c:v>0.75</c:v>
                </c:pt>
                <c:pt idx="37">
                  <c:v>0.83333333333333337</c:v>
                </c:pt>
                <c:pt idx="38">
                  <c:v>0.82407407407407396</c:v>
                </c:pt>
                <c:pt idx="39">
                  <c:v>0.81481481481481477</c:v>
                </c:pt>
                <c:pt idx="40">
                  <c:v>0.33333333333333331</c:v>
                </c:pt>
                <c:pt idx="41">
                  <c:v>0.79166666666666663</c:v>
                </c:pt>
                <c:pt idx="42">
                  <c:v>0.80952380952380953</c:v>
                </c:pt>
                <c:pt idx="43">
                  <c:v>1</c:v>
                </c:pt>
                <c:pt idx="44">
                  <c:v>0.91666666666666663</c:v>
                </c:pt>
                <c:pt idx="45">
                  <c:v>1</c:v>
                </c:pt>
                <c:pt idx="46">
                  <c:v>1</c:v>
                </c:pt>
                <c:pt idx="47">
                  <c:v>0</c:v>
                </c:pt>
                <c:pt idx="48">
                  <c:v>0.91979166666666667</c:v>
                </c:pt>
                <c:pt idx="49">
                  <c:v>0.97882095199548658</c:v>
                </c:pt>
                <c:pt idx="50">
                  <c:v>0.92244484868421406</c:v>
                </c:pt>
                <c:pt idx="51">
                  <c:v>0.92652160397899708</c:v>
                </c:pt>
                <c:pt idx="52">
                  <c:v>0.82084176142659349</c:v>
                </c:pt>
              </c:numCache>
            </c:numRef>
          </c:val>
          <c:extLst>
            <c:ext xmlns:c16="http://schemas.microsoft.com/office/drawing/2014/chart" uri="{C3380CC4-5D6E-409C-BE32-E72D297353CC}">
              <c16:uniqueId val="{00000000-202E-4983-896C-3EAB981DFB69}"/>
            </c:ext>
          </c:extLst>
        </c:ser>
        <c:ser>
          <c:idx val="1"/>
          <c:order val="1"/>
          <c:tx>
            <c:strRef>
              <c:f>TreatyCatch!$EX$62</c:f>
              <c:strCache>
                <c:ptCount val="1"/>
                <c:pt idx="0">
                  <c:v>W Proportions</c:v>
                </c:pt>
              </c:strCache>
            </c:strRef>
          </c:tx>
          <c:spPr>
            <a:solidFill>
              <a:schemeClr val="bg1">
                <a:lumMod val="85000"/>
              </a:schemeClr>
            </a:solidFill>
          </c:spPr>
          <c:invertIfNegative val="0"/>
          <c:val>
            <c:numRef>
              <c:f>TreatyCatch!$EX$63:$EX$115</c:f>
              <c:numCache>
                <c:formatCode>0.0000</c:formatCode>
                <c:ptCount val="53"/>
                <c:pt idx="0">
                  <c:v>8.8657579125714467E-2</c:v>
                </c:pt>
                <c:pt idx="1">
                  <c:v>0.13787818988928721</c:v>
                </c:pt>
                <c:pt idx="2">
                  <c:v>0.23017352238657565</c:v>
                </c:pt>
                <c:pt idx="3">
                  <c:v>0.37428424384194753</c:v>
                </c:pt>
                <c:pt idx="4">
                  <c:v>0.33862834224598931</c:v>
                </c:pt>
                <c:pt idx="5">
                  <c:v>0.49274897807506507</c:v>
                </c:pt>
                <c:pt idx="6">
                  <c:v>0.53139321364708969</c:v>
                </c:pt>
                <c:pt idx="7">
                  <c:v>0.5949366511712697</c:v>
                </c:pt>
                <c:pt idx="8">
                  <c:v>0.66666666666666663</c:v>
                </c:pt>
                <c:pt idx="9">
                  <c:v>0.83333333333333326</c:v>
                </c:pt>
                <c:pt idx="10">
                  <c:v>0.94117647058823528</c:v>
                </c:pt>
                <c:pt idx="11">
                  <c:v>0.73684210526315785</c:v>
                </c:pt>
                <c:pt idx="12">
                  <c:v>0</c:v>
                </c:pt>
                <c:pt idx="13">
                  <c:v>0</c:v>
                </c:pt>
                <c:pt idx="14">
                  <c:v>0</c:v>
                </c:pt>
                <c:pt idx="15">
                  <c:v>1</c:v>
                </c:pt>
                <c:pt idx="16">
                  <c:v>0</c:v>
                </c:pt>
                <c:pt idx="17">
                  <c:v>1</c:v>
                </c:pt>
                <c:pt idx="18">
                  <c:v>0.79629629629629628</c:v>
                </c:pt>
                <c:pt idx="19">
                  <c:v>1</c:v>
                </c:pt>
                <c:pt idx="20">
                  <c:v>0.82246376811594202</c:v>
                </c:pt>
                <c:pt idx="21">
                  <c:v>0.98717948717948723</c:v>
                </c:pt>
                <c:pt idx="22">
                  <c:v>0.66666666666666663</c:v>
                </c:pt>
                <c:pt idx="23">
                  <c:v>1</c:v>
                </c:pt>
                <c:pt idx="24">
                  <c:v>0.5</c:v>
                </c:pt>
                <c:pt idx="25">
                  <c:v>1</c:v>
                </c:pt>
                <c:pt idx="26">
                  <c:v>1</c:v>
                </c:pt>
                <c:pt idx="27">
                  <c:v>0</c:v>
                </c:pt>
                <c:pt idx="28">
                  <c:v>0</c:v>
                </c:pt>
                <c:pt idx="29">
                  <c:v>0</c:v>
                </c:pt>
                <c:pt idx="30">
                  <c:v>0</c:v>
                </c:pt>
                <c:pt idx="31">
                  <c:v>0</c:v>
                </c:pt>
                <c:pt idx="32">
                  <c:v>0</c:v>
                </c:pt>
                <c:pt idx="33">
                  <c:v>0.2</c:v>
                </c:pt>
                <c:pt idx="34">
                  <c:v>0.16666666666666666</c:v>
                </c:pt>
                <c:pt idx="35">
                  <c:v>0.2388888888888889</c:v>
                </c:pt>
                <c:pt idx="36">
                  <c:v>0.25</c:v>
                </c:pt>
                <c:pt idx="37">
                  <c:v>0.16666666666666666</c:v>
                </c:pt>
                <c:pt idx="38">
                  <c:v>0.17592592592592593</c:v>
                </c:pt>
                <c:pt idx="39">
                  <c:v>0.18518518518518517</c:v>
                </c:pt>
                <c:pt idx="40">
                  <c:v>0.66666666666666663</c:v>
                </c:pt>
                <c:pt idx="41">
                  <c:v>0.20833333333333331</c:v>
                </c:pt>
                <c:pt idx="42">
                  <c:v>0.19047619047619047</c:v>
                </c:pt>
                <c:pt idx="43">
                  <c:v>0</c:v>
                </c:pt>
                <c:pt idx="44">
                  <c:v>8.3333333333333329E-2</c:v>
                </c:pt>
                <c:pt idx="45">
                  <c:v>0</c:v>
                </c:pt>
                <c:pt idx="46">
                  <c:v>0</c:v>
                </c:pt>
                <c:pt idx="47">
                  <c:v>0</c:v>
                </c:pt>
                <c:pt idx="48">
                  <c:v>8.0208333333333326E-2</c:v>
                </c:pt>
                <c:pt idx="49">
                  <c:v>2.1179048004513455E-2</c:v>
                </c:pt>
                <c:pt idx="50">
                  <c:v>7.7555151315785956E-2</c:v>
                </c:pt>
                <c:pt idx="51">
                  <c:v>7.3478396021002881E-2</c:v>
                </c:pt>
                <c:pt idx="52">
                  <c:v>0.1791582385734066</c:v>
                </c:pt>
              </c:numCache>
            </c:numRef>
          </c:val>
          <c:extLst>
            <c:ext xmlns:c16="http://schemas.microsoft.com/office/drawing/2014/chart" uri="{C3380CC4-5D6E-409C-BE32-E72D297353CC}">
              <c16:uniqueId val="{00000001-202E-4983-896C-3EAB981DFB69}"/>
            </c:ext>
          </c:extLst>
        </c:ser>
        <c:dLbls>
          <c:showLegendKey val="0"/>
          <c:showVal val="0"/>
          <c:showCatName val="0"/>
          <c:showSerName val="0"/>
          <c:showPercent val="0"/>
          <c:showBubbleSize val="0"/>
        </c:dLbls>
        <c:gapWidth val="150"/>
        <c:overlap val="100"/>
        <c:axId val="159440384"/>
        <c:axId val="154365888"/>
      </c:barChart>
      <c:lineChart>
        <c:grouping val="standard"/>
        <c:varyColors val="0"/>
        <c:ser>
          <c:idx val="2"/>
          <c:order val="2"/>
          <c:tx>
            <c:strRef>
              <c:f>TreatyCatch!$EI$179</c:f>
              <c:strCache>
                <c:ptCount val="1"/>
                <c:pt idx="0">
                  <c:v>Average treaty catch</c:v>
                </c:pt>
              </c:strCache>
            </c:strRef>
          </c:tx>
          <c:spPr>
            <a:ln>
              <a:solidFill>
                <a:sysClr val="windowText" lastClr="000000">
                  <a:alpha val="80000"/>
                </a:sysClr>
              </a:solidFill>
            </a:ln>
          </c:spPr>
          <c:marker>
            <c:symbol val="none"/>
          </c:marker>
          <c:val>
            <c:numRef>
              <c:f>TreatyCatch!$EI$180:$EI$232</c:f>
              <c:numCache>
                <c:formatCode>0.0</c:formatCode>
                <c:ptCount val="53"/>
                <c:pt idx="0">
                  <c:v>230.33333333333334</c:v>
                </c:pt>
                <c:pt idx="1">
                  <c:v>320.58333333333331</c:v>
                </c:pt>
                <c:pt idx="2">
                  <c:v>364.38461538461536</c:v>
                </c:pt>
                <c:pt idx="3">
                  <c:v>128.69230769230768</c:v>
                </c:pt>
                <c:pt idx="4">
                  <c:v>106.42857142857143</c:v>
                </c:pt>
                <c:pt idx="5">
                  <c:v>50.5</c:v>
                </c:pt>
                <c:pt idx="6">
                  <c:v>58.636363636363633</c:v>
                </c:pt>
                <c:pt idx="7">
                  <c:v>27</c:v>
                </c:pt>
                <c:pt idx="8">
                  <c:v>11.333333333333334</c:v>
                </c:pt>
                <c:pt idx="9">
                  <c:v>26</c:v>
                </c:pt>
                <c:pt idx="10">
                  <c:v>15</c:v>
                </c:pt>
                <c:pt idx="11">
                  <c:v>9</c:v>
                </c:pt>
                <c:pt idx="12">
                  <c:v>10</c:v>
                </c:pt>
                <c:pt idx="13">
                  <c:v>29</c:v>
                </c:pt>
                <c:pt idx="14">
                  <c:v>0</c:v>
                </c:pt>
                <c:pt idx="15">
                  <c:v>8</c:v>
                </c:pt>
                <c:pt idx="16">
                  <c:v>0</c:v>
                </c:pt>
                <c:pt idx="17">
                  <c:v>0</c:v>
                </c:pt>
                <c:pt idx="18">
                  <c:v>0</c:v>
                </c:pt>
                <c:pt idx="19">
                  <c:v>0</c:v>
                </c:pt>
                <c:pt idx="20">
                  <c:v>72.010700000000014</c:v>
                </c:pt>
                <c:pt idx="21">
                  <c:v>8.84863</c:v>
                </c:pt>
                <c:pt idx="22">
                  <c:v>0.33050000000000002</c:v>
                </c:pt>
                <c:pt idx="23">
                  <c:v>1.3966000000000001</c:v>
                </c:pt>
                <c:pt idx="24">
                  <c:v>4.5</c:v>
                </c:pt>
                <c:pt idx="25">
                  <c:v>3.1111111111111112</c:v>
                </c:pt>
                <c:pt idx="26">
                  <c:v>7.7777777777777777</c:v>
                </c:pt>
                <c:pt idx="27">
                  <c:v>19.2</c:v>
                </c:pt>
                <c:pt idx="28">
                  <c:v>12</c:v>
                </c:pt>
                <c:pt idx="29">
                  <c:v>15.4</c:v>
                </c:pt>
                <c:pt idx="30">
                  <c:v>3.5</c:v>
                </c:pt>
                <c:pt idx="31">
                  <c:v>2</c:v>
                </c:pt>
                <c:pt idx="32">
                  <c:v>0</c:v>
                </c:pt>
                <c:pt idx="33">
                  <c:v>49.8</c:v>
                </c:pt>
                <c:pt idx="34">
                  <c:v>39.5</c:v>
                </c:pt>
                <c:pt idx="35">
                  <c:v>31.5</c:v>
                </c:pt>
                <c:pt idx="36">
                  <c:v>14.785714285714286</c:v>
                </c:pt>
                <c:pt idx="37">
                  <c:v>17.333333333333332</c:v>
                </c:pt>
                <c:pt idx="38">
                  <c:v>32.166666666666664</c:v>
                </c:pt>
                <c:pt idx="39">
                  <c:v>24.142857142857142</c:v>
                </c:pt>
                <c:pt idx="40">
                  <c:v>10.25</c:v>
                </c:pt>
                <c:pt idx="41">
                  <c:v>4.8</c:v>
                </c:pt>
                <c:pt idx="42">
                  <c:v>6.2</c:v>
                </c:pt>
                <c:pt idx="43">
                  <c:v>5.375</c:v>
                </c:pt>
                <c:pt idx="44">
                  <c:v>2.75</c:v>
                </c:pt>
                <c:pt idx="45">
                  <c:v>7.375</c:v>
                </c:pt>
                <c:pt idx="46">
                  <c:v>15.777777777777779</c:v>
                </c:pt>
                <c:pt idx="47">
                  <c:v>53.6</c:v>
                </c:pt>
                <c:pt idx="48">
                  <c:v>35.833333333333336</c:v>
                </c:pt>
                <c:pt idx="49">
                  <c:v>120.58333333333333</c:v>
                </c:pt>
                <c:pt idx="50">
                  <c:v>262.42857142857144</c:v>
                </c:pt>
                <c:pt idx="51">
                  <c:v>342.07142857142856</c:v>
                </c:pt>
                <c:pt idx="52">
                  <c:v>384.90909090909093</c:v>
                </c:pt>
              </c:numCache>
            </c:numRef>
          </c:val>
          <c:smooth val="0"/>
          <c:extLst>
            <c:ext xmlns:c16="http://schemas.microsoft.com/office/drawing/2014/chart" uri="{C3380CC4-5D6E-409C-BE32-E72D297353CC}">
              <c16:uniqueId val="{00000002-202E-4983-896C-3EAB981DFB69}"/>
            </c:ext>
          </c:extLst>
        </c:ser>
        <c:dLbls>
          <c:showLegendKey val="0"/>
          <c:showVal val="0"/>
          <c:showCatName val="0"/>
          <c:showSerName val="0"/>
          <c:showPercent val="0"/>
          <c:showBubbleSize val="0"/>
        </c:dLbls>
        <c:marker val="1"/>
        <c:smooth val="0"/>
        <c:axId val="160629248"/>
        <c:axId val="154366464"/>
      </c:lineChart>
      <c:catAx>
        <c:axId val="159440384"/>
        <c:scaling>
          <c:orientation val="minMax"/>
        </c:scaling>
        <c:delete val="0"/>
        <c:axPos val="b"/>
        <c:title>
          <c:tx>
            <c:rich>
              <a:bodyPr/>
              <a:lstStyle/>
              <a:p>
                <a:pPr>
                  <a:defRPr/>
                </a:pPr>
                <a:r>
                  <a:rPr lang="en-US"/>
                  <a:t>Management Week</a:t>
                </a:r>
              </a:p>
            </c:rich>
          </c:tx>
          <c:overlay val="0"/>
        </c:title>
        <c:majorTickMark val="out"/>
        <c:minorTickMark val="none"/>
        <c:tickLblPos val="nextTo"/>
        <c:crossAx val="154365888"/>
        <c:crosses val="autoZero"/>
        <c:auto val="1"/>
        <c:lblAlgn val="ctr"/>
        <c:lblOffset val="100"/>
        <c:noMultiLvlLbl val="0"/>
      </c:catAx>
      <c:valAx>
        <c:axId val="154365888"/>
        <c:scaling>
          <c:orientation val="minMax"/>
        </c:scaling>
        <c:delete val="0"/>
        <c:axPos val="l"/>
        <c:majorGridlines/>
        <c:title>
          <c:tx>
            <c:rich>
              <a:bodyPr rot="-5400000" vert="horz"/>
              <a:lstStyle/>
              <a:p>
                <a:pPr>
                  <a:defRPr/>
                </a:pPr>
                <a:r>
                  <a:rPr lang="en-US"/>
                  <a:t>Average Hatchery and Wild Proportion of Samples</a:t>
                </a:r>
              </a:p>
            </c:rich>
          </c:tx>
          <c:overlay val="0"/>
        </c:title>
        <c:numFmt formatCode="#,##0.00" sourceLinked="0"/>
        <c:majorTickMark val="out"/>
        <c:minorTickMark val="none"/>
        <c:tickLblPos val="nextTo"/>
        <c:crossAx val="159440384"/>
        <c:crosses val="autoZero"/>
        <c:crossBetween val="between"/>
      </c:valAx>
      <c:valAx>
        <c:axId val="154366464"/>
        <c:scaling>
          <c:orientation val="minMax"/>
          <c:max val="390"/>
          <c:min val="0"/>
        </c:scaling>
        <c:delete val="0"/>
        <c:axPos val="r"/>
        <c:title>
          <c:tx>
            <c:rich>
              <a:bodyPr rot="-5400000" vert="horz"/>
              <a:lstStyle/>
              <a:p>
                <a:pPr>
                  <a:defRPr/>
                </a:pPr>
                <a:r>
                  <a:rPr lang="en-US"/>
                  <a:t>Average Treaty Catch</a:t>
                </a:r>
              </a:p>
            </c:rich>
          </c:tx>
          <c:overlay val="0"/>
        </c:title>
        <c:numFmt formatCode="0" sourceLinked="0"/>
        <c:majorTickMark val="out"/>
        <c:minorTickMark val="none"/>
        <c:tickLblPos val="nextTo"/>
        <c:crossAx val="160629248"/>
        <c:crosses val="max"/>
        <c:crossBetween val="between"/>
        <c:majorUnit val="20"/>
      </c:valAx>
      <c:catAx>
        <c:axId val="160629248"/>
        <c:scaling>
          <c:orientation val="minMax"/>
        </c:scaling>
        <c:delete val="1"/>
        <c:axPos val="b"/>
        <c:majorTickMark val="out"/>
        <c:minorTickMark val="none"/>
        <c:tickLblPos val="none"/>
        <c:crossAx val="154366464"/>
        <c:crosses val="autoZero"/>
        <c:auto val="1"/>
        <c:lblAlgn val="ctr"/>
        <c:lblOffset val="100"/>
        <c:noMultiLvlLbl val="0"/>
      </c:catAx>
    </c:plotArea>
    <c:legend>
      <c:legendPos val="r"/>
      <c:overlay val="0"/>
      <c:txPr>
        <a:bodyPr/>
        <a:lstStyle/>
        <a:p>
          <a:pPr>
            <a:defRPr sz="800"/>
          </a:pPr>
          <a:endParaRPr lang="en-US"/>
        </a:p>
      </c:txPr>
    </c:legend>
    <c:plotVisOnly val="1"/>
    <c:dispBlanksAs val="gap"/>
    <c:showDLblsOverMax val="0"/>
  </c:chart>
  <c:printSettings>
    <c:headerFooter/>
    <c:pageMargins b="0.75000000000001266" l="0.70000000000000062" r="0.70000000000000062" t="0.75000000000001266" header="0.30000000000000032" footer="0.30000000000000032"/>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100" b="1" i="0" baseline="0"/>
              <a:t>Average Annual, Hatchery and Wild Proportion of Samples by Week and Treaty  Catch by Week 1985–2011 </a:t>
            </a:r>
            <a:endParaRPr lang="en-US" sz="1100"/>
          </a:p>
        </c:rich>
      </c:tx>
      <c:overlay val="0"/>
    </c:title>
    <c:autoTitleDeleted val="0"/>
    <c:plotArea>
      <c:layout/>
      <c:barChart>
        <c:barDir val="col"/>
        <c:grouping val="percentStacked"/>
        <c:varyColors val="0"/>
        <c:ser>
          <c:idx val="0"/>
          <c:order val="0"/>
          <c:tx>
            <c:strRef>
              <c:f>TreatyCatch!$EK$62</c:f>
              <c:strCache>
                <c:ptCount val="1"/>
                <c:pt idx="0">
                  <c:v>H Proportions</c:v>
                </c:pt>
              </c:strCache>
            </c:strRef>
          </c:tx>
          <c:spPr>
            <a:solidFill>
              <a:schemeClr val="tx2">
                <a:lumMod val="60000"/>
                <a:lumOff val="40000"/>
              </a:schemeClr>
            </a:solidFill>
            <a:ln>
              <a:solidFill>
                <a:schemeClr val="tx2">
                  <a:lumMod val="60000"/>
                  <a:lumOff val="40000"/>
                </a:schemeClr>
              </a:solidFill>
            </a:ln>
          </c:spPr>
          <c:invertIfNegative val="0"/>
          <c:val>
            <c:numRef>
              <c:f>TreatyCatch!$EK$63:$EK$115</c:f>
              <c:numCache>
                <c:formatCode>0.0000</c:formatCode>
                <c:ptCount val="53"/>
                <c:pt idx="0">
                  <c:v>0.90932099190092497</c:v>
                </c:pt>
                <c:pt idx="1">
                  <c:v>0.68601545480879644</c:v>
                </c:pt>
                <c:pt idx="2">
                  <c:v>0.73298368798958236</c:v>
                </c:pt>
                <c:pt idx="3">
                  <c:v>0.59121892737904203</c:v>
                </c:pt>
                <c:pt idx="4">
                  <c:v>0.58758110516934037</c:v>
                </c:pt>
                <c:pt idx="5">
                  <c:v>0.34328759778797918</c:v>
                </c:pt>
                <c:pt idx="6">
                  <c:v>0.34901989516186471</c:v>
                </c:pt>
                <c:pt idx="7">
                  <c:v>0.39280945219214292</c:v>
                </c:pt>
                <c:pt idx="8">
                  <c:v>0.14973958333333331</c:v>
                </c:pt>
                <c:pt idx="9">
                  <c:v>0.11196581196581197</c:v>
                </c:pt>
                <c:pt idx="10">
                  <c:v>5.9177036199095021E-2</c:v>
                </c:pt>
                <c:pt idx="11">
                  <c:v>8.4016194331983804E-2</c:v>
                </c:pt>
                <c:pt idx="12">
                  <c:v>7.8947368421052627E-2</c:v>
                </c:pt>
                <c:pt idx="13">
                  <c:v>0</c:v>
                </c:pt>
                <c:pt idx="14">
                  <c:v>3.7986704653371318E-2</c:v>
                </c:pt>
                <c:pt idx="15">
                  <c:v>0</c:v>
                </c:pt>
                <c:pt idx="16">
                  <c:v>0</c:v>
                </c:pt>
                <c:pt idx="17">
                  <c:v>8.3333333333333329E-2</c:v>
                </c:pt>
                <c:pt idx="18">
                  <c:v>8.8332869090727295E-2</c:v>
                </c:pt>
                <c:pt idx="19">
                  <c:v>8.7171717171717188E-3</c:v>
                </c:pt>
                <c:pt idx="20">
                  <c:v>0.10215842933234238</c:v>
                </c:pt>
                <c:pt idx="21">
                  <c:v>8.5470085470085479E-3</c:v>
                </c:pt>
                <c:pt idx="22">
                  <c:v>0.25</c:v>
                </c:pt>
                <c:pt idx="23">
                  <c:v>0</c:v>
                </c:pt>
                <c:pt idx="24">
                  <c:v>0.25</c:v>
                </c:pt>
                <c:pt idx="25">
                  <c:v>0.28333333333333333</c:v>
                </c:pt>
                <c:pt idx="26">
                  <c:v>0.33333333333333331</c:v>
                </c:pt>
                <c:pt idx="27">
                  <c:v>0.68333333333333335</c:v>
                </c:pt>
                <c:pt idx="28">
                  <c:v>0.22222222222222221</c:v>
                </c:pt>
                <c:pt idx="29">
                  <c:v>0.5</c:v>
                </c:pt>
                <c:pt idx="30">
                  <c:v>0.88888888888888884</c:v>
                </c:pt>
                <c:pt idx="31">
                  <c:v>0.25</c:v>
                </c:pt>
                <c:pt idx="32">
                  <c:v>0</c:v>
                </c:pt>
                <c:pt idx="33">
                  <c:v>0.83333333333333337</c:v>
                </c:pt>
                <c:pt idx="34">
                  <c:v>0.84615384615384615</c:v>
                </c:pt>
                <c:pt idx="35">
                  <c:v>0.65185185185185179</c:v>
                </c:pt>
                <c:pt idx="36">
                  <c:v>0.8571428571428571</c:v>
                </c:pt>
                <c:pt idx="37">
                  <c:v>0.69421487603305787</c:v>
                </c:pt>
                <c:pt idx="38">
                  <c:v>0.87820512820512819</c:v>
                </c:pt>
                <c:pt idx="39">
                  <c:v>0.77777777777777768</c:v>
                </c:pt>
                <c:pt idx="40">
                  <c:v>0.44444444444444442</c:v>
                </c:pt>
                <c:pt idx="41">
                  <c:v>0.66666666666666652</c:v>
                </c:pt>
                <c:pt idx="42">
                  <c:v>0.82962962962962961</c:v>
                </c:pt>
                <c:pt idx="43">
                  <c:v>0.8</c:v>
                </c:pt>
                <c:pt idx="44">
                  <c:v>0.95238095238095233</c:v>
                </c:pt>
                <c:pt idx="45">
                  <c:v>1</c:v>
                </c:pt>
                <c:pt idx="46">
                  <c:v>1</c:v>
                </c:pt>
                <c:pt idx="47">
                  <c:v>1</c:v>
                </c:pt>
                <c:pt idx="48">
                  <c:v>0.96076388888888886</c:v>
                </c:pt>
                <c:pt idx="49">
                  <c:v>0.98086137047602429</c:v>
                </c:pt>
                <c:pt idx="50">
                  <c:v>0.91173061387264687</c:v>
                </c:pt>
                <c:pt idx="51">
                  <c:v>0.93536392132006452</c:v>
                </c:pt>
                <c:pt idx="52">
                  <c:v>0.85926136403771636</c:v>
                </c:pt>
              </c:numCache>
            </c:numRef>
          </c:val>
          <c:extLst>
            <c:ext xmlns:c16="http://schemas.microsoft.com/office/drawing/2014/chart" uri="{C3380CC4-5D6E-409C-BE32-E72D297353CC}">
              <c16:uniqueId val="{00000000-77D1-4F11-8DED-8355D5A841A4}"/>
            </c:ext>
          </c:extLst>
        </c:ser>
        <c:ser>
          <c:idx val="1"/>
          <c:order val="1"/>
          <c:tx>
            <c:strRef>
              <c:f>TreatyCatch!$EL$62</c:f>
              <c:strCache>
                <c:ptCount val="1"/>
                <c:pt idx="0">
                  <c:v>W Proportions</c:v>
                </c:pt>
              </c:strCache>
            </c:strRef>
          </c:tx>
          <c:spPr>
            <a:solidFill>
              <a:schemeClr val="bg1">
                <a:lumMod val="75000"/>
              </a:schemeClr>
            </a:solidFill>
            <a:ln>
              <a:solidFill>
                <a:schemeClr val="bg1">
                  <a:lumMod val="75000"/>
                </a:schemeClr>
              </a:solidFill>
            </a:ln>
          </c:spPr>
          <c:invertIfNegative val="0"/>
          <c:val>
            <c:numRef>
              <c:f>TreatyCatch!$EL$63:$EL$115</c:f>
              <c:numCache>
                <c:formatCode>0.0000</c:formatCode>
                <c:ptCount val="53"/>
                <c:pt idx="0">
                  <c:v>9.0679008099075115E-2</c:v>
                </c:pt>
                <c:pt idx="1">
                  <c:v>0.31398454519120356</c:v>
                </c:pt>
                <c:pt idx="2">
                  <c:v>0.2670163120104177</c:v>
                </c:pt>
                <c:pt idx="3">
                  <c:v>0.40878107262095803</c:v>
                </c:pt>
                <c:pt idx="4">
                  <c:v>0.41241889483065958</c:v>
                </c:pt>
                <c:pt idx="5">
                  <c:v>0.65671240221202087</c:v>
                </c:pt>
                <c:pt idx="6">
                  <c:v>0.65098010483813529</c:v>
                </c:pt>
                <c:pt idx="7">
                  <c:v>0.60719054780785719</c:v>
                </c:pt>
                <c:pt idx="8">
                  <c:v>0.85026041666666674</c:v>
                </c:pt>
                <c:pt idx="9">
                  <c:v>0.8880341880341881</c:v>
                </c:pt>
                <c:pt idx="10">
                  <c:v>0.94082296380090491</c:v>
                </c:pt>
                <c:pt idx="11">
                  <c:v>0.91598380566801618</c:v>
                </c:pt>
                <c:pt idx="12">
                  <c:v>0.92105263157894735</c:v>
                </c:pt>
                <c:pt idx="13">
                  <c:v>1</c:v>
                </c:pt>
                <c:pt idx="14">
                  <c:v>0.96201329534662872</c:v>
                </c:pt>
                <c:pt idx="15">
                  <c:v>1</c:v>
                </c:pt>
                <c:pt idx="16">
                  <c:v>0</c:v>
                </c:pt>
                <c:pt idx="17">
                  <c:v>0.91666666666666663</c:v>
                </c:pt>
                <c:pt idx="18">
                  <c:v>0.91166713090927276</c:v>
                </c:pt>
                <c:pt idx="19">
                  <c:v>0.99128282828282821</c:v>
                </c:pt>
                <c:pt idx="20">
                  <c:v>0.89784157066765768</c:v>
                </c:pt>
                <c:pt idx="21">
                  <c:v>0.99145299145299148</c:v>
                </c:pt>
                <c:pt idx="22">
                  <c:v>0.75</c:v>
                </c:pt>
                <c:pt idx="23">
                  <c:v>1</c:v>
                </c:pt>
                <c:pt idx="24">
                  <c:v>0.75</c:v>
                </c:pt>
                <c:pt idx="25">
                  <c:v>0.71666666666666667</c:v>
                </c:pt>
                <c:pt idx="26">
                  <c:v>0.66666666666666663</c:v>
                </c:pt>
                <c:pt idx="27">
                  <c:v>0.31666666666666671</c:v>
                </c:pt>
                <c:pt idx="28">
                  <c:v>0.77777777777777768</c:v>
                </c:pt>
                <c:pt idx="29">
                  <c:v>0.5</c:v>
                </c:pt>
                <c:pt idx="30">
                  <c:v>0.1111111111111111</c:v>
                </c:pt>
                <c:pt idx="31">
                  <c:v>0.75</c:v>
                </c:pt>
                <c:pt idx="32">
                  <c:v>0</c:v>
                </c:pt>
                <c:pt idx="33">
                  <c:v>0.16666666666666666</c:v>
                </c:pt>
                <c:pt idx="34">
                  <c:v>0.15384615384615385</c:v>
                </c:pt>
                <c:pt idx="35">
                  <c:v>0.34814814814814815</c:v>
                </c:pt>
                <c:pt idx="36">
                  <c:v>0.14285714285714285</c:v>
                </c:pt>
                <c:pt idx="37">
                  <c:v>0.30578512396694219</c:v>
                </c:pt>
                <c:pt idx="38">
                  <c:v>0.12179487179487179</c:v>
                </c:pt>
                <c:pt idx="39">
                  <c:v>0.22222222222222221</c:v>
                </c:pt>
                <c:pt idx="40">
                  <c:v>0.55555555555555558</c:v>
                </c:pt>
                <c:pt idx="41">
                  <c:v>0.33333333333333337</c:v>
                </c:pt>
                <c:pt idx="42">
                  <c:v>0.17037037037037037</c:v>
                </c:pt>
                <c:pt idx="43">
                  <c:v>0.2</c:v>
                </c:pt>
                <c:pt idx="44">
                  <c:v>4.7619047619047616E-2</c:v>
                </c:pt>
                <c:pt idx="45">
                  <c:v>0</c:v>
                </c:pt>
                <c:pt idx="46">
                  <c:v>0</c:v>
                </c:pt>
                <c:pt idx="47">
                  <c:v>0</c:v>
                </c:pt>
                <c:pt idx="48">
                  <c:v>3.923611111111111E-2</c:v>
                </c:pt>
                <c:pt idx="49">
                  <c:v>1.9138629523975804E-2</c:v>
                </c:pt>
                <c:pt idx="50">
                  <c:v>8.8269386127353092E-2</c:v>
                </c:pt>
                <c:pt idx="51">
                  <c:v>6.4636078679935469E-2</c:v>
                </c:pt>
                <c:pt idx="52">
                  <c:v>0.14073863596228373</c:v>
                </c:pt>
              </c:numCache>
            </c:numRef>
          </c:val>
          <c:extLst>
            <c:ext xmlns:c16="http://schemas.microsoft.com/office/drawing/2014/chart" uri="{C3380CC4-5D6E-409C-BE32-E72D297353CC}">
              <c16:uniqueId val="{00000001-77D1-4F11-8DED-8355D5A841A4}"/>
            </c:ext>
          </c:extLst>
        </c:ser>
        <c:dLbls>
          <c:showLegendKey val="0"/>
          <c:showVal val="0"/>
          <c:showCatName val="0"/>
          <c:showSerName val="0"/>
          <c:showPercent val="0"/>
          <c:showBubbleSize val="0"/>
        </c:dLbls>
        <c:gapWidth val="150"/>
        <c:overlap val="100"/>
        <c:axId val="160630272"/>
        <c:axId val="154368768"/>
      </c:barChart>
      <c:lineChart>
        <c:grouping val="standard"/>
        <c:varyColors val="0"/>
        <c:ser>
          <c:idx val="2"/>
          <c:order val="2"/>
          <c:tx>
            <c:strRef>
              <c:f>TreatyCatch!$EG$179</c:f>
              <c:strCache>
                <c:ptCount val="1"/>
                <c:pt idx="0">
                  <c:v>Average treaty catch</c:v>
                </c:pt>
              </c:strCache>
            </c:strRef>
          </c:tx>
          <c:spPr>
            <a:ln>
              <a:solidFill>
                <a:sysClr val="windowText" lastClr="000000">
                  <a:alpha val="80000"/>
                </a:sysClr>
              </a:solidFill>
            </a:ln>
          </c:spPr>
          <c:marker>
            <c:symbol val="none"/>
          </c:marker>
          <c:val>
            <c:numRef>
              <c:f>TreatyCatch!$EG$180:$EG$232</c:f>
              <c:numCache>
                <c:formatCode>0.0</c:formatCode>
                <c:ptCount val="53"/>
                <c:pt idx="0">
                  <c:v>151</c:v>
                </c:pt>
                <c:pt idx="1">
                  <c:v>196.68181818181819</c:v>
                </c:pt>
                <c:pt idx="2">
                  <c:v>247.33333333333334</c:v>
                </c:pt>
                <c:pt idx="3">
                  <c:v>91.61904761904762</c:v>
                </c:pt>
                <c:pt idx="4">
                  <c:v>79.55</c:v>
                </c:pt>
                <c:pt idx="5">
                  <c:v>38.944444444444443</c:v>
                </c:pt>
                <c:pt idx="6">
                  <c:v>42.3</c:v>
                </c:pt>
                <c:pt idx="7">
                  <c:v>22.714285714285715</c:v>
                </c:pt>
                <c:pt idx="8">
                  <c:v>15.75</c:v>
                </c:pt>
                <c:pt idx="9">
                  <c:v>22</c:v>
                </c:pt>
                <c:pt idx="10">
                  <c:v>27</c:v>
                </c:pt>
                <c:pt idx="11">
                  <c:v>22.857142857142858</c:v>
                </c:pt>
                <c:pt idx="12">
                  <c:v>28.2</c:v>
                </c:pt>
                <c:pt idx="13">
                  <c:v>21.666666666666668</c:v>
                </c:pt>
                <c:pt idx="14">
                  <c:v>14</c:v>
                </c:pt>
                <c:pt idx="15">
                  <c:v>28.75</c:v>
                </c:pt>
                <c:pt idx="16">
                  <c:v>0</c:v>
                </c:pt>
                <c:pt idx="17">
                  <c:v>3.5661</c:v>
                </c:pt>
                <c:pt idx="18">
                  <c:v>15.87475908</c:v>
                </c:pt>
                <c:pt idx="19">
                  <c:v>12.755240000000001</c:v>
                </c:pt>
                <c:pt idx="20">
                  <c:v>27.283600000000007</c:v>
                </c:pt>
                <c:pt idx="21">
                  <c:v>6.1226149999999997</c:v>
                </c:pt>
                <c:pt idx="22">
                  <c:v>0.33050000000000002</c:v>
                </c:pt>
                <c:pt idx="23">
                  <c:v>1.3966000000000001</c:v>
                </c:pt>
                <c:pt idx="24">
                  <c:v>4.5</c:v>
                </c:pt>
                <c:pt idx="25">
                  <c:v>3.5454545454545454</c:v>
                </c:pt>
                <c:pt idx="26">
                  <c:v>7.083333333333333</c:v>
                </c:pt>
                <c:pt idx="27">
                  <c:v>13.875</c:v>
                </c:pt>
                <c:pt idx="28">
                  <c:v>9.8888888888888893</c:v>
                </c:pt>
                <c:pt idx="29">
                  <c:v>10.75</c:v>
                </c:pt>
                <c:pt idx="30">
                  <c:v>2.2000000000000002</c:v>
                </c:pt>
                <c:pt idx="31">
                  <c:v>2.6666666666666665</c:v>
                </c:pt>
                <c:pt idx="32">
                  <c:v>0</c:v>
                </c:pt>
                <c:pt idx="33">
                  <c:v>41.833333333333336</c:v>
                </c:pt>
                <c:pt idx="34">
                  <c:v>26.75</c:v>
                </c:pt>
                <c:pt idx="35">
                  <c:v>28.555555555555557</c:v>
                </c:pt>
                <c:pt idx="36">
                  <c:v>13.125</c:v>
                </c:pt>
                <c:pt idx="37">
                  <c:v>15.090909090909092</c:v>
                </c:pt>
                <c:pt idx="38">
                  <c:v>22.333333333333332</c:v>
                </c:pt>
                <c:pt idx="39">
                  <c:v>17.399999999999999</c:v>
                </c:pt>
                <c:pt idx="40">
                  <c:v>10.25</c:v>
                </c:pt>
                <c:pt idx="41">
                  <c:v>3.7142857142857144</c:v>
                </c:pt>
                <c:pt idx="42">
                  <c:v>5.833333333333333</c:v>
                </c:pt>
                <c:pt idx="43">
                  <c:v>4.9000000000000004</c:v>
                </c:pt>
                <c:pt idx="44">
                  <c:v>2.4285714285714284</c:v>
                </c:pt>
                <c:pt idx="45">
                  <c:v>6.666666666666667</c:v>
                </c:pt>
                <c:pt idx="46">
                  <c:v>13.090909090909092</c:v>
                </c:pt>
                <c:pt idx="47">
                  <c:v>34.888888888888886</c:v>
                </c:pt>
                <c:pt idx="48">
                  <c:v>26.083333333333332</c:v>
                </c:pt>
                <c:pt idx="49">
                  <c:v>81.826086956521735</c:v>
                </c:pt>
                <c:pt idx="50">
                  <c:v>174.32</c:v>
                </c:pt>
                <c:pt idx="51">
                  <c:v>249.04761904761904</c:v>
                </c:pt>
                <c:pt idx="52">
                  <c:v>254.22222222222223</c:v>
                </c:pt>
              </c:numCache>
            </c:numRef>
          </c:val>
          <c:smooth val="0"/>
          <c:extLst>
            <c:ext xmlns:c16="http://schemas.microsoft.com/office/drawing/2014/chart" uri="{C3380CC4-5D6E-409C-BE32-E72D297353CC}">
              <c16:uniqueId val="{00000002-77D1-4F11-8DED-8355D5A841A4}"/>
            </c:ext>
          </c:extLst>
        </c:ser>
        <c:dLbls>
          <c:showLegendKey val="0"/>
          <c:showVal val="0"/>
          <c:showCatName val="0"/>
          <c:showSerName val="0"/>
          <c:showPercent val="0"/>
          <c:showBubbleSize val="0"/>
        </c:dLbls>
        <c:marker val="1"/>
        <c:smooth val="0"/>
        <c:axId val="160631296"/>
        <c:axId val="154369344"/>
      </c:lineChart>
      <c:catAx>
        <c:axId val="160630272"/>
        <c:scaling>
          <c:orientation val="minMax"/>
        </c:scaling>
        <c:delete val="0"/>
        <c:axPos val="b"/>
        <c:title>
          <c:tx>
            <c:rich>
              <a:bodyPr/>
              <a:lstStyle/>
              <a:p>
                <a:pPr>
                  <a:defRPr/>
                </a:pPr>
                <a:r>
                  <a:rPr lang="en-US"/>
                  <a:t>Management Week</a:t>
                </a:r>
              </a:p>
            </c:rich>
          </c:tx>
          <c:overlay val="0"/>
        </c:title>
        <c:majorTickMark val="out"/>
        <c:minorTickMark val="none"/>
        <c:tickLblPos val="nextTo"/>
        <c:crossAx val="154368768"/>
        <c:crosses val="autoZero"/>
        <c:auto val="1"/>
        <c:lblAlgn val="ctr"/>
        <c:lblOffset val="100"/>
        <c:noMultiLvlLbl val="0"/>
      </c:catAx>
      <c:valAx>
        <c:axId val="154368768"/>
        <c:scaling>
          <c:orientation val="minMax"/>
        </c:scaling>
        <c:delete val="0"/>
        <c:axPos val="l"/>
        <c:majorGridlines/>
        <c:title>
          <c:tx>
            <c:rich>
              <a:bodyPr rot="-5400000" vert="horz"/>
              <a:lstStyle/>
              <a:p>
                <a:pPr>
                  <a:defRPr/>
                </a:pPr>
                <a:r>
                  <a:rPr lang="en-US"/>
                  <a:t>Average Hatchery and Wild Proportion of Samples</a:t>
                </a:r>
              </a:p>
            </c:rich>
          </c:tx>
          <c:overlay val="0"/>
        </c:title>
        <c:numFmt formatCode="#,##0.00" sourceLinked="0"/>
        <c:majorTickMark val="out"/>
        <c:minorTickMark val="none"/>
        <c:tickLblPos val="nextTo"/>
        <c:crossAx val="160630272"/>
        <c:crosses val="autoZero"/>
        <c:crossBetween val="between"/>
      </c:valAx>
      <c:valAx>
        <c:axId val="154369344"/>
        <c:scaling>
          <c:orientation val="minMax"/>
          <c:max val="270"/>
          <c:min val="0"/>
        </c:scaling>
        <c:delete val="0"/>
        <c:axPos val="r"/>
        <c:title>
          <c:tx>
            <c:rich>
              <a:bodyPr rot="-5400000" vert="horz"/>
              <a:lstStyle/>
              <a:p>
                <a:pPr>
                  <a:defRPr/>
                </a:pPr>
                <a:r>
                  <a:rPr lang="en-US"/>
                  <a:t>Average</a:t>
                </a:r>
                <a:r>
                  <a:rPr lang="en-US" baseline="0"/>
                  <a:t> </a:t>
                </a:r>
                <a:r>
                  <a:rPr lang="en-US"/>
                  <a:t>Treaty Catch</a:t>
                </a:r>
              </a:p>
            </c:rich>
          </c:tx>
          <c:overlay val="0"/>
        </c:title>
        <c:numFmt formatCode="0" sourceLinked="0"/>
        <c:majorTickMark val="out"/>
        <c:minorTickMark val="none"/>
        <c:tickLblPos val="nextTo"/>
        <c:crossAx val="160631296"/>
        <c:crosses val="max"/>
        <c:crossBetween val="between"/>
        <c:majorUnit val="20"/>
      </c:valAx>
      <c:catAx>
        <c:axId val="160631296"/>
        <c:scaling>
          <c:orientation val="minMax"/>
        </c:scaling>
        <c:delete val="1"/>
        <c:axPos val="b"/>
        <c:majorTickMark val="out"/>
        <c:minorTickMark val="none"/>
        <c:tickLblPos val="none"/>
        <c:crossAx val="154369344"/>
        <c:crosses val="autoZero"/>
        <c:auto val="1"/>
        <c:lblAlgn val="ctr"/>
        <c:lblOffset val="100"/>
        <c:noMultiLvlLbl val="0"/>
      </c:catAx>
    </c:plotArea>
    <c:legend>
      <c:legendPos val="r"/>
      <c:overlay val="0"/>
      <c:txPr>
        <a:bodyPr/>
        <a:lstStyle/>
        <a:p>
          <a:pPr>
            <a:defRPr sz="800"/>
          </a:pPr>
          <a:endParaRPr lang="en-US"/>
        </a:p>
      </c:txPr>
    </c:legend>
    <c:plotVisOnly val="1"/>
    <c:dispBlanksAs val="gap"/>
    <c:showDLblsOverMax val="0"/>
  </c:chart>
  <c:printSettings>
    <c:headerFooter/>
    <c:pageMargins b="0.75000000000001421" l="0.70000000000000062" r="0.70000000000000062" t="0.7500000000000142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Average Annual, Hatchery and Wild Proportion of Samples by Week and Treaty Catch by Week 2001–2011 </a:t>
            </a:r>
          </a:p>
        </c:rich>
      </c:tx>
      <c:overlay val="0"/>
    </c:title>
    <c:autoTitleDeleted val="0"/>
    <c:plotArea>
      <c:layout/>
      <c:barChart>
        <c:barDir val="col"/>
        <c:grouping val="percentStacked"/>
        <c:varyColors val="0"/>
        <c:ser>
          <c:idx val="0"/>
          <c:order val="0"/>
          <c:tx>
            <c:strRef>
              <c:f>TreatyCatch!$EQ$62</c:f>
              <c:strCache>
                <c:ptCount val="1"/>
                <c:pt idx="0">
                  <c:v>H Proportions</c:v>
                </c:pt>
              </c:strCache>
            </c:strRef>
          </c:tx>
          <c:spPr>
            <a:solidFill>
              <a:schemeClr val="tx2">
                <a:lumMod val="60000"/>
                <a:lumOff val="40000"/>
              </a:schemeClr>
            </a:solidFill>
            <a:ln>
              <a:solidFill>
                <a:schemeClr val="tx2">
                  <a:lumMod val="60000"/>
                  <a:lumOff val="40000"/>
                </a:schemeClr>
              </a:solidFill>
            </a:ln>
          </c:spPr>
          <c:invertIfNegative val="0"/>
          <c:val>
            <c:numRef>
              <c:f>TreatyCatch!$EQ$63:$EQ$115</c:f>
              <c:numCache>
                <c:formatCode>0.0000</c:formatCode>
                <c:ptCount val="53"/>
                <c:pt idx="0">
                  <c:v>0.90325670498084287</c:v>
                </c:pt>
                <c:pt idx="1">
                  <c:v>0.42185592185592186</c:v>
                </c:pt>
                <c:pt idx="2">
                  <c:v>0.66666666666666674</c:v>
                </c:pt>
                <c:pt idx="3">
                  <c:v>0.53947368421052633</c:v>
                </c:pt>
                <c:pt idx="4">
                  <c:v>0.44000000000000006</c:v>
                </c:pt>
                <c:pt idx="5">
                  <c:v>0.12466969893870478</c:v>
                </c:pt>
                <c:pt idx="6">
                  <c:v>0.22943300397081914</c:v>
                </c:pt>
                <c:pt idx="7">
                  <c:v>0.38055555555555559</c:v>
                </c:pt>
                <c:pt idx="8">
                  <c:v>0.12351190476190477</c:v>
                </c:pt>
                <c:pt idx="9">
                  <c:v>8.461538461538462E-2</c:v>
                </c:pt>
                <c:pt idx="10">
                  <c:v>5.9294871794871799E-2</c:v>
                </c:pt>
                <c:pt idx="11">
                  <c:v>3.9230769230769236E-2</c:v>
                </c:pt>
                <c:pt idx="12">
                  <c:v>7.8947368421052627E-2</c:v>
                </c:pt>
                <c:pt idx="13">
                  <c:v>0</c:v>
                </c:pt>
                <c:pt idx="14">
                  <c:v>3.7986704653371318E-2</c:v>
                </c:pt>
                <c:pt idx="15">
                  <c:v>0</c:v>
                </c:pt>
                <c:pt idx="16">
                  <c:v>0</c:v>
                </c:pt>
                <c:pt idx="17">
                  <c:v>0.25</c:v>
                </c:pt>
                <c:pt idx="18">
                  <c:v>1.911036832294144E-2</c:v>
                </c:pt>
                <c:pt idx="19">
                  <c:v>1.4943722943722945E-2</c:v>
                </c:pt>
                <c:pt idx="20">
                  <c:v>2.6780626780626784E-2</c:v>
                </c:pt>
                <c:pt idx="21">
                  <c:v>0</c:v>
                </c:pt>
                <c:pt idx="22">
                  <c:v>0</c:v>
                </c:pt>
                <c:pt idx="23">
                  <c:v>0</c:v>
                </c:pt>
                <c:pt idx="24">
                  <c:v>0</c:v>
                </c:pt>
                <c:pt idx="25">
                  <c:v>0.47222222222222215</c:v>
                </c:pt>
                <c:pt idx="26">
                  <c:v>0.5</c:v>
                </c:pt>
                <c:pt idx="27">
                  <c:v>0.60416666666666674</c:v>
                </c:pt>
                <c:pt idx="28">
                  <c:v>0.22222222222222221</c:v>
                </c:pt>
                <c:pt idx="29">
                  <c:v>0.5</c:v>
                </c:pt>
                <c:pt idx="30">
                  <c:v>0.88888888888888884</c:v>
                </c:pt>
                <c:pt idx="31">
                  <c:v>0.25</c:v>
                </c:pt>
                <c:pt idx="32">
                  <c:v>0</c:v>
                </c:pt>
                <c:pt idx="33">
                  <c:v>1</c:v>
                </c:pt>
                <c:pt idx="34">
                  <c:v>0.875</c:v>
                </c:pt>
                <c:pt idx="35">
                  <c:v>0.43333333333333335</c:v>
                </c:pt>
                <c:pt idx="36">
                  <c:v>1</c:v>
                </c:pt>
                <c:pt idx="37">
                  <c:v>0.52727272727272723</c:v>
                </c:pt>
                <c:pt idx="38">
                  <c:v>1</c:v>
                </c:pt>
                <c:pt idx="39">
                  <c:v>0.66666666666666663</c:v>
                </c:pt>
                <c:pt idx="40">
                  <c:v>1</c:v>
                </c:pt>
                <c:pt idx="41">
                  <c:v>0.56666666666666665</c:v>
                </c:pt>
                <c:pt idx="42">
                  <c:v>0.9</c:v>
                </c:pt>
                <c:pt idx="43">
                  <c:v>0.5</c:v>
                </c:pt>
                <c:pt idx="44">
                  <c:v>1</c:v>
                </c:pt>
                <c:pt idx="45">
                  <c:v>1</c:v>
                </c:pt>
                <c:pt idx="46">
                  <c:v>0</c:v>
                </c:pt>
                <c:pt idx="47">
                  <c:v>1</c:v>
                </c:pt>
                <c:pt idx="48">
                  <c:v>0.98124999999999996</c:v>
                </c:pt>
                <c:pt idx="49">
                  <c:v>0.98319327731092443</c:v>
                </c:pt>
                <c:pt idx="50">
                  <c:v>0.89030214424951259</c:v>
                </c:pt>
                <c:pt idx="51">
                  <c:v>0.94862739733166557</c:v>
                </c:pt>
                <c:pt idx="52">
                  <c:v>0.93610056925996199</c:v>
                </c:pt>
              </c:numCache>
            </c:numRef>
          </c:val>
          <c:extLst>
            <c:ext xmlns:c16="http://schemas.microsoft.com/office/drawing/2014/chart" uri="{C3380CC4-5D6E-409C-BE32-E72D297353CC}">
              <c16:uniqueId val="{00000000-8E77-405D-8748-24E16A9BE4D2}"/>
            </c:ext>
          </c:extLst>
        </c:ser>
        <c:ser>
          <c:idx val="1"/>
          <c:order val="1"/>
          <c:tx>
            <c:strRef>
              <c:f>TreatyCatch!$ER$62</c:f>
              <c:strCache>
                <c:ptCount val="1"/>
                <c:pt idx="0">
                  <c:v>W Proportions</c:v>
                </c:pt>
              </c:strCache>
            </c:strRef>
          </c:tx>
          <c:spPr>
            <a:solidFill>
              <a:schemeClr val="bg1">
                <a:lumMod val="75000"/>
              </a:schemeClr>
            </a:solidFill>
            <a:ln>
              <a:solidFill>
                <a:schemeClr val="bg1">
                  <a:lumMod val="75000"/>
                </a:schemeClr>
              </a:solidFill>
            </a:ln>
          </c:spPr>
          <c:invertIfNegative val="0"/>
          <c:val>
            <c:numRef>
              <c:f>TreatyCatch!$ER$63:$ER$115</c:f>
              <c:numCache>
                <c:formatCode>0.0000</c:formatCode>
                <c:ptCount val="53"/>
                <c:pt idx="0">
                  <c:v>9.6743295019157086E-2</c:v>
                </c:pt>
                <c:pt idx="1">
                  <c:v>0.5781440781440782</c:v>
                </c:pt>
                <c:pt idx="2">
                  <c:v>0.33333333333333331</c:v>
                </c:pt>
                <c:pt idx="3">
                  <c:v>0.46052631578947367</c:v>
                </c:pt>
                <c:pt idx="4">
                  <c:v>0.55999999999999994</c:v>
                </c:pt>
                <c:pt idx="5">
                  <c:v>0.87533030106129528</c:v>
                </c:pt>
                <c:pt idx="6">
                  <c:v>0.77056699602918077</c:v>
                </c:pt>
                <c:pt idx="7">
                  <c:v>0.61944444444444446</c:v>
                </c:pt>
                <c:pt idx="8">
                  <c:v>0.87648809523809523</c:v>
                </c:pt>
                <c:pt idx="9">
                  <c:v>0.91538461538461546</c:v>
                </c:pt>
                <c:pt idx="10">
                  <c:v>0.94070512820512819</c:v>
                </c:pt>
                <c:pt idx="11">
                  <c:v>0.96076923076923082</c:v>
                </c:pt>
                <c:pt idx="12">
                  <c:v>0.92105263157894735</c:v>
                </c:pt>
                <c:pt idx="13">
                  <c:v>1</c:v>
                </c:pt>
                <c:pt idx="14">
                  <c:v>0.96201329534662872</c:v>
                </c:pt>
                <c:pt idx="15">
                  <c:v>1</c:v>
                </c:pt>
                <c:pt idx="16">
                  <c:v>0</c:v>
                </c:pt>
                <c:pt idx="17">
                  <c:v>0.75</c:v>
                </c:pt>
                <c:pt idx="18">
                  <c:v>0.98088963167705856</c:v>
                </c:pt>
                <c:pt idx="19">
                  <c:v>0.98505627705627696</c:v>
                </c:pt>
                <c:pt idx="20">
                  <c:v>0.97321937321937335</c:v>
                </c:pt>
                <c:pt idx="21">
                  <c:v>1</c:v>
                </c:pt>
                <c:pt idx="22">
                  <c:v>1</c:v>
                </c:pt>
                <c:pt idx="23">
                  <c:v>1</c:v>
                </c:pt>
                <c:pt idx="24">
                  <c:v>1</c:v>
                </c:pt>
                <c:pt idx="25">
                  <c:v>0.52777777777777779</c:v>
                </c:pt>
                <c:pt idx="26">
                  <c:v>0.5</c:v>
                </c:pt>
                <c:pt idx="27">
                  <c:v>0.39583333333333337</c:v>
                </c:pt>
                <c:pt idx="28">
                  <c:v>0.77777777777777768</c:v>
                </c:pt>
                <c:pt idx="29">
                  <c:v>0.5</c:v>
                </c:pt>
                <c:pt idx="30">
                  <c:v>0.1111111111111111</c:v>
                </c:pt>
                <c:pt idx="31">
                  <c:v>0.75</c:v>
                </c:pt>
                <c:pt idx="32">
                  <c:v>0</c:v>
                </c:pt>
                <c:pt idx="33">
                  <c:v>0</c:v>
                </c:pt>
                <c:pt idx="34">
                  <c:v>0.125</c:v>
                </c:pt>
                <c:pt idx="35">
                  <c:v>0.56666666666666665</c:v>
                </c:pt>
                <c:pt idx="36">
                  <c:v>0</c:v>
                </c:pt>
                <c:pt idx="37">
                  <c:v>0.47272727272727277</c:v>
                </c:pt>
                <c:pt idx="38">
                  <c:v>0</c:v>
                </c:pt>
                <c:pt idx="39">
                  <c:v>0.33333333333333331</c:v>
                </c:pt>
                <c:pt idx="40">
                  <c:v>0</c:v>
                </c:pt>
                <c:pt idx="41">
                  <c:v>0.4333333333333334</c:v>
                </c:pt>
                <c:pt idx="42">
                  <c:v>0.1</c:v>
                </c:pt>
                <c:pt idx="43">
                  <c:v>0.5</c:v>
                </c:pt>
                <c:pt idx="44">
                  <c:v>0</c:v>
                </c:pt>
                <c:pt idx="45">
                  <c:v>0</c:v>
                </c:pt>
                <c:pt idx="46">
                  <c:v>0</c:v>
                </c:pt>
                <c:pt idx="47">
                  <c:v>0</c:v>
                </c:pt>
                <c:pt idx="48">
                  <c:v>1.8749999999999999E-2</c:v>
                </c:pt>
                <c:pt idx="49">
                  <c:v>1.680672268907563E-2</c:v>
                </c:pt>
                <c:pt idx="50">
                  <c:v>0.10969785575048734</c:v>
                </c:pt>
                <c:pt idx="51">
                  <c:v>5.1372602668334377E-2</c:v>
                </c:pt>
                <c:pt idx="52">
                  <c:v>6.3899430740037955E-2</c:v>
                </c:pt>
              </c:numCache>
            </c:numRef>
          </c:val>
          <c:extLst>
            <c:ext xmlns:c16="http://schemas.microsoft.com/office/drawing/2014/chart" uri="{C3380CC4-5D6E-409C-BE32-E72D297353CC}">
              <c16:uniqueId val="{00000001-8E77-405D-8748-24E16A9BE4D2}"/>
            </c:ext>
          </c:extLst>
        </c:ser>
        <c:dLbls>
          <c:showLegendKey val="0"/>
          <c:showVal val="0"/>
          <c:showCatName val="0"/>
          <c:showSerName val="0"/>
          <c:showPercent val="0"/>
          <c:showBubbleSize val="0"/>
        </c:dLbls>
        <c:gapWidth val="150"/>
        <c:overlap val="100"/>
        <c:axId val="159219712"/>
        <c:axId val="159467200"/>
      </c:barChart>
      <c:lineChart>
        <c:grouping val="standard"/>
        <c:varyColors val="0"/>
        <c:ser>
          <c:idx val="2"/>
          <c:order val="2"/>
          <c:tx>
            <c:strRef>
              <c:f>TreatyCatch!$EH$179</c:f>
              <c:strCache>
                <c:ptCount val="1"/>
                <c:pt idx="0">
                  <c:v>Average treaty catch</c:v>
                </c:pt>
              </c:strCache>
            </c:strRef>
          </c:tx>
          <c:spPr>
            <a:ln>
              <a:solidFill>
                <a:sysClr val="windowText" lastClr="000000">
                  <a:alpha val="80000"/>
                </a:sysClr>
              </a:solidFill>
            </a:ln>
          </c:spPr>
          <c:marker>
            <c:symbol val="none"/>
          </c:marker>
          <c:val>
            <c:numRef>
              <c:f>TreatyCatch!$EH$180:$EH$232</c:f>
              <c:numCache>
                <c:formatCode>0.0</c:formatCode>
                <c:ptCount val="53"/>
                <c:pt idx="0">
                  <c:v>32</c:v>
                </c:pt>
                <c:pt idx="1">
                  <c:v>48</c:v>
                </c:pt>
                <c:pt idx="2">
                  <c:v>57.125</c:v>
                </c:pt>
                <c:pt idx="3">
                  <c:v>31.375</c:v>
                </c:pt>
                <c:pt idx="4">
                  <c:v>16.833333333333332</c:v>
                </c:pt>
                <c:pt idx="5">
                  <c:v>24.5</c:v>
                </c:pt>
                <c:pt idx="6">
                  <c:v>22.333333333333332</c:v>
                </c:pt>
                <c:pt idx="7">
                  <c:v>17</c:v>
                </c:pt>
                <c:pt idx="8">
                  <c:v>17.222222222222221</c:v>
                </c:pt>
                <c:pt idx="9">
                  <c:v>18.8</c:v>
                </c:pt>
                <c:pt idx="10">
                  <c:v>39</c:v>
                </c:pt>
                <c:pt idx="11">
                  <c:v>28.4</c:v>
                </c:pt>
                <c:pt idx="12">
                  <c:v>32.75</c:v>
                </c:pt>
                <c:pt idx="13">
                  <c:v>18</c:v>
                </c:pt>
                <c:pt idx="14">
                  <c:v>14</c:v>
                </c:pt>
                <c:pt idx="15">
                  <c:v>35.666666666666664</c:v>
                </c:pt>
                <c:pt idx="16">
                  <c:v>0</c:v>
                </c:pt>
                <c:pt idx="17">
                  <c:v>6</c:v>
                </c:pt>
                <c:pt idx="18">
                  <c:v>18.560398849999999</c:v>
                </c:pt>
                <c:pt idx="19">
                  <c:v>15.411000000000001</c:v>
                </c:pt>
                <c:pt idx="20">
                  <c:v>12.374566666666666</c:v>
                </c:pt>
                <c:pt idx="21">
                  <c:v>3.3966000000000003</c:v>
                </c:pt>
                <c:pt idx="22">
                  <c:v>0</c:v>
                </c:pt>
                <c:pt idx="23">
                  <c:v>0</c:v>
                </c:pt>
                <c:pt idx="24">
                  <c:v>0</c:v>
                </c:pt>
                <c:pt idx="25">
                  <c:v>5.5</c:v>
                </c:pt>
                <c:pt idx="26">
                  <c:v>5</c:v>
                </c:pt>
                <c:pt idx="27">
                  <c:v>5</c:v>
                </c:pt>
                <c:pt idx="28">
                  <c:v>2.5</c:v>
                </c:pt>
                <c:pt idx="29">
                  <c:v>3</c:v>
                </c:pt>
                <c:pt idx="30">
                  <c:v>1.3333333333333333</c:v>
                </c:pt>
                <c:pt idx="31">
                  <c:v>3</c:v>
                </c:pt>
                <c:pt idx="32">
                  <c:v>0</c:v>
                </c:pt>
                <c:pt idx="33">
                  <c:v>2</c:v>
                </c:pt>
                <c:pt idx="34">
                  <c:v>1.25</c:v>
                </c:pt>
                <c:pt idx="35">
                  <c:v>5</c:v>
                </c:pt>
                <c:pt idx="36">
                  <c:v>1.5</c:v>
                </c:pt>
                <c:pt idx="37">
                  <c:v>5</c:v>
                </c:pt>
                <c:pt idx="38">
                  <c:v>2.6666666666666665</c:v>
                </c:pt>
                <c:pt idx="39">
                  <c:v>1.6666666666666667</c:v>
                </c:pt>
                <c:pt idx="40">
                  <c:v>0</c:v>
                </c:pt>
                <c:pt idx="41">
                  <c:v>1</c:v>
                </c:pt>
                <c:pt idx="42">
                  <c:v>4</c:v>
                </c:pt>
                <c:pt idx="43">
                  <c:v>3</c:v>
                </c:pt>
                <c:pt idx="44">
                  <c:v>2</c:v>
                </c:pt>
                <c:pt idx="45">
                  <c:v>1</c:v>
                </c:pt>
                <c:pt idx="46">
                  <c:v>1</c:v>
                </c:pt>
                <c:pt idx="47">
                  <c:v>11.5</c:v>
                </c:pt>
                <c:pt idx="48">
                  <c:v>16.333333333333332</c:v>
                </c:pt>
                <c:pt idx="49">
                  <c:v>39.545454545454547</c:v>
                </c:pt>
                <c:pt idx="50">
                  <c:v>62.18181818181818</c:v>
                </c:pt>
                <c:pt idx="51">
                  <c:v>63</c:v>
                </c:pt>
                <c:pt idx="52">
                  <c:v>48.857142857142854</c:v>
                </c:pt>
              </c:numCache>
            </c:numRef>
          </c:val>
          <c:smooth val="0"/>
          <c:extLst>
            <c:ext xmlns:c16="http://schemas.microsoft.com/office/drawing/2014/chart" uri="{C3380CC4-5D6E-409C-BE32-E72D297353CC}">
              <c16:uniqueId val="{00000002-8E77-405D-8748-24E16A9BE4D2}"/>
            </c:ext>
          </c:extLst>
        </c:ser>
        <c:dLbls>
          <c:showLegendKey val="0"/>
          <c:showVal val="0"/>
          <c:showCatName val="0"/>
          <c:showSerName val="0"/>
          <c:showPercent val="0"/>
          <c:showBubbleSize val="0"/>
        </c:dLbls>
        <c:marker val="1"/>
        <c:smooth val="0"/>
        <c:axId val="159220736"/>
        <c:axId val="159467776"/>
      </c:lineChart>
      <c:catAx>
        <c:axId val="159219712"/>
        <c:scaling>
          <c:orientation val="minMax"/>
        </c:scaling>
        <c:delete val="0"/>
        <c:axPos val="b"/>
        <c:title>
          <c:tx>
            <c:rich>
              <a:bodyPr/>
              <a:lstStyle/>
              <a:p>
                <a:pPr>
                  <a:defRPr/>
                </a:pPr>
                <a:r>
                  <a:rPr lang="en-US"/>
                  <a:t>Management Week</a:t>
                </a:r>
              </a:p>
            </c:rich>
          </c:tx>
          <c:overlay val="0"/>
        </c:title>
        <c:majorTickMark val="out"/>
        <c:minorTickMark val="none"/>
        <c:tickLblPos val="nextTo"/>
        <c:crossAx val="159467200"/>
        <c:crosses val="autoZero"/>
        <c:auto val="1"/>
        <c:lblAlgn val="ctr"/>
        <c:lblOffset val="100"/>
        <c:noMultiLvlLbl val="0"/>
      </c:catAx>
      <c:valAx>
        <c:axId val="159467200"/>
        <c:scaling>
          <c:orientation val="minMax"/>
        </c:scaling>
        <c:delete val="0"/>
        <c:axPos val="l"/>
        <c:majorGridlines/>
        <c:title>
          <c:tx>
            <c:rich>
              <a:bodyPr rot="-5400000" vert="horz"/>
              <a:lstStyle/>
              <a:p>
                <a:pPr>
                  <a:defRPr/>
                </a:pPr>
                <a:r>
                  <a:rPr lang="en-US"/>
                  <a:t>Average</a:t>
                </a:r>
                <a:r>
                  <a:rPr lang="en-US" baseline="0"/>
                  <a:t> </a:t>
                </a:r>
                <a:r>
                  <a:rPr lang="en-US"/>
                  <a:t>Hatchery and Wild Proportion of Samples</a:t>
                </a:r>
              </a:p>
            </c:rich>
          </c:tx>
          <c:overlay val="0"/>
        </c:title>
        <c:numFmt formatCode="#,##0.00" sourceLinked="0"/>
        <c:majorTickMark val="out"/>
        <c:minorTickMark val="none"/>
        <c:tickLblPos val="nextTo"/>
        <c:crossAx val="159219712"/>
        <c:crosses val="autoZero"/>
        <c:crossBetween val="between"/>
      </c:valAx>
      <c:valAx>
        <c:axId val="159467776"/>
        <c:scaling>
          <c:orientation val="minMax"/>
          <c:max val="80"/>
          <c:min val="0"/>
        </c:scaling>
        <c:delete val="0"/>
        <c:axPos val="r"/>
        <c:title>
          <c:tx>
            <c:rich>
              <a:bodyPr rot="-5400000" vert="horz"/>
              <a:lstStyle/>
              <a:p>
                <a:pPr>
                  <a:defRPr/>
                </a:pPr>
                <a:r>
                  <a:rPr lang="en-US"/>
                  <a:t>Average Treaty Catch</a:t>
                </a:r>
              </a:p>
            </c:rich>
          </c:tx>
          <c:overlay val="0"/>
        </c:title>
        <c:numFmt formatCode="0" sourceLinked="0"/>
        <c:majorTickMark val="out"/>
        <c:minorTickMark val="none"/>
        <c:tickLblPos val="nextTo"/>
        <c:crossAx val="159220736"/>
        <c:crosses val="max"/>
        <c:crossBetween val="between"/>
        <c:majorUnit val="10"/>
      </c:valAx>
      <c:catAx>
        <c:axId val="159220736"/>
        <c:scaling>
          <c:orientation val="minMax"/>
        </c:scaling>
        <c:delete val="1"/>
        <c:axPos val="b"/>
        <c:majorTickMark val="out"/>
        <c:minorTickMark val="none"/>
        <c:tickLblPos val="none"/>
        <c:crossAx val="159467776"/>
        <c:crosses val="autoZero"/>
        <c:auto val="1"/>
        <c:lblAlgn val="ctr"/>
        <c:lblOffset val="100"/>
        <c:noMultiLvlLbl val="0"/>
      </c:catAx>
    </c:plotArea>
    <c:legend>
      <c:legendPos val="r"/>
      <c:overlay val="0"/>
      <c:txPr>
        <a:bodyPr/>
        <a:lstStyle/>
        <a:p>
          <a:pPr>
            <a:defRPr sz="800"/>
          </a:pPr>
          <a:endParaRPr lang="en-US"/>
        </a:p>
      </c:txPr>
    </c:legend>
    <c:plotVisOnly val="1"/>
    <c:dispBlanksAs val="gap"/>
    <c:showDLblsOverMax val="0"/>
  </c:chart>
  <c:printSettings>
    <c:headerFooter/>
    <c:pageMargins b="0.75000000000001421" l="0.70000000000000062" r="0.70000000000000062" t="0.75000000000001421" header="0.30000000000000032" footer="0.30000000000000032"/>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Average Annual, Wild Proportion of Samples by Week and Treaty Wild Catch by Week 2001</a:t>
            </a:r>
            <a:r>
              <a:rPr lang="en-US" sz="1100" b="1" i="0" u="none" strike="noStrike" baseline="0"/>
              <a:t>–</a:t>
            </a:r>
            <a:r>
              <a:rPr lang="en-US" sz="1100"/>
              <a:t>2011 </a:t>
            </a:r>
          </a:p>
        </c:rich>
      </c:tx>
      <c:overlay val="0"/>
    </c:title>
    <c:autoTitleDeleted val="0"/>
    <c:plotArea>
      <c:layout/>
      <c:barChart>
        <c:barDir val="col"/>
        <c:grouping val="clustered"/>
        <c:varyColors val="0"/>
        <c:ser>
          <c:idx val="0"/>
          <c:order val="0"/>
          <c:tx>
            <c:strRef>
              <c:f>TreatyCatch!$ER$62</c:f>
              <c:strCache>
                <c:ptCount val="1"/>
                <c:pt idx="0">
                  <c:v>W Proportions</c:v>
                </c:pt>
              </c:strCache>
            </c:strRef>
          </c:tx>
          <c:spPr>
            <a:solidFill>
              <a:schemeClr val="tx2">
                <a:lumMod val="60000"/>
                <a:lumOff val="40000"/>
              </a:schemeClr>
            </a:solidFill>
            <a:ln>
              <a:solidFill>
                <a:schemeClr val="tx2">
                  <a:lumMod val="60000"/>
                  <a:lumOff val="40000"/>
                </a:schemeClr>
              </a:solidFill>
            </a:ln>
          </c:spPr>
          <c:invertIfNegative val="0"/>
          <c:val>
            <c:numRef>
              <c:f>TreatyCatch!$ER$63:$ER$115</c:f>
              <c:numCache>
                <c:formatCode>0.0000</c:formatCode>
                <c:ptCount val="53"/>
                <c:pt idx="0">
                  <c:v>9.6743295019157086E-2</c:v>
                </c:pt>
                <c:pt idx="1">
                  <c:v>0.5781440781440782</c:v>
                </c:pt>
                <c:pt idx="2">
                  <c:v>0.33333333333333331</c:v>
                </c:pt>
                <c:pt idx="3">
                  <c:v>0.46052631578947367</c:v>
                </c:pt>
                <c:pt idx="4">
                  <c:v>0.55999999999999994</c:v>
                </c:pt>
                <c:pt idx="5">
                  <c:v>0.87533030106129528</c:v>
                </c:pt>
                <c:pt idx="6">
                  <c:v>0.77056699602918077</c:v>
                </c:pt>
                <c:pt idx="7">
                  <c:v>0.61944444444444446</c:v>
                </c:pt>
                <c:pt idx="8">
                  <c:v>0.87648809523809523</c:v>
                </c:pt>
                <c:pt idx="9">
                  <c:v>0.91538461538461546</c:v>
                </c:pt>
                <c:pt idx="10">
                  <c:v>0.94070512820512819</c:v>
                </c:pt>
                <c:pt idx="11">
                  <c:v>0.96076923076923082</c:v>
                </c:pt>
                <c:pt idx="12">
                  <c:v>0.92105263157894735</c:v>
                </c:pt>
                <c:pt idx="13">
                  <c:v>1</c:v>
                </c:pt>
                <c:pt idx="14">
                  <c:v>0.96201329534662872</c:v>
                </c:pt>
                <c:pt idx="15">
                  <c:v>1</c:v>
                </c:pt>
                <c:pt idx="16">
                  <c:v>0</c:v>
                </c:pt>
                <c:pt idx="17">
                  <c:v>0.75</c:v>
                </c:pt>
                <c:pt idx="18">
                  <c:v>0.98088963167705856</c:v>
                </c:pt>
                <c:pt idx="19">
                  <c:v>0.98505627705627696</c:v>
                </c:pt>
                <c:pt idx="20">
                  <c:v>0.97321937321937335</c:v>
                </c:pt>
                <c:pt idx="21">
                  <c:v>1</c:v>
                </c:pt>
                <c:pt idx="22">
                  <c:v>1</c:v>
                </c:pt>
                <c:pt idx="23">
                  <c:v>1</c:v>
                </c:pt>
                <c:pt idx="24">
                  <c:v>1</c:v>
                </c:pt>
                <c:pt idx="25">
                  <c:v>0.52777777777777779</c:v>
                </c:pt>
                <c:pt idx="26">
                  <c:v>0.5</c:v>
                </c:pt>
                <c:pt idx="27">
                  <c:v>0.39583333333333337</c:v>
                </c:pt>
                <c:pt idx="28">
                  <c:v>0.77777777777777768</c:v>
                </c:pt>
                <c:pt idx="29">
                  <c:v>0.5</c:v>
                </c:pt>
                <c:pt idx="30">
                  <c:v>0.1111111111111111</c:v>
                </c:pt>
                <c:pt idx="31">
                  <c:v>0.75</c:v>
                </c:pt>
                <c:pt idx="32">
                  <c:v>0</c:v>
                </c:pt>
                <c:pt idx="33">
                  <c:v>0</c:v>
                </c:pt>
                <c:pt idx="34">
                  <c:v>0.125</c:v>
                </c:pt>
                <c:pt idx="35">
                  <c:v>0.56666666666666665</c:v>
                </c:pt>
                <c:pt idx="36">
                  <c:v>0</c:v>
                </c:pt>
                <c:pt idx="37">
                  <c:v>0.47272727272727277</c:v>
                </c:pt>
                <c:pt idx="38">
                  <c:v>0</c:v>
                </c:pt>
                <c:pt idx="39">
                  <c:v>0.33333333333333331</c:v>
                </c:pt>
                <c:pt idx="40">
                  <c:v>0</c:v>
                </c:pt>
                <c:pt idx="41">
                  <c:v>0.4333333333333334</c:v>
                </c:pt>
                <c:pt idx="42">
                  <c:v>0.1</c:v>
                </c:pt>
                <c:pt idx="43">
                  <c:v>0.5</c:v>
                </c:pt>
                <c:pt idx="44">
                  <c:v>0</c:v>
                </c:pt>
                <c:pt idx="45">
                  <c:v>0</c:v>
                </c:pt>
                <c:pt idx="46">
                  <c:v>0</c:v>
                </c:pt>
                <c:pt idx="47">
                  <c:v>0</c:v>
                </c:pt>
                <c:pt idx="48">
                  <c:v>1.8749999999999999E-2</c:v>
                </c:pt>
                <c:pt idx="49">
                  <c:v>1.680672268907563E-2</c:v>
                </c:pt>
                <c:pt idx="50">
                  <c:v>0.10969785575048734</c:v>
                </c:pt>
                <c:pt idx="51">
                  <c:v>5.1372602668334377E-2</c:v>
                </c:pt>
                <c:pt idx="52">
                  <c:v>6.3899430740037955E-2</c:v>
                </c:pt>
              </c:numCache>
            </c:numRef>
          </c:val>
          <c:extLst>
            <c:ext xmlns:c16="http://schemas.microsoft.com/office/drawing/2014/chart" uri="{C3380CC4-5D6E-409C-BE32-E72D297353CC}">
              <c16:uniqueId val="{00000000-D2A0-45A7-A024-56872556A678}"/>
            </c:ext>
          </c:extLst>
        </c:ser>
        <c:dLbls>
          <c:showLegendKey val="0"/>
          <c:showVal val="0"/>
          <c:showCatName val="0"/>
          <c:showSerName val="0"/>
          <c:showPercent val="0"/>
          <c:showBubbleSize val="0"/>
        </c:dLbls>
        <c:gapWidth val="150"/>
        <c:axId val="159221760"/>
        <c:axId val="159470656"/>
      </c:barChart>
      <c:lineChart>
        <c:grouping val="standard"/>
        <c:varyColors val="0"/>
        <c:ser>
          <c:idx val="2"/>
          <c:order val="1"/>
          <c:tx>
            <c:strRef>
              <c:f>TreatyCatch!$EP$237</c:f>
              <c:strCache>
                <c:ptCount val="1"/>
                <c:pt idx="0">
                  <c:v>Average wild</c:v>
                </c:pt>
              </c:strCache>
            </c:strRef>
          </c:tx>
          <c:spPr>
            <a:ln>
              <a:solidFill>
                <a:sysClr val="windowText" lastClr="000000">
                  <a:alpha val="80000"/>
                </a:sysClr>
              </a:solidFill>
            </a:ln>
          </c:spPr>
          <c:marker>
            <c:symbol val="none"/>
          </c:marker>
          <c:val>
            <c:numRef>
              <c:f>TreatyCatch!$EP$239:$EP$291</c:f>
              <c:numCache>
                <c:formatCode>0.0</c:formatCode>
                <c:ptCount val="53"/>
                <c:pt idx="0">
                  <c:v>10.996408045977011</c:v>
                </c:pt>
                <c:pt idx="1">
                  <c:v>13.618381618381619</c:v>
                </c:pt>
                <c:pt idx="2">
                  <c:v>19.851851851851851</c:v>
                </c:pt>
                <c:pt idx="3">
                  <c:v>11.490350877192981</c:v>
                </c:pt>
                <c:pt idx="4">
                  <c:v>8.2900000000000009</c:v>
                </c:pt>
                <c:pt idx="5">
                  <c:v>17.048148148148147</c:v>
                </c:pt>
                <c:pt idx="6">
                  <c:v>14.194572486337192</c:v>
                </c:pt>
                <c:pt idx="7">
                  <c:v>9.6753472222222214</c:v>
                </c:pt>
                <c:pt idx="8">
                  <c:v>13.795833333333331</c:v>
                </c:pt>
                <c:pt idx="9">
                  <c:v>12.545054945054945</c:v>
                </c:pt>
                <c:pt idx="10">
                  <c:v>17.538461538461537</c:v>
                </c:pt>
                <c:pt idx="11">
                  <c:v>22.313632478632481</c:v>
                </c:pt>
                <c:pt idx="12">
                  <c:v>19.79889338731444</c:v>
                </c:pt>
                <c:pt idx="13">
                  <c:v>6</c:v>
                </c:pt>
                <c:pt idx="14">
                  <c:v>5.4</c:v>
                </c:pt>
                <c:pt idx="15">
                  <c:v>16.75</c:v>
                </c:pt>
                <c:pt idx="16">
                  <c:v>0</c:v>
                </c:pt>
                <c:pt idx="17">
                  <c:v>3</c:v>
                </c:pt>
                <c:pt idx="18">
                  <c:v>18.560398849999999</c:v>
                </c:pt>
                <c:pt idx="19">
                  <c:v>11.571950000000001</c:v>
                </c:pt>
                <c:pt idx="20">
                  <c:v>6.1789250000000004</c:v>
                </c:pt>
                <c:pt idx="21">
                  <c:v>3.3966000000000003</c:v>
                </c:pt>
                <c:pt idx="22">
                  <c:v>0</c:v>
                </c:pt>
                <c:pt idx="23">
                  <c:v>0</c:v>
                </c:pt>
                <c:pt idx="24">
                  <c:v>0</c:v>
                </c:pt>
                <c:pt idx="25">
                  <c:v>0.94830000000000003</c:v>
                </c:pt>
                <c:pt idx="26">
                  <c:v>1.3166100000000001</c:v>
                </c:pt>
                <c:pt idx="27">
                  <c:v>1.3611111111111109</c:v>
                </c:pt>
                <c:pt idx="28">
                  <c:v>0.6</c:v>
                </c:pt>
                <c:pt idx="29">
                  <c:v>1</c:v>
                </c:pt>
                <c:pt idx="30">
                  <c:v>0.16666666666666666</c:v>
                </c:pt>
                <c:pt idx="31">
                  <c:v>0.41666666666666669</c:v>
                </c:pt>
                <c:pt idx="32">
                  <c:v>0</c:v>
                </c:pt>
                <c:pt idx="33">
                  <c:v>0</c:v>
                </c:pt>
                <c:pt idx="34">
                  <c:v>0.33333333333333331</c:v>
                </c:pt>
                <c:pt idx="35">
                  <c:v>0.16666666666666666</c:v>
                </c:pt>
                <c:pt idx="36">
                  <c:v>0.2</c:v>
                </c:pt>
                <c:pt idx="37">
                  <c:v>0.54545454545454553</c:v>
                </c:pt>
                <c:pt idx="38">
                  <c:v>0</c:v>
                </c:pt>
                <c:pt idx="39">
                  <c:v>0</c:v>
                </c:pt>
                <c:pt idx="40">
                  <c:v>0</c:v>
                </c:pt>
                <c:pt idx="41">
                  <c:v>2.0833333333333332E-2</c:v>
                </c:pt>
                <c:pt idx="42">
                  <c:v>0.1</c:v>
                </c:pt>
                <c:pt idx="43">
                  <c:v>0</c:v>
                </c:pt>
                <c:pt idx="44">
                  <c:v>0</c:v>
                </c:pt>
                <c:pt idx="45">
                  <c:v>0</c:v>
                </c:pt>
                <c:pt idx="46">
                  <c:v>0</c:v>
                </c:pt>
                <c:pt idx="47">
                  <c:v>0</c:v>
                </c:pt>
                <c:pt idx="48">
                  <c:v>1.1428571428571428</c:v>
                </c:pt>
                <c:pt idx="49">
                  <c:v>1.9096850861556744</c:v>
                </c:pt>
                <c:pt idx="50">
                  <c:v>2.2464380648591176</c:v>
                </c:pt>
                <c:pt idx="51">
                  <c:v>1.2605964665415885</c:v>
                </c:pt>
                <c:pt idx="52">
                  <c:v>3.13404596247101</c:v>
                </c:pt>
              </c:numCache>
            </c:numRef>
          </c:val>
          <c:smooth val="0"/>
          <c:extLst>
            <c:ext xmlns:c16="http://schemas.microsoft.com/office/drawing/2014/chart" uri="{C3380CC4-5D6E-409C-BE32-E72D297353CC}">
              <c16:uniqueId val="{00000001-D2A0-45A7-A024-56872556A678}"/>
            </c:ext>
          </c:extLst>
        </c:ser>
        <c:dLbls>
          <c:showLegendKey val="0"/>
          <c:showVal val="0"/>
          <c:showCatName val="0"/>
          <c:showSerName val="0"/>
          <c:showPercent val="0"/>
          <c:showBubbleSize val="0"/>
        </c:dLbls>
        <c:marker val="1"/>
        <c:smooth val="0"/>
        <c:axId val="159222784"/>
        <c:axId val="159471232"/>
      </c:lineChart>
      <c:catAx>
        <c:axId val="159221760"/>
        <c:scaling>
          <c:orientation val="minMax"/>
        </c:scaling>
        <c:delete val="0"/>
        <c:axPos val="b"/>
        <c:title>
          <c:tx>
            <c:rich>
              <a:bodyPr/>
              <a:lstStyle/>
              <a:p>
                <a:pPr>
                  <a:defRPr/>
                </a:pPr>
                <a:r>
                  <a:rPr lang="en-US"/>
                  <a:t>Management Week</a:t>
                </a:r>
              </a:p>
            </c:rich>
          </c:tx>
          <c:overlay val="0"/>
        </c:title>
        <c:majorTickMark val="out"/>
        <c:minorTickMark val="none"/>
        <c:tickLblPos val="nextTo"/>
        <c:crossAx val="159470656"/>
        <c:crosses val="autoZero"/>
        <c:auto val="1"/>
        <c:lblAlgn val="ctr"/>
        <c:lblOffset val="100"/>
        <c:noMultiLvlLbl val="0"/>
      </c:catAx>
      <c:valAx>
        <c:axId val="159470656"/>
        <c:scaling>
          <c:orientation val="minMax"/>
          <c:max val="1"/>
        </c:scaling>
        <c:delete val="0"/>
        <c:axPos val="l"/>
        <c:majorGridlines/>
        <c:title>
          <c:tx>
            <c:rich>
              <a:bodyPr rot="-5400000" vert="horz"/>
              <a:lstStyle/>
              <a:p>
                <a:pPr>
                  <a:defRPr/>
                </a:pPr>
                <a:r>
                  <a:rPr lang="en-US" sz="1000" b="0" i="0" baseline="0">
                    <a:latin typeface="+mn-lt"/>
                    <a:cs typeface="Arial" pitchFamily="34" charset="0"/>
                  </a:rPr>
                  <a:t>Average Wild Proportion of Samples</a:t>
                </a:r>
                <a:endParaRPr lang="en-US" sz="1000" b="0">
                  <a:latin typeface="+mn-lt"/>
                  <a:cs typeface="Arial" pitchFamily="34" charset="0"/>
                </a:endParaRPr>
              </a:p>
            </c:rich>
          </c:tx>
          <c:overlay val="0"/>
        </c:title>
        <c:numFmt formatCode="#,##0.00" sourceLinked="0"/>
        <c:majorTickMark val="out"/>
        <c:minorTickMark val="none"/>
        <c:tickLblPos val="nextTo"/>
        <c:crossAx val="159221760"/>
        <c:crosses val="autoZero"/>
        <c:crossBetween val="between"/>
        <c:majorUnit val="0.1"/>
      </c:valAx>
      <c:valAx>
        <c:axId val="159471232"/>
        <c:scaling>
          <c:orientation val="minMax"/>
          <c:max val="80"/>
          <c:min val="0"/>
        </c:scaling>
        <c:delete val="0"/>
        <c:axPos val="r"/>
        <c:title>
          <c:tx>
            <c:rich>
              <a:bodyPr rot="-5400000" vert="horz"/>
              <a:lstStyle/>
              <a:p>
                <a:pPr>
                  <a:defRPr/>
                </a:pPr>
                <a:r>
                  <a:rPr lang="en-US" sz="1000" b="1" i="0" baseline="0"/>
                  <a:t>Average Treaty Wild Catch</a:t>
                </a:r>
                <a:endParaRPr lang="en-US" sz="1000"/>
              </a:p>
            </c:rich>
          </c:tx>
          <c:overlay val="0"/>
        </c:title>
        <c:numFmt formatCode="0" sourceLinked="0"/>
        <c:majorTickMark val="out"/>
        <c:minorTickMark val="none"/>
        <c:tickLblPos val="nextTo"/>
        <c:crossAx val="159222784"/>
        <c:crosses val="max"/>
        <c:crossBetween val="between"/>
        <c:majorUnit val="5"/>
      </c:valAx>
      <c:catAx>
        <c:axId val="159222784"/>
        <c:scaling>
          <c:orientation val="minMax"/>
        </c:scaling>
        <c:delete val="1"/>
        <c:axPos val="b"/>
        <c:majorTickMark val="out"/>
        <c:minorTickMark val="none"/>
        <c:tickLblPos val="none"/>
        <c:crossAx val="159471232"/>
        <c:crosses val="autoZero"/>
        <c:auto val="1"/>
        <c:lblAlgn val="ctr"/>
        <c:lblOffset val="100"/>
        <c:noMultiLvlLbl val="0"/>
      </c:catAx>
    </c:plotArea>
    <c:legend>
      <c:legendPos val="r"/>
      <c:overlay val="0"/>
      <c:txPr>
        <a:bodyPr/>
        <a:lstStyle/>
        <a:p>
          <a:pPr>
            <a:defRPr sz="800"/>
          </a:pPr>
          <a:endParaRPr lang="en-US"/>
        </a:p>
      </c:txPr>
    </c:legend>
    <c:plotVisOnly val="1"/>
    <c:dispBlanksAs val="gap"/>
    <c:showDLblsOverMax val="0"/>
  </c:chart>
  <c:printSettings>
    <c:headerFooter/>
    <c:pageMargins b="0.75000000000001465" l="0.70000000000000062" r="0.70000000000000062" t="0.75000000000001465" header="0.30000000000000032" footer="0.30000000000000032"/>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Average Annual, Wild Proportion of Samples by Week and Treaty Wild Catch by Week 1985–2000 </a:t>
            </a:r>
          </a:p>
        </c:rich>
      </c:tx>
      <c:overlay val="0"/>
    </c:title>
    <c:autoTitleDeleted val="0"/>
    <c:plotArea>
      <c:layout/>
      <c:barChart>
        <c:barDir val="col"/>
        <c:grouping val="clustered"/>
        <c:varyColors val="0"/>
        <c:ser>
          <c:idx val="1"/>
          <c:order val="0"/>
          <c:tx>
            <c:strRef>
              <c:f>TreatyCatch!$EX$62</c:f>
              <c:strCache>
                <c:ptCount val="1"/>
                <c:pt idx="0">
                  <c:v>W Proportions</c:v>
                </c:pt>
              </c:strCache>
            </c:strRef>
          </c:tx>
          <c:spPr>
            <a:solidFill>
              <a:schemeClr val="tx2">
                <a:lumMod val="60000"/>
                <a:lumOff val="40000"/>
              </a:schemeClr>
            </a:solidFill>
            <a:ln>
              <a:solidFill>
                <a:schemeClr val="tx2">
                  <a:lumMod val="60000"/>
                  <a:lumOff val="40000"/>
                </a:schemeClr>
              </a:solidFill>
            </a:ln>
          </c:spPr>
          <c:invertIfNegative val="0"/>
          <c:val>
            <c:numRef>
              <c:f>TreatyCatch!$EX$63:$EX$115</c:f>
              <c:numCache>
                <c:formatCode>0.0000</c:formatCode>
                <c:ptCount val="53"/>
                <c:pt idx="0">
                  <c:v>8.8657579125714467E-2</c:v>
                </c:pt>
                <c:pt idx="1">
                  <c:v>0.13787818988928721</c:v>
                </c:pt>
                <c:pt idx="2">
                  <c:v>0.23017352238657565</c:v>
                </c:pt>
                <c:pt idx="3">
                  <c:v>0.37428424384194753</c:v>
                </c:pt>
                <c:pt idx="4">
                  <c:v>0.33862834224598931</c:v>
                </c:pt>
                <c:pt idx="5">
                  <c:v>0.49274897807506507</c:v>
                </c:pt>
                <c:pt idx="6">
                  <c:v>0.53139321364708969</c:v>
                </c:pt>
                <c:pt idx="7">
                  <c:v>0.5949366511712697</c:v>
                </c:pt>
                <c:pt idx="8">
                  <c:v>0.66666666666666663</c:v>
                </c:pt>
                <c:pt idx="9">
                  <c:v>0.83333333333333326</c:v>
                </c:pt>
                <c:pt idx="10">
                  <c:v>0.94117647058823528</c:v>
                </c:pt>
                <c:pt idx="11">
                  <c:v>0.73684210526315785</c:v>
                </c:pt>
                <c:pt idx="12">
                  <c:v>0</c:v>
                </c:pt>
                <c:pt idx="13">
                  <c:v>0</c:v>
                </c:pt>
                <c:pt idx="14">
                  <c:v>0</c:v>
                </c:pt>
                <c:pt idx="15">
                  <c:v>1</c:v>
                </c:pt>
                <c:pt idx="16">
                  <c:v>0</c:v>
                </c:pt>
                <c:pt idx="17">
                  <c:v>1</c:v>
                </c:pt>
                <c:pt idx="18">
                  <c:v>0.79629629629629628</c:v>
                </c:pt>
                <c:pt idx="19">
                  <c:v>1</c:v>
                </c:pt>
                <c:pt idx="20">
                  <c:v>0.82246376811594202</c:v>
                </c:pt>
                <c:pt idx="21">
                  <c:v>0.98717948717948723</c:v>
                </c:pt>
                <c:pt idx="22">
                  <c:v>0.66666666666666663</c:v>
                </c:pt>
                <c:pt idx="23">
                  <c:v>1</c:v>
                </c:pt>
                <c:pt idx="24">
                  <c:v>0.5</c:v>
                </c:pt>
                <c:pt idx="25">
                  <c:v>1</c:v>
                </c:pt>
                <c:pt idx="26">
                  <c:v>1</c:v>
                </c:pt>
                <c:pt idx="27">
                  <c:v>0</c:v>
                </c:pt>
                <c:pt idx="28">
                  <c:v>0</c:v>
                </c:pt>
                <c:pt idx="29">
                  <c:v>0</c:v>
                </c:pt>
                <c:pt idx="30">
                  <c:v>0</c:v>
                </c:pt>
                <c:pt idx="31">
                  <c:v>0</c:v>
                </c:pt>
                <c:pt idx="32">
                  <c:v>0</c:v>
                </c:pt>
                <c:pt idx="33">
                  <c:v>0.2</c:v>
                </c:pt>
                <c:pt idx="34">
                  <c:v>0.16666666666666666</c:v>
                </c:pt>
                <c:pt idx="35">
                  <c:v>0.2388888888888889</c:v>
                </c:pt>
                <c:pt idx="36">
                  <c:v>0.25</c:v>
                </c:pt>
                <c:pt idx="37">
                  <c:v>0.16666666666666666</c:v>
                </c:pt>
                <c:pt idx="38">
                  <c:v>0.17592592592592593</c:v>
                </c:pt>
                <c:pt idx="39">
                  <c:v>0.18518518518518517</c:v>
                </c:pt>
                <c:pt idx="40">
                  <c:v>0.66666666666666663</c:v>
                </c:pt>
                <c:pt idx="41">
                  <c:v>0.20833333333333331</c:v>
                </c:pt>
                <c:pt idx="42">
                  <c:v>0.19047619047619047</c:v>
                </c:pt>
                <c:pt idx="43">
                  <c:v>0</c:v>
                </c:pt>
                <c:pt idx="44">
                  <c:v>8.3333333333333329E-2</c:v>
                </c:pt>
                <c:pt idx="45">
                  <c:v>0</c:v>
                </c:pt>
                <c:pt idx="46">
                  <c:v>0</c:v>
                </c:pt>
                <c:pt idx="47">
                  <c:v>0</c:v>
                </c:pt>
                <c:pt idx="48">
                  <c:v>8.0208333333333326E-2</c:v>
                </c:pt>
                <c:pt idx="49">
                  <c:v>2.1179048004513455E-2</c:v>
                </c:pt>
                <c:pt idx="50">
                  <c:v>7.7555151315785956E-2</c:v>
                </c:pt>
                <c:pt idx="51">
                  <c:v>7.3478396021002881E-2</c:v>
                </c:pt>
                <c:pt idx="52">
                  <c:v>0.1791582385734066</c:v>
                </c:pt>
              </c:numCache>
            </c:numRef>
          </c:val>
          <c:extLst>
            <c:ext xmlns:c16="http://schemas.microsoft.com/office/drawing/2014/chart" uri="{C3380CC4-5D6E-409C-BE32-E72D297353CC}">
              <c16:uniqueId val="{00000000-2FEA-482E-9241-196B78974E47}"/>
            </c:ext>
          </c:extLst>
        </c:ser>
        <c:dLbls>
          <c:showLegendKey val="0"/>
          <c:showVal val="0"/>
          <c:showCatName val="0"/>
          <c:showSerName val="0"/>
          <c:showPercent val="0"/>
          <c:showBubbleSize val="0"/>
        </c:dLbls>
        <c:gapWidth val="150"/>
        <c:axId val="48447488"/>
        <c:axId val="159472960"/>
      </c:barChart>
      <c:lineChart>
        <c:grouping val="standard"/>
        <c:varyColors val="0"/>
        <c:ser>
          <c:idx val="2"/>
          <c:order val="1"/>
          <c:tx>
            <c:strRef>
              <c:f>TreatyCatch!$EM$237</c:f>
              <c:strCache>
                <c:ptCount val="1"/>
                <c:pt idx="0">
                  <c:v>Average wild</c:v>
                </c:pt>
              </c:strCache>
            </c:strRef>
          </c:tx>
          <c:spPr>
            <a:ln>
              <a:solidFill>
                <a:sysClr val="windowText" lastClr="000000">
                  <a:alpha val="80000"/>
                </a:sysClr>
              </a:solidFill>
            </a:ln>
          </c:spPr>
          <c:marker>
            <c:symbol val="none"/>
          </c:marker>
          <c:val>
            <c:numRef>
              <c:f>TreatyCatch!$EM$239:$EM$291</c:f>
              <c:numCache>
                <c:formatCode>0.0</c:formatCode>
                <c:ptCount val="53"/>
                <c:pt idx="0">
                  <c:v>7.3217516360071437</c:v>
                </c:pt>
                <c:pt idx="1">
                  <c:v>34.706080590638201</c:v>
                </c:pt>
                <c:pt idx="2">
                  <c:v>63.230213764848465</c:v>
                </c:pt>
                <c:pt idx="3">
                  <c:v>32.21870321713704</c:v>
                </c:pt>
                <c:pt idx="4">
                  <c:v>31.823538536626781</c:v>
                </c:pt>
                <c:pt idx="5">
                  <c:v>15.464207290294242</c:v>
                </c:pt>
                <c:pt idx="6">
                  <c:v>29.575881963700652</c:v>
                </c:pt>
                <c:pt idx="7">
                  <c:v>15.719135802469136</c:v>
                </c:pt>
                <c:pt idx="8">
                  <c:v>4.4666666666666668</c:v>
                </c:pt>
                <c:pt idx="9">
                  <c:v>14.20125786163522</c:v>
                </c:pt>
                <c:pt idx="10">
                  <c:v>10.588235294117645</c:v>
                </c:pt>
                <c:pt idx="11">
                  <c:v>3.3157894736842102</c:v>
                </c:pt>
                <c:pt idx="12">
                  <c:v>7.3684210526315788</c:v>
                </c:pt>
                <c:pt idx="13">
                  <c:v>21.368421052631579</c:v>
                </c:pt>
                <c:pt idx="14">
                  <c:v>0</c:v>
                </c:pt>
                <c:pt idx="15">
                  <c:v>0</c:v>
                </c:pt>
                <c:pt idx="16">
                  <c:v>0</c:v>
                </c:pt>
                <c:pt idx="17">
                  <c:v>1.1322000000000001</c:v>
                </c:pt>
                <c:pt idx="18">
                  <c:v>5.1322000000000001</c:v>
                </c:pt>
                <c:pt idx="19">
                  <c:v>2.1322000000000001</c:v>
                </c:pt>
                <c:pt idx="20">
                  <c:v>72.010700000000014</c:v>
                </c:pt>
                <c:pt idx="21">
                  <c:v>8.84863</c:v>
                </c:pt>
                <c:pt idx="22">
                  <c:v>0.33050000000000002</c:v>
                </c:pt>
                <c:pt idx="23">
                  <c:v>1.3966000000000001</c:v>
                </c:pt>
                <c:pt idx="24">
                  <c:v>0.88888888888888884</c:v>
                </c:pt>
                <c:pt idx="25">
                  <c:v>2.7</c:v>
                </c:pt>
                <c:pt idx="26">
                  <c:v>5.9</c:v>
                </c:pt>
                <c:pt idx="27">
                  <c:v>0</c:v>
                </c:pt>
                <c:pt idx="28">
                  <c:v>1.5</c:v>
                </c:pt>
                <c:pt idx="29">
                  <c:v>1.5</c:v>
                </c:pt>
                <c:pt idx="30">
                  <c:v>0</c:v>
                </c:pt>
                <c:pt idx="31">
                  <c:v>0</c:v>
                </c:pt>
                <c:pt idx="32">
                  <c:v>0</c:v>
                </c:pt>
                <c:pt idx="33">
                  <c:v>5.6</c:v>
                </c:pt>
                <c:pt idx="34">
                  <c:v>1.25</c:v>
                </c:pt>
                <c:pt idx="35">
                  <c:v>3.4814814814814814</c:v>
                </c:pt>
                <c:pt idx="36">
                  <c:v>2.0020833333333332</c:v>
                </c:pt>
                <c:pt idx="37">
                  <c:v>2.3703703703703702</c:v>
                </c:pt>
                <c:pt idx="38">
                  <c:v>0</c:v>
                </c:pt>
                <c:pt idx="39">
                  <c:v>0</c:v>
                </c:pt>
                <c:pt idx="40">
                  <c:v>1</c:v>
                </c:pt>
                <c:pt idx="41">
                  <c:v>0.5</c:v>
                </c:pt>
                <c:pt idx="42">
                  <c:v>0.26190476190476192</c:v>
                </c:pt>
                <c:pt idx="43">
                  <c:v>0.10256410256410256</c:v>
                </c:pt>
                <c:pt idx="44">
                  <c:v>8.8888888888888878E-2</c:v>
                </c:pt>
                <c:pt idx="45">
                  <c:v>0.69427083333333328</c:v>
                </c:pt>
                <c:pt idx="46">
                  <c:v>2.2466666666666666</c:v>
                </c:pt>
                <c:pt idx="47">
                  <c:v>0.68098707032481864</c:v>
                </c:pt>
                <c:pt idx="48">
                  <c:v>1.0906113563895021</c:v>
                </c:pt>
                <c:pt idx="49">
                  <c:v>4.1764618324578588</c:v>
                </c:pt>
                <c:pt idx="50">
                  <c:v>8.8834177787367228</c:v>
                </c:pt>
                <c:pt idx="51">
                  <c:v>23.123648577155052</c:v>
                </c:pt>
                <c:pt idx="52">
                  <c:v>18.776416933395527</c:v>
                </c:pt>
              </c:numCache>
            </c:numRef>
          </c:val>
          <c:smooth val="0"/>
          <c:extLst>
            <c:ext xmlns:c16="http://schemas.microsoft.com/office/drawing/2014/chart" uri="{C3380CC4-5D6E-409C-BE32-E72D297353CC}">
              <c16:uniqueId val="{00000001-2FEA-482E-9241-196B78974E47}"/>
            </c:ext>
          </c:extLst>
        </c:ser>
        <c:dLbls>
          <c:showLegendKey val="0"/>
          <c:showVal val="0"/>
          <c:showCatName val="0"/>
          <c:showSerName val="0"/>
          <c:showPercent val="0"/>
          <c:showBubbleSize val="0"/>
        </c:dLbls>
        <c:marker val="1"/>
        <c:smooth val="0"/>
        <c:axId val="161067520"/>
        <c:axId val="160759808"/>
      </c:lineChart>
      <c:catAx>
        <c:axId val="48447488"/>
        <c:scaling>
          <c:orientation val="minMax"/>
        </c:scaling>
        <c:delete val="0"/>
        <c:axPos val="b"/>
        <c:title>
          <c:tx>
            <c:rich>
              <a:bodyPr/>
              <a:lstStyle/>
              <a:p>
                <a:pPr>
                  <a:defRPr/>
                </a:pPr>
                <a:r>
                  <a:rPr lang="en-US"/>
                  <a:t>Management Week</a:t>
                </a:r>
              </a:p>
            </c:rich>
          </c:tx>
          <c:overlay val="0"/>
        </c:title>
        <c:majorTickMark val="out"/>
        <c:minorTickMark val="none"/>
        <c:tickLblPos val="nextTo"/>
        <c:crossAx val="159472960"/>
        <c:crosses val="autoZero"/>
        <c:auto val="1"/>
        <c:lblAlgn val="ctr"/>
        <c:lblOffset val="100"/>
        <c:noMultiLvlLbl val="0"/>
      </c:catAx>
      <c:valAx>
        <c:axId val="159472960"/>
        <c:scaling>
          <c:orientation val="minMax"/>
          <c:max val="1"/>
        </c:scaling>
        <c:delete val="0"/>
        <c:axPos val="l"/>
        <c:majorGridlines/>
        <c:title>
          <c:tx>
            <c:rich>
              <a:bodyPr rot="-5400000" vert="horz"/>
              <a:lstStyle/>
              <a:p>
                <a:pPr>
                  <a:defRPr/>
                </a:pPr>
                <a:r>
                  <a:rPr lang="en-US"/>
                  <a:t>Average</a:t>
                </a:r>
                <a:r>
                  <a:rPr lang="en-US" baseline="0"/>
                  <a:t> </a:t>
                </a:r>
                <a:r>
                  <a:rPr lang="en-US"/>
                  <a:t>Wild Proportion of Samples</a:t>
                </a:r>
              </a:p>
            </c:rich>
          </c:tx>
          <c:overlay val="0"/>
        </c:title>
        <c:numFmt formatCode="#,##0.00" sourceLinked="0"/>
        <c:majorTickMark val="out"/>
        <c:minorTickMark val="none"/>
        <c:tickLblPos val="nextTo"/>
        <c:crossAx val="48447488"/>
        <c:crosses val="autoZero"/>
        <c:crossBetween val="between"/>
        <c:majorUnit val="0.1"/>
      </c:valAx>
      <c:valAx>
        <c:axId val="160759808"/>
        <c:scaling>
          <c:orientation val="minMax"/>
          <c:max val="80"/>
          <c:min val="0"/>
        </c:scaling>
        <c:delete val="0"/>
        <c:axPos val="r"/>
        <c:title>
          <c:tx>
            <c:rich>
              <a:bodyPr rot="-5400000" vert="horz"/>
              <a:lstStyle/>
              <a:p>
                <a:pPr>
                  <a:defRPr/>
                </a:pPr>
                <a:r>
                  <a:rPr lang="en-US"/>
                  <a:t>Average Treaty Wild Catch</a:t>
                </a:r>
              </a:p>
            </c:rich>
          </c:tx>
          <c:overlay val="0"/>
        </c:title>
        <c:numFmt formatCode="0" sourceLinked="0"/>
        <c:majorTickMark val="out"/>
        <c:minorTickMark val="none"/>
        <c:tickLblPos val="nextTo"/>
        <c:crossAx val="161067520"/>
        <c:crosses val="max"/>
        <c:crossBetween val="between"/>
        <c:majorUnit val="5"/>
      </c:valAx>
      <c:catAx>
        <c:axId val="161067520"/>
        <c:scaling>
          <c:orientation val="minMax"/>
        </c:scaling>
        <c:delete val="1"/>
        <c:axPos val="b"/>
        <c:majorTickMark val="out"/>
        <c:minorTickMark val="none"/>
        <c:tickLblPos val="none"/>
        <c:crossAx val="160759808"/>
        <c:crosses val="autoZero"/>
        <c:auto val="1"/>
        <c:lblAlgn val="ctr"/>
        <c:lblOffset val="100"/>
        <c:noMultiLvlLbl val="0"/>
      </c:catAx>
    </c:plotArea>
    <c:legend>
      <c:legendPos val="r"/>
      <c:overlay val="0"/>
      <c:txPr>
        <a:bodyPr/>
        <a:lstStyle/>
        <a:p>
          <a:pPr>
            <a:defRPr sz="800"/>
          </a:pPr>
          <a:endParaRPr lang="en-US"/>
        </a:p>
      </c:txPr>
    </c:legend>
    <c:plotVisOnly val="1"/>
    <c:dispBlanksAs val="gap"/>
    <c:showDLblsOverMax val="0"/>
  </c:chart>
  <c:printSettings>
    <c:headerFooter/>
    <c:pageMargins b="0.75000000000001465" l="0.70000000000000062" r="0.70000000000000062" t="0.75000000000001465" header="0.30000000000000032" footer="0.30000000000000032"/>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100" b="1" i="0" baseline="0"/>
              <a:t>Average Annual, Wild Proportion of Samples by Week and Treaty Wild Catch by Week 1985–2011 </a:t>
            </a:r>
            <a:endParaRPr lang="en-US" sz="1100"/>
          </a:p>
        </c:rich>
      </c:tx>
      <c:overlay val="0"/>
    </c:title>
    <c:autoTitleDeleted val="0"/>
    <c:plotArea>
      <c:layout/>
      <c:barChart>
        <c:barDir val="col"/>
        <c:grouping val="clustered"/>
        <c:varyColors val="0"/>
        <c:ser>
          <c:idx val="1"/>
          <c:order val="0"/>
          <c:tx>
            <c:strRef>
              <c:f>TreatyCatch!$EL$62</c:f>
              <c:strCache>
                <c:ptCount val="1"/>
                <c:pt idx="0">
                  <c:v>W Proportions</c:v>
                </c:pt>
              </c:strCache>
            </c:strRef>
          </c:tx>
          <c:spPr>
            <a:solidFill>
              <a:schemeClr val="tx2">
                <a:lumMod val="60000"/>
                <a:lumOff val="40000"/>
              </a:schemeClr>
            </a:solidFill>
            <a:ln>
              <a:solidFill>
                <a:schemeClr val="tx2">
                  <a:lumMod val="60000"/>
                  <a:lumOff val="40000"/>
                </a:schemeClr>
              </a:solidFill>
            </a:ln>
          </c:spPr>
          <c:invertIfNegative val="0"/>
          <c:val>
            <c:numRef>
              <c:f>TreatyCatch!$EL$63:$EL$115</c:f>
              <c:numCache>
                <c:formatCode>0.0000</c:formatCode>
                <c:ptCount val="53"/>
                <c:pt idx="0">
                  <c:v>9.0679008099075115E-2</c:v>
                </c:pt>
                <c:pt idx="1">
                  <c:v>0.31398454519120356</c:v>
                </c:pt>
                <c:pt idx="2">
                  <c:v>0.2670163120104177</c:v>
                </c:pt>
                <c:pt idx="3">
                  <c:v>0.40878107262095803</c:v>
                </c:pt>
                <c:pt idx="4">
                  <c:v>0.41241889483065958</c:v>
                </c:pt>
                <c:pt idx="5">
                  <c:v>0.65671240221202087</c:v>
                </c:pt>
                <c:pt idx="6">
                  <c:v>0.65098010483813529</c:v>
                </c:pt>
                <c:pt idx="7">
                  <c:v>0.60719054780785719</c:v>
                </c:pt>
                <c:pt idx="8">
                  <c:v>0.85026041666666674</c:v>
                </c:pt>
                <c:pt idx="9">
                  <c:v>0.8880341880341881</c:v>
                </c:pt>
                <c:pt idx="10">
                  <c:v>0.94082296380090491</c:v>
                </c:pt>
                <c:pt idx="11">
                  <c:v>0.91598380566801618</c:v>
                </c:pt>
                <c:pt idx="12">
                  <c:v>0.92105263157894735</c:v>
                </c:pt>
                <c:pt idx="13">
                  <c:v>1</c:v>
                </c:pt>
                <c:pt idx="14">
                  <c:v>0.96201329534662872</c:v>
                </c:pt>
                <c:pt idx="15">
                  <c:v>1</c:v>
                </c:pt>
                <c:pt idx="16">
                  <c:v>0</c:v>
                </c:pt>
                <c:pt idx="17">
                  <c:v>0.91666666666666663</c:v>
                </c:pt>
                <c:pt idx="18">
                  <c:v>0.91166713090927276</c:v>
                </c:pt>
                <c:pt idx="19">
                  <c:v>0.99128282828282821</c:v>
                </c:pt>
                <c:pt idx="20">
                  <c:v>0.89784157066765768</c:v>
                </c:pt>
                <c:pt idx="21">
                  <c:v>0.99145299145299148</c:v>
                </c:pt>
                <c:pt idx="22">
                  <c:v>0.75</c:v>
                </c:pt>
                <c:pt idx="23">
                  <c:v>1</c:v>
                </c:pt>
                <c:pt idx="24">
                  <c:v>0.75</c:v>
                </c:pt>
                <c:pt idx="25">
                  <c:v>0.71666666666666667</c:v>
                </c:pt>
                <c:pt idx="26">
                  <c:v>0.66666666666666663</c:v>
                </c:pt>
                <c:pt idx="27">
                  <c:v>0.31666666666666671</c:v>
                </c:pt>
                <c:pt idx="28">
                  <c:v>0.77777777777777768</c:v>
                </c:pt>
                <c:pt idx="29">
                  <c:v>0.5</c:v>
                </c:pt>
                <c:pt idx="30">
                  <c:v>0.1111111111111111</c:v>
                </c:pt>
                <c:pt idx="31">
                  <c:v>0.75</c:v>
                </c:pt>
                <c:pt idx="32">
                  <c:v>0</c:v>
                </c:pt>
                <c:pt idx="33">
                  <c:v>0.16666666666666666</c:v>
                </c:pt>
                <c:pt idx="34">
                  <c:v>0.15384615384615385</c:v>
                </c:pt>
                <c:pt idx="35">
                  <c:v>0.34814814814814815</c:v>
                </c:pt>
                <c:pt idx="36">
                  <c:v>0.14285714285714285</c:v>
                </c:pt>
                <c:pt idx="37">
                  <c:v>0.30578512396694219</c:v>
                </c:pt>
                <c:pt idx="38">
                  <c:v>0.12179487179487179</c:v>
                </c:pt>
                <c:pt idx="39">
                  <c:v>0.22222222222222221</c:v>
                </c:pt>
                <c:pt idx="40">
                  <c:v>0.55555555555555558</c:v>
                </c:pt>
                <c:pt idx="41">
                  <c:v>0.33333333333333337</c:v>
                </c:pt>
                <c:pt idx="42">
                  <c:v>0.17037037037037037</c:v>
                </c:pt>
                <c:pt idx="43">
                  <c:v>0.2</c:v>
                </c:pt>
                <c:pt idx="44">
                  <c:v>4.7619047619047616E-2</c:v>
                </c:pt>
                <c:pt idx="45">
                  <c:v>0</c:v>
                </c:pt>
                <c:pt idx="46">
                  <c:v>0</c:v>
                </c:pt>
                <c:pt idx="47">
                  <c:v>0</c:v>
                </c:pt>
                <c:pt idx="48">
                  <c:v>3.923611111111111E-2</c:v>
                </c:pt>
                <c:pt idx="49">
                  <c:v>1.9138629523975804E-2</c:v>
                </c:pt>
                <c:pt idx="50">
                  <c:v>8.8269386127353092E-2</c:v>
                </c:pt>
                <c:pt idx="51">
                  <c:v>6.4636078679935469E-2</c:v>
                </c:pt>
                <c:pt idx="52">
                  <c:v>0.14073863596228373</c:v>
                </c:pt>
              </c:numCache>
            </c:numRef>
          </c:val>
          <c:extLst>
            <c:ext xmlns:c16="http://schemas.microsoft.com/office/drawing/2014/chart" uri="{C3380CC4-5D6E-409C-BE32-E72D297353CC}">
              <c16:uniqueId val="{00000000-C06A-4F2F-8D54-2F78DB407203}"/>
            </c:ext>
          </c:extLst>
        </c:ser>
        <c:dLbls>
          <c:showLegendKey val="0"/>
          <c:showVal val="0"/>
          <c:showCatName val="0"/>
          <c:showSerName val="0"/>
          <c:showPercent val="0"/>
          <c:showBubbleSize val="0"/>
        </c:dLbls>
        <c:gapWidth val="150"/>
        <c:axId val="161068544"/>
        <c:axId val="160761536"/>
      </c:barChart>
      <c:lineChart>
        <c:grouping val="standard"/>
        <c:varyColors val="0"/>
        <c:ser>
          <c:idx val="2"/>
          <c:order val="1"/>
          <c:tx>
            <c:strRef>
              <c:f>TreatyCatch!$EJ$237</c:f>
              <c:strCache>
                <c:ptCount val="1"/>
                <c:pt idx="0">
                  <c:v>Average wild</c:v>
                </c:pt>
              </c:strCache>
            </c:strRef>
          </c:tx>
          <c:spPr>
            <a:ln>
              <a:solidFill>
                <a:sysClr val="windowText" lastClr="000000">
                  <a:alpha val="80000"/>
                </a:sysClr>
              </a:solidFill>
            </a:ln>
          </c:spPr>
          <c:marker>
            <c:symbol val="none"/>
          </c:marker>
          <c:val>
            <c:numRef>
              <c:f>TreatyCatch!$EJ$239:$EJ$291</c:f>
              <c:numCache>
                <c:formatCode>0.0</c:formatCode>
                <c:ptCount val="53"/>
                <c:pt idx="0">
                  <c:v>8.2047716217572155</c:v>
                </c:pt>
                <c:pt idx="1">
                  <c:v>25.18212454472889</c:v>
                </c:pt>
                <c:pt idx="2">
                  <c:v>45.084794925575743</c:v>
                </c:pt>
                <c:pt idx="3">
                  <c:v>23.007079116499433</c:v>
                </c:pt>
                <c:pt idx="4">
                  <c:v>21.137181580510997</c:v>
                </c:pt>
                <c:pt idx="5">
                  <c:v>15.481261894305369</c:v>
                </c:pt>
                <c:pt idx="6">
                  <c:v>21.293786704754872</c:v>
                </c:pt>
                <c:pt idx="7">
                  <c:v>12.159722222222221</c:v>
                </c:pt>
                <c:pt idx="8">
                  <c:v>10.018229166666666</c:v>
                </c:pt>
                <c:pt idx="9">
                  <c:v>12.358780841799708</c:v>
                </c:pt>
                <c:pt idx="10">
                  <c:v>13.41670094611271</c:v>
                </c:pt>
                <c:pt idx="11">
                  <c:v>13.37681388786652</c:v>
                </c:pt>
                <c:pt idx="12">
                  <c:v>15.770222672064778</c:v>
                </c:pt>
                <c:pt idx="13">
                  <c:v>7.1710526315789469</c:v>
                </c:pt>
                <c:pt idx="14">
                  <c:v>4.5</c:v>
                </c:pt>
                <c:pt idx="15">
                  <c:v>13.4</c:v>
                </c:pt>
                <c:pt idx="16">
                  <c:v>0</c:v>
                </c:pt>
                <c:pt idx="17">
                  <c:v>1.78305</c:v>
                </c:pt>
                <c:pt idx="18">
                  <c:v>13.2289659</c:v>
                </c:pt>
                <c:pt idx="19">
                  <c:v>8.07</c:v>
                </c:pt>
                <c:pt idx="20">
                  <c:v>16.121066666666671</c:v>
                </c:pt>
                <c:pt idx="21">
                  <c:v>4.0817433333333328</c:v>
                </c:pt>
                <c:pt idx="22">
                  <c:v>0.16525000000000001</c:v>
                </c:pt>
                <c:pt idx="23">
                  <c:v>0.69830000000000003</c:v>
                </c:pt>
                <c:pt idx="24">
                  <c:v>0.8</c:v>
                </c:pt>
                <c:pt idx="25">
                  <c:v>2.2228153846153846</c:v>
                </c:pt>
                <c:pt idx="26">
                  <c:v>4.2844293333333336</c:v>
                </c:pt>
                <c:pt idx="27">
                  <c:v>0.62820512820512819</c:v>
                </c:pt>
                <c:pt idx="28">
                  <c:v>1.0714285714285714</c:v>
                </c:pt>
                <c:pt idx="29">
                  <c:v>1.1818181818181819</c:v>
                </c:pt>
                <c:pt idx="30">
                  <c:v>7.407407407407407E-2</c:v>
                </c:pt>
                <c:pt idx="31">
                  <c:v>0.25</c:v>
                </c:pt>
                <c:pt idx="32">
                  <c:v>0</c:v>
                </c:pt>
                <c:pt idx="33">
                  <c:v>2.8</c:v>
                </c:pt>
                <c:pt idx="34">
                  <c:v>0.8</c:v>
                </c:pt>
                <c:pt idx="35">
                  <c:v>2.020833333333333</c:v>
                </c:pt>
                <c:pt idx="36">
                  <c:v>1.5015151515151515</c:v>
                </c:pt>
                <c:pt idx="37">
                  <c:v>1.5378787878787878</c:v>
                </c:pt>
                <c:pt idx="38">
                  <c:v>0</c:v>
                </c:pt>
                <c:pt idx="39">
                  <c:v>0</c:v>
                </c:pt>
                <c:pt idx="40">
                  <c:v>0.35714285714285715</c:v>
                </c:pt>
                <c:pt idx="41">
                  <c:v>0.19047619047619047</c:v>
                </c:pt>
                <c:pt idx="42">
                  <c:v>0.16458333333333333</c:v>
                </c:pt>
                <c:pt idx="43">
                  <c:v>6.6666666666666666E-2</c:v>
                </c:pt>
                <c:pt idx="44">
                  <c:v>5.7971014492753617E-2</c:v>
                </c:pt>
                <c:pt idx="45">
                  <c:v>0.46284722222222219</c:v>
                </c:pt>
                <c:pt idx="46">
                  <c:v>1.3215686274509804</c:v>
                </c:pt>
                <c:pt idx="47">
                  <c:v>0.31779396615158201</c:v>
                </c:pt>
                <c:pt idx="48">
                  <c:v>1.0479707180885598</c:v>
                </c:pt>
                <c:pt idx="49">
                  <c:v>3.056807753927786</c:v>
                </c:pt>
                <c:pt idx="50">
                  <c:v>5.9587679704727821</c:v>
                </c:pt>
                <c:pt idx="51">
                  <c:v>13.708747798801369</c:v>
                </c:pt>
                <c:pt idx="52">
                  <c:v>12.287523354038466</c:v>
                </c:pt>
              </c:numCache>
            </c:numRef>
          </c:val>
          <c:smooth val="0"/>
          <c:extLst>
            <c:ext xmlns:c16="http://schemas.microsoft.com/office/drawing/2014/chart" uri="{C3380CC4-5D6E-409C-BE32-E72D297353CC}">
              <c16:uniqueId val="{00000001-C06A-4F2F-8D54-2F78DB407203}"/>
            </c:ext>
          </c:extLst>
        </c:ser>
        <c:dLbls>
          <c:showLegendKey val="0"/>
          <c:showVal val="0"/>
          <c:showCatName val="0"/>
          <c:showSerName val="0"/>
          <c:showPercent val="0"/>
          <c:showBubbleSize val="0"/>
        </c:dLbls>
        <c:marker val="1"/>
        <c:smooth val="0"/>
        <c:axId val="161069568"/>
        <c:axId val="160762112"/>
      </c:lineChart>
      <c:catAx>
        <c:axId val="161068544"/>
        <c:scaling>
          <c:orientation val="minMax"/>
        </c:scaling>
        <c:delete val="0"/>
        <c:axPos val="b"/>
        <c:title>
          <c:tx>
            <c:rich>
              <a:bodyPr/>
              <a:lstStyle/>
              <a:p>
                <a:pPr>
                  <a:defRPr/>
                </a:pPr>
                <a:r>
                  <a:rPr lang="en-US"/>
                  <a:t>Management Week</a:t>
                </a:r>
              </a:p>
            </c:rich>
          </c:tx>
          <c:overlay val="0"/>
        </c:title>
        <c:majorTickMark val="out"/>
        <c:minorTickMark val="none"/>
        <c:tickLblPos val="nextTo"/>
        <c:crossAx val="160761536"/>
        <c:crosses val="autoZero"/>
        <c:auto val="1"/>
        <c:lblAlgn val="ctr"/>
        <c:lblOffset val="100"/>
        <c:noMultiLvlLbl val="0"/>
      </c:catAx>
      <c:valAx>
        <c:axId val="160761536"/>
        <c:scaling>
          <c:orientation val="minMax"/>
          <c:max val="1"/>
        </c:scaling>
        <c:delete val="0"/>
        <c:axPos val="l"/>
        <c:majorGridlines/>
        <c:title>
          <c:tx>
            <c:rich>
              <a:bodyPr rot="-5400000" vert="horz"/>
              <a:lstStyle/>
              <a:p>
                <a:pPr>
                  <a:defRPr/>
                </a:pPr>
                <a:r>
                  <a:rPr lang="en-US" sz="1000" b="0" i="0" baseline="0"/>
                  <a:t>Average Wild Proportion of Samples</a:t>
                </a:r>
              </a:p>
            </c:rich>
          </c:tx>
          <c:overlay val="0"/>
        </c:title>
        <c:numFmt formatCode="#,##0.00" sourceLinked="0"/>
        <c:majorTickMark val="out"/>
        <c:minorTickMark val="none"/>
        <c:tickLblPos val="nextTo"/>
        <c:crossAx val="161068544"/>
        <c:crosses val="autoZero"/>
        <c:crossBetween val="between"/>
      </c:valAx>
      <c:valAx>
        <c:axId val="160762112"/>
        <c:scaling>
          <c:orientation val="minMax"/>
          <c:max val="80"/>
          <c:min val="0"/>
        </c:scaling>
        <c:delete val="0"/>
        <c:axPos val="r"/>
        <c:title>
          <c:tx>
            <c:rich>
              <a:bodyPr rot="-5400000" vert="horz"/>
              <a:lstStyle/>
              <a:p>
                <a:pPr>
                  <a:defRPr/>
                </a:pPr>
                <a:r>
                  <a:rPr lang="en-US"/>
                  <a:t>Average Treaty Wild Catch</a:t>
                </a:r>
              </a:p>
            </c:rich>
          </c:tx>
          <c:overlay val="0"/>
        </c:title>
        <c:numFmt formatCode="0" sourceLinked="0"/>
        <c:majorTickMark val="out"/>
        <c:minorTickMark val="none"/>
        <c:tickLblPos val="nextTo"/>
        <c:crossAx val="161069568"/>
        <c:crosses val="max"/>
        <c:crossBetween val="between"/>
        <c:majorUnit val="5"/>
      </c:valAx>
      <c:catAx>
        <c:axId val="161069568"/>
        <c:scaling>
          <c:orientation val="minMax"/>
        </c:scaling>
        <c:delete val="1"/>
        <c:axPos val="b"/>
        <c:majorTickMark val="out"/>
        <c:minorTickMark val="none"/>
        <c:tickLblPos val="none"/>
        <c:crossAx val="160762112"/>
        <c:crosses val="autoZero"/>
        <c:auto val="1"/>
        <c:lblAlgn val="ctr"/>
        <c:lblOffset val="100"/>
        <c:noMultiLvlLbl val="0"/>
      </c:catAx>
    </c:plotArea>
    <c:legend>
      <c:legendPos val="r"/>
      <c:overlay val="0"/>
      <c:txPr>
        <a:bodyPr/>
        <a:lstStyle/>
        <a:p>
          <a:pPr>
            <a:defRPr sz="800"/>
          </a:pPr>
          <a:endParaRPr lang="en-US"/>
        </a:p>
      </c:txPr>
    </c:legend>
    <c:plotVisOnly val="1"/>
    <c:dispBlanksAs val="gap"/>
    <c:showDLblsOverMax val="0"/>
  </c:chart>
  <c:printSettings>
    <c:headerFooter/>
    <c:pageMargins b="0.75000000000001443" l="0.70000000000000062" r="0.70000000000000062" t="0.75000000000001443"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171450</xdr:colOff>
      <xdr:row>59</xdr:row>
      <xdr:rowOff>85725</xdr:rowOff>
    </xdr:from>
    <xdr:to>
      <xdr:col>8</xdr:col>
      <xdr:colOff>85725</xdr:colOff>
      <xdr:row>59</xdr:row>
      <xdr:rowOff>87313</xdr:rowOff>
    </xdr:to>
    <xdr:cxnSp macro="">
      <xdr:nvCxnSpPr>
        <xdr:cNvPr id="4" name="Straight Arrow Connector 3">
          <a:extLst>
            <a:ext uri="{FF2B5EF4-FFF2-40B4-BE49-F238E27FC236}">
              <a16:creationId xmlns:a16="http://schemas.microsoft.com/office/drawing/2014/main" id="{00000000-0008-0000-0200-000004000000}"/>
            </a:ext>
          </a:extLst>
        </xdr:cNvPr>
        <xdr:cNvCxnSpPr/>
      </xdr:nvCxnSpPr>
      <xdr:spPr>
        <a:xfrm>
          <a:off x="4410075" y="8515350"/>
          <a:ext cx="10858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8" name="Straight Arrow Connector 7">
          <a:extLst>
            <a:ext uri="{FF2B5EF4-FFF2-40B4-BE49-F238E27FC236}">
              <a16:creationId xmlns:a16="http://schemas.microsoft.com/office/drawing/2014/main" id="{00000000-0008-0000-0200-000008000000}"/>
            </a:ext>
          </a:extLst>
        </xdr:cNvPr>
        <xdr:cNvCxnSpPr/>
      </xdr:nvCxnSpPr>
      <xdr:spPr>
        <a:xfrm>
          <a:off x="4410075" y="8515350"/>
          <a:ext cx="10858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204</xdr:col>
      <xdr:colOff>427264</xdr:colOff>
      <xdr:row>60</xdr:row>
      <xdr:rowOff>416380</xdr:rowOff>
    </xdr:from>
    <xdr:to>
      <xdr:col>218</xdr:col>
      <xdr:colOff>515710</xdr:colOff>
      <xdr:row>85</xdr:row>
      <xdr:rowOff>73480</xdr:rowOff>
    </xdr:to>
    <xdr:graphicFrame macro="">
      <xdr:nvGraphicFramePr>
        <xdr:cNvPr id="12" name="Chart 11">
          <a:extLst>
            <a:ext uri="{FF2B5EF4-FFF2-40B4-BE49-F238E27FC236}">
              <a16:creationId xmlns:a16="http://schemas.microsoft.com/office/drawing/2014/main" id="{00000000-0008-0000-02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171450</xdr:colOff>
      <xdr:row>59</xdr:row>
      <xdr:rowOff>85725</xdr:rowOff>
    </xdr:from>
    <xdr:to>
      <xdr:col>8</xdr:col>
      <xdr:colOff>85725</xdr:colOff>
      <xdr:row>59</xdr:row>
      <xdr:rowOff>87313</xdr:rowOff>
    </xdr:to>
    <xdr:cxnSp macro="">
      <xdr:nvCxnSpPr>
        <xdr:cNvPr id="15" name="Straight Arrow Connector 14">
          <a:extLst>
            <a:ext uri="{FF2B5EF4-FFF2-40B4-BE49-F238E27FC236}">
              <a16:creationId xmlns:a16="http://schemas.microsoft.com/office/drawing/2014/main" id="{00000000-0008-0000-0200-00000F000000}"/>
            </a:ext>
          </a:extLst>
        </xdr:cNvPr>
        <xdr:cNvCxnSpPr/>
      </xdr:nvCxnSpPr>
      <xdr:spPr>
        <a:xfrm>
          <a:off x="4410075" y="8515350"/>
          <a:ext cx="10858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19" name="Straight Arrow Connector 18">
          <a:extLst>
            <a:ext uri="{FF2B5EF4-FFF2-40B4-BE49-F238E27FC236}">
              <a16:creationId xmlns:a16="http://schemas.microsoft.com/office/drawing/2014/main" id="{00000000-0008-0000-0200-000013000000}"/>
            </a:ext>
          </a:extLst>
        </xdr:cNvPr>
        <xdr:cNvCxnSpPr/>
      </xdr:nvCxnSpPr>
      <xdr:spPr>
        <a:xfrm>
          <a:off x="4410075" y="8515350"/>
          <a:ext cx="10858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23" name="Straight Arrow Connector 22">
          <a:extLst>
            <a:ext uri="{FF2B5EF4-FFF2-40B4-BE49-F238E27FC236}">
              <a16:creationId xmlns:a16="http://schemas.microsoft.com/office/drawing/2014/main" id="{00000000-0008-0000-0200-000017000000}"/>
            </a:ext>
          </a:extLst>
        </xdr:cNvPr>
        <xdr:cNvCxnSpPr/>
      </xdr:nvCxnSpPr>
      <xdr:spPr>
        <a:xfrm>
          <a:off x="4410075" y="8515350"/>
          <a:ext cx="10858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30" name="Straight Arrow Connector 29">
          <a:extLst>
            <a:ext uri="{FF2B5EF4-FFF2-40B4-BE49-F238E27FC236}">
              <a16:creationId xmlns:a16="http://schemas.microsoft.com/office/drawing/2014/main" id="{00000000-0008-0000-0200-00001E000000}"/>
            </a:ext>
          </a:extLst>
        </xdr:cNvPr>
        <xdr:cNvCxnSpPr/>
      </xdr:nvCxnSpPr>
      <xdr:spPr>
        <a:xfrm>
          <a:off x="4410075" y="8515350"/>
          <a:ext cx="10858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34" name="Straight Arrow Connector 33">
          <a:extLst>
            <a:ext uri="{FF2B5EF4-FFF2-40B4-BE49-F238E27FC236}">
              <a16:creationId xmlns:a16="http://schemas.microsoft.com/office/drawing/2014/main" id="{00000000-0008-0000-0200-000022000000}"/>
            </a:ext>
          </a:extLst>
        </xdr:cNvPr>
        <xdr:cNvCxnSpPr/>
      </xdr:nvCxnSpPr>
      <xdr:spPr>
        <a:xfrm>
          <a:off x="4410075" y="8515350"/>
          <a:ext cx="10858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38" name="Straight Arrow Connector 37">
          <a:extLst>
            <a:ext uri="{FF2B5EF4-FFF2-40B4-BE49-F238E27FC236}">
              <a16:creationId xmlns:a16="http://schemas.microsoft.com/office/drawing/2014/main" id="{00000000-0008-0000-0200-000026000000}"/>
            </a:ext>
          </a:extLst>
        </xdr:cNvPr>
        <xdr:cNvCxnSpPr/>
      </xdr:nvCxnSpPr>
      <xdr:spPr>
        <a:xfrm>
          <a:off x="4410075" y="8515350"/>
          <a:ext cx="10858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45" name="Straight Arrow Connector 44">
          <a:extLst>
            <a:ext uri="{FF2B5EF4-FFF2-40B4-BE49-F238E27FC236}">
              <a16:creationId xmlns:a16="http://schemas.microsoft.com/office/drawing/2014/main" id="{00000000-0008-0000-0200-00002D000000}"/>
            </a:ext>
          </a:extLst>
        </xdr:cNvPr>
        <xdr:cNvCxnSpPr/>
      </xdr:nvCxnSpPr>
      <xdr:spPr>
        <a:xfrm>
          <a:off x="4410075" y="8515350"/>
          <a:ext cx="10858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49" name="Straight Arrow Connector 48">
          <a:extLst>
            <a:ext uri="{FF2B5EF4-FFF2-40B4-BE49-F238E27FC236}">
              <a16:creationId xmlns:a16="http://schemas.microsoft.com/office/drawing/2014/main" id="{00000000-0008-0000-0200-000031000000}"/>
            </a:ext>
          </a:extLst>
        </xdr:cNvPr>
        <xdr:cNvCxnSpPr/>
      </xdr:nvCxnSpPr>
      <xdr:spPr>
        <a:xfrm>
          <a:off x="4410075" y="8515350"/>
          <a:ext cx="10858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56" name="Straight Arrow Connector 55">
          <a:extLst>
            <a:ext uri="{FF2B5EF4-FFF2-40B4-BE49-F238E27FC236}">
              <a16:creationId xmlns:a16="http://schemas.microsoft.com/office/drawing/2014/main" id="{00000000-0008-0000-0200-000038000000}"/>
            </a:ext>
          </a:extLst>
        </xdr:cNvPr>
        <xdr:cNvCxnSpPr/>
      </xdr:nvCxnSpPr>
      <xdr:spPr>
        <a:xfrm>
          <a:off x="4410075" y="8515350"/>
          <a:ext cx="10858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60" name="Straight Arrow Connector 59">
          <a:extLst>
            <a:ext uri="{FF2B5EF4-FFF2-40B4-BE49-F238E27FC236}">
              <a16:creationId xmlns:a16="http://schemas.microsoft.com/office/drawing/2014/main" id="{00000000-0008-0000-0200-00003C000000}"/>
            </a:ext>
          </a:extLst>
        </xdr:cNvPr>
        <xdr:cNvCxnSpPr/>
      </xdr:nvCxnSpPr>
      <xdr:spPr>
        <a:xfrm>
          <a:off x="4410075" y="8515350"/>
          <a:ext cx="10858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64" name="Straight Arrow Connector 63">
          <a:extLst>
            <a:ext uri="{FF2B5EF4-FFF2-40B4-BE49-F238E27FC236}">
              <a16:creationId xmlns:a16="http://schemas.microsoft.com/office/drawing/2014/main" id="{00000000-0008-0000-0200-000040000000}"/>
            </a:ext>
          </a:extLst>
        </xdr:cNvPr>
        <xdr:cNvCxnSpPr/>
      </xdr:nvCxnSpPr>
      <xdr:spPr>
        <a:xfrm>
          <a:off x="4410075" y="8515350"/>
          <a:ext cx="10858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71" name="Straight Arrow Connector 70">
          <a:extLst>
            <a:ext uri="{FF2B5EF4-FFF2-40B4-BE49-F238E27FC236}">
              <a16:creationId xmlns:a16="http://schemas.microsoft.com/office/drawing/2014/main" id="{00000000-0008-0000-0200-000047000000}"/>
            </a:ext>
          </a:extLst>
        </xdr:cNvPr>
        <xdr:cNvCxnSpPr/>
      </xdr:nvCxnSpPr>
      <xdr:spPr>
        <a:xfrm>
          <a:off x="4467225" y="8515350"/>
          <a:ext cx="1123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75" name="Straight Arrow Connector 74">
          <a:extLst>
            <a:ext uri="{FF2B5EF4-FFF2-40B4-BE49-F238E27FC236}">
              <a16:creationId xmlns:a16="http://schemas.microsoft.com/office/drawing/2014/main" id="{00000000-0008-0000-0200-00004B000000}"/>
            </a:ext>
          </a:extLst>
        </xdr:cNvPr>
        <xdr:cNvCxnSpPr/>
      </xdr:nvCxnSpPr>
      <xdr:spPr>
        <a:xfrm>
          <a:off x="4467225" y="8515350"/>
          <a:ext cx="1123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79" name="Straight Arrow Connector 78">
          <a:extLst>
            <a:ext uri="{FF2B5EF4-FFF2-40B4-BE49-F238E27FC236}">
              <a16:creationId xmlns:a16="http://schemas.microsoft.com/office/drawing/2014/main" id="{00000000-0008-0000-0200-00004F000000}"/>
            </a:ext>
          </a:extLst>
        </xdr:cNvPr>
        <xdr:cNvCxnSpPr/>
      </xdr:nvCxnSpPr>
      <xdr:spPr>
        <a:xfrm>
          <a:off x="4467225" y="8515350"/>
          <a:ext cx="1123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204</xdr:col>
      <xdr:colOff>403225</xdr:colOff>
      <xdr:row>94</xdr:row>
      <xdr:rowOff>19050</xdr:rowOff>
    </xdr:from>
    <xdr:to>
      <xdr:col>218</xdr:col>
      <xdr:colOff>508001</xdr:colOff>
      <xdr:row>121</xdr:row>
      <xdr:rowOff>0</xdr:rowOff>
    </xdr:to>
    <xdr:graphicFrame macro="">
      <xdr:nvGraphicFramePr>
        <xdr:cNvPr id="81" name="Chart 80">
          <a:extLst>
            <a:ext uri="{FF2B5EF4-FFF2-40B4-BE49-F238E27FC236}">
              <a16:creationId xmlns:a16="http://schemas.microsoft.com/office/drawing/2014/main" id="{00000000-0008-0000-0200-00005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171450</xdr:colOff>
      <xdr:row>59</xdr:row>
      <xdr:rowOff>85725</xdr:rowOff>
    </xdr:from>
    <xdr:to>
      <xdr:col>8</xdr:col>
      <xdr:colOff>85725</xdr:colOff>
      <xdr:row>59</xdr:row>
      <xdr:rowOff>87313</xdr:rowOff>
    </xdr:to>
    <xdr:cxnSp macro="">
      <xdr:nvCxnSpPr>
        <xdr:cNvPr id="86" name="Straight Arrow Connector 85">
          <a:extLst>
            <a:ext uri="{FF2B5EF4-FFF2-40B4-BE49-F238E27FC236}">
              <a16:creationId xmlns:a16="http://schemas.microsoft.com/office/drawing/2014/main" id="{00000000-0008-0000-0200-000056000000}"/>
            </a:ext>
          </a:extLst>
        </xdr:cNvPr>
        <xdr:cNvCxnSpPr/>
      </xdr:nvCxnSpPr>
      <xdr:spPr>
        <a:xfrm>
          <a:off x="4467225" y="8515350"/>
          <a:ext cx="1123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90" name="Straight Arrow Connector 89">
          <a:extLst>
            <a:ext uri="{FF2B5EF4-FFF2-40B4-BE49-F238E27FC236}">
              <a16:creationId xmlns:a16="http://schemas.microsoft.com/office/drawing/2014/main" id="{00000000-0008-0000-0200-00005A000000}"/>
            </a:ext>
          </a:extLst>
        </xdr:cNvPr>
        <xdr:cNvCxnSpPr/>
      </xdr:nvCxnSpPr>
      <xdr:spPr>
        <a:xfrm>
          <a:off x="4467225" y="8515350"/>
          <a:ext cx="1123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204</xdr:col>
      <xdr:colOff>566964</xdr:colOff>
      <xdr:row>124</xdr:row>
      <xdr:rowOff>139700</xdr:rowOff>
    </xdr:from>
    <xdr:to>
      <xdr:col>218</xdr:col>
      <xdr:colOff>584427</xdr:colOff>
      <xdr:row>151</xdr:row>
      <xdr:rowOff>117475</xdr:rowOff>
    </xdr:to>
    <xdr:graphicFrame macro="">
      <xdr:nvGraphicFramePr>
        <xdr:cNvPr id="93" name="Chart 92">
          <a:extLst>
            <a:ext uri="{FF2B5EF4-FFF2-40B4-BE49-F238E27FC236}">
              <a16:creationId xmlns:a16="http://schemas.microsoft.com/office/drawing/2014/main" id="{00000000-0008-0000-0200-00005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171450</xdr:colOff>
      <xdr:row>59</xdr:row>
      <xdr:rowOff>85725</xdr:rowOff>
    </xdr:from>
    <xdr:to>
      <xdr:col>8</xdr:col>
      <xdr:colOff>85725</xdr:colOff>
      <xdr:row>59</xdr:row>
      <xdr:rowOff>87313</xdr:rowOff>
    </xdr:to>
    <xdr:cxnSp macro="">
      <xdr:nvCxnSpPr>
        <xdr:cNvPr id="97" name="Straight Arrow Connector 96">
          <a:extLst>
            <a:ext uri="{FF2B5EF4-FFF2-40B4-BE49-F238E27FC236}">
              <a16:creationId xmlns:a16="http://schemas.microsoft.com/office/drawing/2014/main" id="{00000000-0008-0000-0200-000061000000}"/>
            </a:ext>
          </a:extLst>
        </xdr:cNvPr>
        <xdr:cNvCxnSpPr/>
      </xdr:nvCxnSpPr>
      <xdr:spPr>
        <a:xfrm>
          <a:off x="4467225" y="8515350"/>
          <a:ext cx="1123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158</xdr:col>
      <xdr:colOff>285750</xdr:colOff>
      <xdr:row>125</xdr:row>
      <xdr:rowOff>19049</xdr:rowOff>
    </xdr:from>
    <xdr:to>
      <xdr:col>181</xdr:col>
      <xdr:colOff>100013</xdr:colOff>
      <xdr:row>157</xdr:row>
      <xdr:rowOff>54429</xdr:rowOff>
    </xdr:to>
    <xdr:graphicFrame macro="">
      <xdr:nvGraphicFramePr>
        <xdr:cNvPr id="98" name="Chart 97">
          <a:extLst>
            <a:ext uri="{FF2B5EF4-FFF2-40B4-BE49-F238E27FC236}">
              <a16:creationId xmlns:a16="http://schemas.microsoft.com/office/drawing/2014/main" id="{00000000-0008-0000-0200-00006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171450</xdr:colOff>
      <xdr:row>59</xdr:row>
      <xdr:rowOff>85725</xdr:rowOff>
    </xdr:from>
    <xdr:to>
      <xdr:col>8</xdr:col>
      <xdr:colOff>85725</xdr:colOff>
      <xdr:row>59</xdr:row>
      <xdr:rowOff>87313</xdr:rowOff>
    </xdr:to>
    <xdr:cxnSp macro="">
      <xdr:nvCxnSpPr>
        <xdr:cNvPr id="101" name="Straight Arrow Connector 100">
          <a:extLst>
            <a:ext uri="{FF2B5EF4-FFF2-40B4-BE49-F238E27FC236}">
              <a16:creationId xmlns:a16="http://schemas.microsoft.com/office/drawing/2014/main" id="{00000000-0008-0000-0200-000065000000}"/>
            </a:ext>
          </a:extLst>
        </xdr:cNvPr>
        <xdr:cNvCxnSpPr/>
      </xdr:nvCxnSpPr>
      <xdr:spPr>
        <a:xfrm>
          <a:off x="4467225" y="8515350"/>
          <a:ext cx="1123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158</xdr:col>
      <xdr:colOff>302418</xdr:colOff>
      <xdr:row>61</xdr:row>
      <xdr:rowOff>97630</xdr:rowOff>
    </xdr:from>
    <xdr:to>
      <xdr:col>181</xdr:col>
      <xdr:colOff>226218</xdr:colOff>
      <xdr:row>87</xdr:row>
      <xdr:rowOff>50005</xdr:rowOff>
    </xdr:to>
    <xdr:graphicFrame macro="">
      <xdr:nvGraphicFramePr>
        <xdr:cNvPr id="103" name="Chart 102">
          <a:extLst>
            <a:ext uri="{FF2B5EF4-FFF2-40B4-BE49-F238E27FC236}">
              <a16:creationId xmlns:a16="http://schemas.microsoft.com/office/drawing/2014/main" id="{00000000-0008-0000-0200-00006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158</xdr:col>
      <xdr:colOff>330993</xdr:colOff>
      <xdr:row>94</xdr:row>
      <xdr:rowOff>16668</xdr:rowOff>
    </xdr:from>
    <xdr:to>
      <xdr:col>181</xdr:col>
      <xdr:colOff>216694</xdr:colOff>
      <xdr:row>120</xdr:row>
      <xdr:rowOff>140493</xdr:rowOff>
    </xdr:to>
    <xdr:graphicFrame macro="">
      <xdr:nvGraphicFramePr>
        <xdr:cNvPr id="104" name="Chart 103">
          <a:extLst>
            <a:ext uri="{FF2B5EF4-FFF2-40B4-BE49-F238E27FC236}">
              <a16:creationId xmlns:a16="http://schemas.microsoft.com/office/drawing/2014/main" id="{00000000-0008-0000-0200-00006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171450</xdr:colOff>
      <xdr:row>59</xdr:row>
      <xdr:rowOff>85725</xdr:rowOff>
    </xdr:from>
    <xdr:to>
      <xdr:col>8</xdr:col>
      <xdr:colOff>85725</xdr:colOff>
      <xdr:row>59</xdr:row>
      <xdr:rowOff>87313</xdr:rowOff>
    </xdr:to>
    <xdr:cxnSp macro="">
      <xdr:nvCxnSpPr>
        <xdr:cNvPr id="105" name="Straight Arrow Connector 104">
          <a:extLst>
            <a:ext uri="{FF2B5EF4-FFF2-40B4-BE49-F238E27FC236}">
              <a16:creationId xmlns:a16="http://schemas.microsoft.com/office/drawing/2014/main" id="{00000000-0008-0000-0200-000069000000}"/>
            </a:ext>
          </a:extLst>
        </xdr:cNvPr>
        <xdr:cNvCxnSpPr/>
      </xdr:nvCxnSpPr>
      <xdr:spPr>
        <a:xfrm>
          <a:off x="4467225" y="8515350"/>
          <a:ext cx="1123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184</xdr:col>
      <xdr:colOff>6350</xdr:colOff>
      <xdr:row>93</xdr:row>
      <xdr:rowOff>114300</xdr:rowOff>
    </xdr:from>
    <xdr:to>
      <xdr:col>203</xdr:col>
      <xdr:colOff>430213</xdr:colOff>
      <xdr:row>120</xdr:row>
      <xdr:rowOff>85725</xdr:rowOff>
    </xdr:to>
    <xdr:graphicFrame macro="">
      <xdr:nvGraphicFramePr>
        <xdr:cNvPr id="106" name="Chart 105">
          <a:extLst>
            <a:ext uri="{FF2B5EF4-FFF2-40B4-BE49-F238E27FC236}">
              <a16:creationId xmlns:a16="http://schemas.microsoft.com/office/drawing/2014/main" id="{00000000-0008-0000-0200-00006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183</xdr:col>
      <xdr:colOff>256721</xdr:colOff>
      <xdr:row>125</xdr:row>
      <xdr:rowOff>9525</xdr:rowOff>
    </xdr:from>
    <xdr:to>
      <xdr:col>203</xdr:col>
      <xdr:colOff>373971</xdr:colOff>
      <xdr:row>151</xdr:row>
      <xdr:rowOff>126546</xdr:rowOff>
    </xdr:to>
    <xdr:graphicFrame macro="">
      <xdr:nvGraphicFramePr>
        <xdr:cNvPr id="108" name="Chart 107">
          <a:extLst>
            <a:ext uri="{FF2B5EF4-FFF2-40B4-BE49-F238E27FC236}">
              <a16:creationId xmlns:a16="http://schemas.microsoft.com/office/drawing/2014/main" id="{00000000-0008-0000-0200-00006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183</xdr:col>
      <xdr:colOff>276224</xdr:colOff>
      <xdr:row>61</xdr:row>
      <xdr:rowOff>111919</xdr:rowOff>
    </xdr:from>
    <xdr:to>
      <xdr:col>203</xdr:col>
      <xdr:colOff>354806</xdr:colOff>
      <xdr:row>87</xdr:row>
      <xdr:rowOff>64294</xdr:rowOff>
    </xdr:to>
    <xdr:graphicFrame macro="">
      <xdr:nvGraphicFramePr>
        <xdr:cNvPr id="109" name="Chart 108">
          <a:extLst>
            <a:ext uri="{FF2B5EF4-FFF2-40B4-BE49-F238E27FC236}">
              <a16:creationId xmlns:a16="http://schemas.microsoft.com/office/drawing/2014/main" id="{00000000-0008-0000-0200-00006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171450</xdr:colOff>
      <xdr:row>59</xdr:row>
      <xdr:rowOff>85725</xdr:rowOff>
    </xdr:from>
    <xdr:to>
      <xdr:col>8</xdr:col>
      <xdr:colOff>85725</xdr:colOff>
      <xdr:row>59</xdr:row>
      <xdr:rowOff>87313</xdr:rowOff>
    </xdr:to>
    <xdr:cxnSp macro="">
      <xdr:nvCxnSpPr>
        <xdr:cNvPr id="110" name="Straight Arrow Connector 109">
          <a:extLst>
            <a:ext uri="{FF2B5EF4-FFF2-40B4-BE49-F238E27FC236}">
              <a16:creationId xmlns:a16="http://schemas.microsoft.com/office/drawing/2014/main" id="{00000000-0008-0000-0200-00006E000000}"/>
            </a:ext>
          </a:extLst>
        </xdr:cNvPr>
        <xdr:cNvCxnSpPr/>
      </xdr:nvCxnSpPr>
      <xdr:spPr>
        <a:xfrm>
          <a:off x="4467225" y="8515350"/>
          <a:ext cx="1123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111" name="Straight Arrow Connector 110">
          <a:extLst>
            <a:ext uri="{FF2B5EF4-FFF2-40B4-BE49-F238E27FC236}">
              <a16:creationId xmlns:a16="http://schemas.microsoft.com/office/drawing/2014/main" id="{00000000-0008-0000-0200-00006F000000}"/>
            </a:ext>
          </a:extLst>
        </xdr:cNvPr>
        <xdr:cNvCxnSpPr/>
      </xdr:nvCxnSpPr>
      <xdr:spPr>
        <a:xfrm>
          <a:off x="4467225" y="8515350"/>
          <a:ext cx="1123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112" name="Straight Arrow Connector 111">
          <a:extLst>
            <a:ext uri="{FF2B5EF4-FFF2-40B4-BE49-F238E27FC236}">
              <a16:creationId xmlns:a16="http://schemas.microsoft.com/office/drawing/2014/main" id="{00000000-0008-0000-0200-000070000000}"/>
            </a:ext>
          </a:extLst>
        </xdr:cNvPr>
        <xdr:cNvCxnSpPr/>
      </xdr:nvCxnSpPr>
      <xdr:spPr>
        <a:xfrm>
          <a:off x="4467225" y="8515350"/>
          <a:ext cx="1123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113" name="Straight Arrow Connector 112">
          <a:extLst>
            <a:ext uri="{FF2B5EF4-FFF2-40B4-BE49-F238E27FC236}">
              <a16:creationId xmlns:a16="http://schemas.microsoft.com/office/drawing/2014/main" id="{00000000-0008-0000-0200-000071000000}"/>
            </a:ext>
          </a:extLst>
        </xdr:cNvPr>
        <xdr:cNvCxnSpPr/>
      </xdr:nvCxnSpPr>
      <xdr:spPr>
        <a:xfrm>
          <a:off x="4467225" y="8515350"/>
          <a:ext cx="1123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114" name="Straight Arrow Connector 113">
          <a:extLst>
            <a:ext uri="{FF2B5EF4-FFF2-40B4-BE49-F238E27FC236}">
              <a16:creationId xmlns:a16="http://schemas.microsoft.com/office/drawing/2014/main" id="{00000000-0008-0000-0200-000072000000}"/>
            </a:ext>
          </a:extLst>
        </xdr:cNvPr>
        <xdr:cNvCxnSpPr/>
      </xdr:nvCxnSpPr>
      <xdr:spPr>
        <a:xfrm>
          <a:off x="4467225" y="8515350"/>
          <a:ext cx="1123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115" name="Straight Arrow Connector 114">
          <a:extLst>
            <a:ext uri="{FF2B5EF4-FFF2-40B4-BE49-F238E27FC236}">
              <a16:creationId xmlns:a16="http://schemas.microsoft.com/office/drawing/2014/main" id="{00000000-0008-0000-0200-000073000000}"/>
            </a:ext>
          </a:extLst>
        </xdr:cNvPr>
        <xdr:cNvCxnSpPr/>
      </xdr:nvCxnSpPr>
      <xdr:spPr>
        <a:xfrm>
          <a:off x="4467225" y="8515350"/>
          <a:ext cx="1123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116" name="Straight Arrow Connector 115">
          <a:extLst>
            <a:ext uri="{FF2B5EF4-FFF2-40B4-BE49-F238E27FC236}">
              <a16:creationId xmlns:a16="http://schemas.microsoft.com/office/drawing/2014/main" id="{00000000-0008-0000-0200-000074000000}"/>
            </a:ext>
          </a:extLst>
        </xdr:cNvPr>
        <xdr:cNvCxnSpPr/>
      </xdr:nvCxnSpPr>
      <xdr:spPr>
        <a:xfrm>
          <a:off x="4467225" y="8515350"/>
          <a:ext cx="1123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117" name="Straight Arrow Connector 116">
          <a:extLst>
            <a:ext uri="{FF2B5EF4-FFF2-40B4-BE49-F238E27FC236}">
              <a16:creationId xmlns:a16="http://schemas.microsoft.com/office/drawing/2014/main" id="{00000000-0008-0000-0200-000075000000}"/>
            </a:ext>
          </a:extLst>
        </xdr:cNvPr>
        <xdr:cNvCxnSpPr/>
      </xdr:nvCxnSpPr>
      <xdr:spPr>
        <a:xfrm>
          <a:off x="4467225" y="8515350"/>
          <a:ext cx="1123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118" name="Straight Arrow Connector 117">
          <a:extLst>
            <a:ext uri="{FF2B5EF4-FFF2-40B4-BE49-F238E27FC236}">
              <a16:creationId xmlns:a16="http://schemas.microsoft.com/office/drawing/2014/main" id="{00000000-0008-0000-0200-000076000000}"/>
            </a:ext>
          </a:extLst>
        </xdr:cNvPr>
        <xdr:cNvCxnSpPr/>
      </xdr:nvCxnSpPr>
      <xdr:spPr>
        <a:xfrm>
          <a:off x="4467225" y="8515350"/>
          <a:ext cx="1123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119" name="Straight Arrow Connector 118">
          <a:extLst>
            <a:ext uri="{FF2B5EF4-FFF2-40B4-BE49-F238E27FC236}">
              <a16:creationId xmlns:a16="http://schemas.microsoft.com/office/drawing/2014/main" id="{00000000-0008-0000-0200-000077000000}"/>
            </a:ext>
          </a:extLst>
        </xdr:cNvPr>
        <xdr:cNvCxnSpPr/>
      </xdr:nvCxnSpPr>
      <xdr:spPr>
        <a:xfrm>
          <a:off x="4467225" y="8515350"/>
          <a:ext cx="1123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120" name="Straight Arrow Connector 119">
          <a:extLst>
            <a:ext uri="{FF2B5EF4-FFF2-40B4-BE49-F238E27FC236}">
              <a16:creationId xmlns:a16="http://schemas.microsoft.com/office/drawing/2014/main" id="{00000000-0008-0000-0200-000078000000}"/>
            </a:ext>
          </a:extLst>
        </xdr:cNvPr>
        <xdr:cNvCxnSpPr/>
      </xdr:nvCxnSpPr>
      <xdr:spPr>
        <a:xfrm>
          <a:off x="4467225" y="8515350"/>
          <a:ext cx="1123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121" name="Straight Arrow Connector 120">
          <a:extLst>
            <a:ext uri="{FF2B5EF4-FFF2-40B4-BE49-F238E27FC236}">
              <a16:creationId xmlns:a16="http://schemas.microsoft.com/office/drawing/2014/main" id="{00000000-0008-0000-0200-000079000000}"/>
            </a:ext>
          </a:extLst>
        </xdr:cNvPr>
        <xdr:cNvCxnSpPr/>
      </xdr:nvCxnSpPr>
      <xdr:spPr>
        <a:xfrm>
          <a:off x="4467225" y="8515350"/>
          <a:ext cx="1123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122" name="Straight Arrow Connector 121">
          <a:extLst>
            <a:ext uri="{FF2B5EF4-FFF2-40B4-BE49-F238E27FC236}">
              <a16:creationId xmlns:a16="http://schemas.microsoft.com/office/drawing/2014/main" id="{00000000-0008-0000-0200-00007A000000}"/>
            </a:ext>
          </a:extLst>
        </xdr:cNvPr>
        <xdr:cNvCxnSpPr/>
      </xdr:nvCxnSpPr>
      <xdr:spPr>
        <a:xfrm>
          <a:off x="4467225" y="8515350"/>
          <a:ext cx="1123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87</xdr:col>
      <xdr:colOff>238122</xdr:colOff>
      <xdr:row>303</xdr:row>
      <xdr:rowOff>107155</xdr:rowOff>
    </xdr:from>
    <xdr:to>
      <xdr:col>135</xdr:col>
      <xdr:colOff>119063</xdr:colOff>
      <xdr:row>310</xdr:row>
      <xdr:rowOff>95250</xdr:rowOff>
    </xdr:to>
    <xdr:sp macro="" textlink="">
      <xdr:nvSpPr>
        <xdr:cNvPr id="46" name="TextBox 45">
          <a:extLst>
            <a:ext uri="{FF2B5EF4-FFF2-40B4-BE49-F238E27FC236}">
              <a16:creationId xmlns:a16="http://schemas.microsoft.com/office/drawing/2014/main" id="{00000000-0008-0000-0200-00002E000000}"/>
            </a:ext>
          </a:extLst>
        </xdr:cNvPr>
        <xdr:cNvSpPr txBox="1"/>
      </xdr:nvSpPr>
      <xdr:spPr>
        <a:xfrm>
          <a:off x="41267060" y="44767499"/>
          <a:ext cx="3238503" cy="988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solidFill>
                <a:srgbClr val="FF0000"/>
              </a:solidFill>
            </a:rPr>
            <a:t>For 2018-19 post-season accounting</a:t>
          </a:r>
          <a:r>
            <a:rPr lang="en-US" sz="1100" baseline="0">
              <a:solidFill>
                <a:srgbClr val="FF0000"/>
              </a:solidFill>
            </a:rPr>
            <a:t>, will need to update the kelt adjustment factor for hatchery fish in 2018 from week 18 on and wild fish in 2018 from week 27 on using new repeat spawner average.</a:t>
          </a:r>
          <a:endParaRPr lang="en-US" sz="1100">
            <a:solidFill>
              <a:srgbClr val="FF0000"/>
            </a:solidFill>
          </a:endParaRPr>
        </a:p>
      </xdr:txBody>
    </xdr:sp>
    <xdr:clientData/>
  </xdr:twoCellAnchor>
  <xdr:twoCellAnchor>
    <xdr:from>
      <xdr:col>82</xdr:col>
      <xdr:colOff>500062</xdr:colOff>
      <xdr:row>275</xdr:row>
      <xdr:rowOff>130968</xdr:rowOff>
    </xdr:from>
    <xdr:to>
      <xdr:col>86</xdr:col>
      <xdr:colOff>476250</xdr:colOff>
      <xdr:row>286</xdr:row>
      <xdr:rowOff>59531</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38731031" y="40743187"/>
          <a:ext cx="2214563" cy="15001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ysClr val="windowText" lastClr="000000"/>
              </a:solidFill>
            </a:rPr>
            <a:t>For 2016 RY, the mgmt weeks were a bit</a:t>
          </a:r>
          <a:r>
            <a:rPr lang="en-US" sz="1100" baseline="0">
              <a:solidFill>
                <a:sysClr val="windowText" lastClr="000000"/>
              </a:solidFill>
            </a:rPr>
            <a:t> earlier than usual.  Typical wild breakpoint is week 26/27, but July 1 was not until week 28 for 2016.  So use 27/28 as the breakpoint this RY.  Remember to adjust formulas back to usual next year.</a:t>
          </a:r>
          <a:endParaRPr lang="en-US" sz="1100">
            <a:solidFill>
              <a:sysClr val="windowText" lastClr="000000"/>
            </a:solidFill>
          </a:endParaRPr>
        </a:p>
      </xdr:txBody>
    </xdr:sp>
    <xdr:clientData/>
  </xdr:twoCellAnchor>
  <xdr:twoCellAnchor>
    <xdr:from>
      <xdr:col>83</xdr:col>
      <xdr:colOff>202407</xdr:colOff>
      <xdr:row>265</xdr:row>
      <xdr:rowOff>35718</xdr:rowOff>
    </xdr:from>
    <xdr:to>
      <xdr:col>84</xdr:col>
      <xdr:colOff>47625</xdr:colOff>
      <xdr:row>275</xdr:row>
      <xdr:rowOff>119062</xdr:rowOff>
    </xdr:to>
    <xdr:cxnSp macro="">
      <xdr:nvCxnSpPr>
        <xdr:cNvPr id="5" name="Straight Arrow Connector 4">
          <a:extLst>
            <a:ext uri="{FF2B5EF4-FFF2-40B4-BE49-F238E27FC236}">
              <a16:creationId xmlns:a16="http://schemas.microsoft.com/office/drawing/2014/main" id="{00000000-0008-0000-0200-000005000000}"/>
            </a:ext>
          </a:extLst>
        </xdr:cNvPr>
        <xdr:cNvCxnSpPr/>
      </xdr:nvCxnSpPr>
      <xdr:spPr>
        <a:xfrm flipV="1">
          <a:off x="38992970" y="39219187"/>
          <a:ext cx="404811" cy="151209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87</xdr:col>
      <xdr:colOff>321468</xdr:colOff>
      <xdr:row>248</xdr:row>
      <xdr:rowOff>47625</xdr:rowOff>
    </xdr:from>
    <xdr:to>
      <xdr:col>91</xdr:col>
      <xdr:colOff>154781</xdr:colOff>
      <xdr:row>254</xdr:row>
      <xdr:rowOff>23813</xdr:rowOff>
    </xdr:to>
    <xdr:sp macro="" textlink="">
      <xdr:nvSpPr>
        <xdr:cNvPr id="3" name="TextBox 2">
          <a:extLst>
            <a:ext uri="{FF2B5EF4-FFF2-40B4-BE49-F238E27FC236}">
              <a16:creationId xmlns:a16="http://schemas.microsoft.com/office/drawing/2014/main" id="{CED2713E-A2D3-4AEB-A1A8-5E71968A7360}"/>
            </a:ext>
          </a:extLst>
        </xdr:cNvPr>
        <xdr:cNvSpPr txBox="1"/>
      </xdr:nvSpPr>
      <xdr:spPr>
        <a:xfrm>
          <a:off x="41350406" y="36778406"/>
          <a:ext cx="2071688" cy="8334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Just</a:t>
          </a:r>
          <a:r>
            <a:rPr lang="en-US" sz="1100" baseline="0"/>
            <a:t> a reminder, this table contains </a:t>
          </a:r>
          <a:r>
            <a:rPr lang="en-US" sz="1100" b="1" u="sng" baseline="0"/>
            <a:t>mortalities</a:t>
          </a:r>
          <a:r>
            <a:rPr lang="en-US" sz="1100" baseline="0"/>
            <a:t>, whereas the ByTribeForHRModel tab is </a:t>
          </a:r>
          <a:r>
            <a:rPr lang="en-US" sz="1100" b="1" u="sng" baseline="0"/>
            <a:t>encounters.</a:t>
          </a:r>
          <a:endParaRPr lang="en-US" sz="1100" b="1" u="sng"/>
        </a:p>
      </xdr:txBody>
    </xdr:sp>
    <xdr:clientData/>
  </xdr:twoCellAnchor>
  <xdr:twoCellAnchor>
    <xdr:from>
      <xdr:col>118</xdr:col>
      <xdr:colOff>438498</xdr:colOff>
      <xdr:row>283</xdr:row>
      <xdr:rowOff>92637</xdr:rowOff>
    </xdr:from>
    <xdr:to>
      <xdr:col>121</xdr:col>
      <xdr:colOff>392036</xdr:colOff>
      <xdr:row>289</xdr:row>
      <xdr:rowOff>142585</xdr:rowOff>
    </xdr:to>
    <xdr:sp macro="" textlink="">
      <xdr:nvSpPr>
        <xdr:cNvPr id="6" name="TextBox 5">
          <a:extLst>
            <a:ext uri="{FF2B5EF4-FFF2-40B4-BE49-F238E27FC236}">
              <a16:creationId xmlns:a16="http://schemas.microsoft.com/office/drawing/2014/main" id="{F5339FB1-16C0-4C26-AB31-E5C6A4BD1EF3}"/>
            </a:ext>
          </a:extLst>
        </xdr:cNvPr>
        <xdr:cNvSpPr txBox="1"/>
      </xdr:nvSpPr>
      <xdr:spPr>
        <a:xfrm>
          <a:off x="58814842" y="41847856"/>
          <a:ext cx="1632319" cy="9071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Need to make sure weeks 27-on</a:t>
          </a:r>
          <a:r>
            <a:rPr lang="en-US" sz="1100" baseline="0"/>
            <a:t> are updated for the 2022-23 post-season</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43</xdr:row>
      <xdr:rowOff>0</xdr:rowOff>
    </xdr:from>
    <xdr:to>
      <xdr:col>1</xdr:col>
      <xdr:colOff>0</xdr:colOff>
      <xdr:row>43</xdr:row>
      <xdr:rowOff>0</xdr:rowOff>
    </xdr:to>
    <xdr:sp macro="" textlink="">
      <xdr:nvSpPr>
        <xdr:cNvPr id="5" name="Line 6">
          <a:extLst>
            <a:ext uri="{FF2B5EF4-FFF2-40B4-BE49-F238E27FC236}">
              <a16:creationId xmlns:a16="http://schemas.microsoft.com/office/drawing/2014/main" id="{00000000-0008-0000-0300-000005000000}"/>
            </a:ext>
          </a:extLst>
        </xdr:cNvPr>
        <xdr:cNvSpPr>
          <a:spLocks noChangeShapeType="1"/>
        </xdr:cNvSpPr>
      </xdr:nvSpPr>
      <xdr:spPr bwMode="auto">
        <a:xfrm flipV="1">
          <a:off x="1933575" y="7086600"/>
          <a:ext cx="0" cy="0"/>
        </a:xfrm>
        <a:prstGeom prst="line">
          <a:avLst/>
        </a:prstGeom>
        <a:noFill/>
        <a:ln w="9525">
          <a:solidFill>
            <a:srgbClr val="000000"/>
          </a:solidFill>
          <a:round/>
          <a:headEnd/>
          <a:tailEnd type="triangle" w="med" len="med"/>
        </a:ln>
      </xdr:spPr>
    </xdr:sp>
    <xdr:clientData/>
  </xdr:twoCellAnchor>
  <xdr:twoCellAnchor>
    <xdr:from>
      <xdr:col>1</xdr:col>
      <xdr:colOff>0</xdr:colOff>
      <xdr:row>43</xdr:row>
      <xdr:rowOff>0</xdr:rowOff>
    </xdr:from>
    <xdr:to>
      <xdr:col>1</xdr:col>
      <xdr:colOff>0</xdr:colOff>
      <xdr:row>43</xdr:row>
      <xdr:rowOff>0</xdr:rowOff>
    </xdr:to>
    <xdr:sp macro="" textlink="">
      <xdr:nvSpPr>
        <xdr:cNvPr id="6" name="Line 7">
          <a:extLst>
            <a:ext uri="{FF2B5EF4-FFF2-40B4-BE49-F238E27FC236}">
              <a16:creationId xmlns:a16="http://schemas.microsoft.com/office/drawing/2014/main" id="{00000000-0008-0000-0300-000006000000}"/>
            </a:ext>
          </a:extLst>
        </xdr:cNvPr>
        <xdr:cNvSpPr>
          <a:spLocks noChangeShapeType="1"/>
        </xdr:cNvSpPr>
      </xdr:nvSpPr>
      <xdr:spPr bwMode="auto">
        <a:xfrm flipV="1">
          <a:off x="1933575" y="7086600"/>
          <a:ext cx="0" cy="0"/>
        </a:xfrm>
        <a:prstGeom prst="line">
          <a:avLst/>
        </a:prstGeom>
        <a:noFill/>
        <a:ln w="9525">
          <a:solidFill>
            <a:srgbClr val="000000"/>
          </a:solidFill>
          <a:round/>
          <a:headEnd/>
          <a:tailEnd type="triangle" w="med" len="med"/>
        </a:ln>
      </xdr:spPr>
    </xdr:sp>
    <xdr:clientData/>
  </xdr:twoCellAnchor>
  <xdr:twoCellAnchor>
    <xdr:from>
      <xdr:col>1</xdr:col>
      <xdr:colOff>0</xdr:colOff>
      <xdr:row>43</xdr:row>
      <xdr:rowOff>0</xdr:rowOff>
    </xdr:from>
    <xdr:to>
      <xdr:col>1</xdr:col>
      <xdr:colOff>0</xdr:colOff>
      <xdr:row>43</xdr:row>
      <xdr:rowOff>0</xdr:rowOff>
    </xdr:to>
    <xdr:sp macro="" textlink="">
      <xdr:nvSpPr>
        <xdr:cNvPr id="7" name="Line 8">
          <a:extLst>
            <a:ext uri="{FF2B5EF4-FFF2-40B4-BE49-F238E27FC236}">
              <a16:creationId xmlns:a16="http://schemas.microsoft.com/office/drawing/2014/main" id="{00000000-0008-0000-0300-000007000000}"/>
            </a:ext>
          </a:extLst>
        </xdr:cNvPr>
        <xdr:cNvSpPr>
          <a:spLocks noChangeShapeType="1"/>
        </xdr:cNvSpPr>
      </xdr:nvSpPr>
      <xdr:spPr bwMode="auto">
        <a:xfrm>
          <a:off x="1933575" y="7086600"/>
          <a:ext cx="0" cy="0"/>
        </a:xfrm>
        <a:prstGeom prst="line">
          <a:avLst/>
        </a:prstGeom>
        <a:noFill/>
        <a:ln w="9525">
          <a:solidFill>
            <a:srgbClr val="000000"/>
          </a:solidFill>
          <a:round/>
          <a:headEnd/>
          <a:tailEnd type="triangle" w="med" len="med"/>
        </a:ln>
      </xdr:spPr>
    </xdr:sp>
    <xdr:clientData/>
  </xdr:twoCellAnchor>
  <xdr:twoCellAnchor>
    <xdr:from>
      <xdr:col>1</xdr:col>
      <xdr:colOff>0</xdr:colOff>
      <xdr:row>43</xdr:row>
      <xdr:rowOff>0</xdr:rowOff>
    </xdr:from>
    <xdr:to>
      <xdr:col>1</xdr:col>
      <xdr:colOff>0</xdr:colOff>
      <xdr:row>43</xdr:row>
      <xdr:rowOff>0</xdr:rowOff>
    </xdr:to>
    <xdr:sp macro="" textlink="">
      <xdr:nvSpPr>
        <xdr:cNvPr id="8" name="Line 6">
          <a:extLst>
            <a:ext uri="{FF2B5EF4-FFF2-40B4-BE49-F238E27FC236}">
              <a16:creationId xmlns:a16="http://schemas.microsoft.com/office/drawing/2014/main" id="{00000000-0008-0000-0300-000008000000}"/>
            </a:ext>
          </a:extLst>
        </xdr:cNvPr>
        <xdr:cNvSpPr>
          <a:spLocks noChangeShapeType="1"/>
        </xdr:cNvSpPr>
      </xdr:nvSpPr>
      <xdr:spPr bwMode="auto">
        <a:xfrm flipV="1">
          <a:off x="2419350" y="6191250"/>
          <a:ext cx="0" cy="0"/>
        </a:xfrm>
        <a:prstGeom prst="line">
          <a:avLst/>
        </a:prstGeom>
        <a:noFill/>
        <a:ln w="9525">
          <a:solidFill>
            <a:srgbClr val="000000"/>
          </a:solidFill>
          <a:round/>
          <a:headEnd/>
          <a:tailEnd type="triangle" w="med" len="med"/>
        </a:ln>
      </xdr:spPr>
    </xdr:sp>
    <xdr:clientData/>
  </xdr:twoCellAnchor>
  <xdr:twoCellAnchor>
    <xdr:from>
      <xdr:col>1</xdr:col>
      <xdr:colOff>0</xdr:colOff>
      <xdr:row>43</xdr:row>
      <xdr:rowOff>0</xdr:rowOff>
    </xdr:from>
    <xdr:to>
      <xdr:col>1</xdr:col>
      <xdr:colOff>0</xdr:colOff>
      <xdr:row>43</xdr:row>
      <xdr:rowOff>0</xdr:rowOff>
    </xdr:to>
    <xdr:sp macro="" textlink="">
      <xdr:nvSpPr>
        <xdr:cNvPr id="9" name="Line 7">
          <a:extLst>
            <a:ext uri="{FF2B5EF4-FFF2-40B4-BE49-F238E27FC236}">
              <a16:creationId xmlns:a16="http://schemas.microsoft.com/office/drawing/2014/main" id="{00000000-0008-0000-0300-000009000000}"/>
            </a:ext>
          </a:extLst>
        </xdr:cNvPr>
        <xdr:cNvSpPr>
          <a:spLocks noChangeShapeType="1"/>
        </xdr:cNvSpPr>
      </xdr:nvSpPr>
      <xdr:spPr bwMode="auto">
        <a:xfrm flipV="1">
          <a:off x="2419350" y="6191250"/>
          <a:ext cx="0" cy="0"/>
        </a:xfrm>
        <a:prstGeom prst="line">
          <a:avLst/>
        </a:prstGeom>
        <a:noFill/>
        <a:ln w="9525">
          <a:solidFill>
            <a:srgbClr val="000000"/>
          </a:solidFill>
          <a:round/>
          <a:headEnd/>
          <a:tailEnd type="triangle" w="med" len="med"/>
        </a:ln>
      </xdr:spPr>
    </xdr:sp>
    <xdr:clientData/>
  </xdr:twoCellAnchor>
  <xdr:twoCellAnchor>
    <xdr:from>
      <xdr:col>1</xdr:col>
      <xdr:colOff>0</xdr:colOff>
      <xdr:row>43</xdr:row>
      <xdr:rowOff>0</xdr:rowOff>
    </xdr:from>
    <xdr:to>
      <xdr:col>1</xdr:col>
      <xdr:colOff>0</xdr:colOff>
      <xdr:row>43</xdr:row>
      <xdr:rowOff>0</xdr:rowOff>
    </xdr:to>
    <xdr:sp macro="" textlink="">
      <xdr:nvSpPr>
        <xdr:cNvPr id="10" name="Line 8">
          <a:extLst>
            <a:ext uri="{FF2B5EF4-FFF2-40B4-BE49-F238E27FC236}">
              <a16:creationId xmlns:a16="http://schemas.microsoft.com/office/drawing/2014/main" id="{00000000-0008-0000-0300-00000A000000}"/>
            </a:ext>
          </a:extLst>
        </xdr:cNvPr>
        <xdr:cNvSpPr>
          <a:spLocks noChangeShapeType="1"/>
        </xdr:cNvSpPr>
      </xdr:nvSpPr>
      <xdr:spPr bwMode="auto">
        <a:xfrm>
          <a:off x="2419350" y="6191250"/>
          <a:ext cx="0" cy="0"/>
        </a:xfrm>
        <a:prstGeom prst="line">
          <a:avLst/>
        </a:prstGeom>
        <a:noFill/>
        <a:ln w="9525">
          <a:solidFill>
            <a:srgbClr val="000000"/>
          </a:solidFill>
          <a:round/>
          <a:headEnd/>
          <a:tailEnd type="triangle" w="med" len="med"/>
        </a:ln>
      </xdr:spPr>
    </xdr:sp>
    <xdr:clientData/>
  </xdr:twoCellAnchor>
  <xdr:twoCellAnchor>
    <xdr:from>
      <xdr:col>68</xdr:col>
      <xdr:colOff>163830</xdr:colOff>
      <xdr:row>14</xdr:row>
      <xdr:rowOff>121920</xdr:rowOff>
    </xdr:from>
    <xdr:to>
      <xdr:col>70</xdr:col>
      <xdr:colOff>316230</xdr:colOff>
      <xdr:row>21</xdr:row>
      <xdr:rowOff>41910</xdr:rowOff>
    </xdr:to>
    <xdr:sp macro="" textlink="">
      <xdr:nvSpPr>
        <xdr:cNvPr id="11" name="TextBox 10">
          <a:extLst>
            <a:ext uri="{FF2B5EF4-FFF2-40B4-BE49-F238E27FC236}">
              <a16:creationId xmlns:a16="http://schemas.microsoft.com/office/drawing/2014/main" id="{3A5614B0-D386-47F0-BB31-578435E71733}"/>
            </a:ext>
          </a:extLst>
        </xdr:cNvPr>
        <xdr:cNvSpPr txBox="1"/>
      </xdr:nvSpPr>
      <xdr:spPr>
        <a:xfrm>
          <a:off x="28700730" y="2179320"/>
          <a:ext cx="1371600" cy="929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Yellows cells are preliminary.  Update when final is available.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92</xdr:col>
      <xdr:colOff>404282</xdr:colOff>
      <xdr:row>8</xdr:row>
      <xdr:rowOff>171450</xdr:rowOff>
    </xdr:from>
    <xdr:to>
      <xdr:col>96</xdr:col>
      <xdr:colOff>436032</xdr:colOff>
      <xdr:row>22</xdr:row>
      <xdr:rowOff>97366</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41848615" y="1695450"/>
          <a:ext cx="2487084" cy="25929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solidFill>
                <a:srgbClr val="FF0000"/>
              </a:solidFill>
            </a:rPr>
            <a:t>For 2020-21 post-season accounting</a:t>
          </a:r>
          <a:r>
            <a:rPr lang="en-US" sz="1100" baseline="0">
              <a:solidFill>
                <a:srgbClr val="FF0000"/>
              </a:solidFill>
            </a:rPr>
            <a:t>, will need to update the kelt adjustment factor for hatchery fish in 2019 from week 18 on and wild fish in 2019 from week 27 on using new repeat spawner average.</a:t>
          </a:r>
        </a:p>
        <a:p>
          <a:endParaRPr lang="en-US" sz="1100">
            <a:solidFill>
              <a:srgbClr val="FF0000"/>
            </a:solidFill>
          </a:endParaRPr>
        </a:p>
        <a:p>
          <a:r>
            <a:rPr lang="en-US" sz="1100">
              <a:solidFill>
                <a:srgbClr val="FF0000"/>
              </a:solidFill>
            </a:rPr>
            <a:t>Note that when</a:t>
          </a:r>
          <a:r>
            <a:rPr lang="en-US" sz="1100" baseline="0">
              <a:solidFill>
                <a:srgbClr val="FF0000"/>
              </a:solidFill>
            </a:rPr>
            <a:t> copying cells down to add an additional year, the reference to the kelt adjustment factor in the H Adj Tot and W Adj Tot cells needs to change between weeks 17/18 for hatchery fish and 26/27 for wild fish to reference that of the next mgmt year.</a:t>
          </a:r>
          <a:endParaRPr lang="en-US" sz="1100">
            <a:solidFill>
              <a:srgbClr val="FF0000"/>
            </a:solidFill>
          </a:endParaRPr>
        </a:p>
      </xdr:txBody>
    </xdr:sp>
    <xdr:clientData/>
  </xdr:twoCellAnchor>
  <xdr:twoCellAnchor>
    <xdr:from>
      <xdr:col>31</xdr:col>
      <xdr:colOff>306917</xdr:colOff>
      <xdr:row>37</xdr:row>
      <xdr:rowOff>31751</xdr:rowOff>
    </xdr:from>
    <xdr:to>
      <xdr:col>35</xdr:col>
      <xdr:colOff>66147</xdr:colOff>
      <xdr:row>45</xdr:row>
      <xdr:rowOff>7939</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17197917" y="7080251"/>
          <a:ext cx="2214563" cy="15001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For 2016 RY, the mgmt weeks were a bit</a:t>
          </a:r>
          <a:r>
            <a:rPr lang="en-US" sz="1100" baseline="0"/>
            <a:t> earlier than usual.  Typical wild breakpoint is week 26/27, but July 1 was not until week 28 for 2016.  So use 27/28 as the breakpoint this RY.  Remember to adjust formulas back to usual next year.</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shery_Management/Salmon/steelhead/202223/Copy%20of%20SteelheadRR_For2022-23%2010-12-2022%20AF%20need%20to%20merg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shery_Management/Salmon/chinook/2012/postseason/2012SkagitSpring%20Chinook%20CreelFinal8.08.1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shery_Management/Salmon/sockeye/2012/postseason/2012SkagitSockeyeCreel%20effort%20and%20catch%20estimate%207%2018%201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shery_Management/Salmon/Catch/2014/2014SkagitSockeyeCreel%20spreadsheet%207%2029%2014%20FINAL.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shery_Management/Salmon/steelhead/201617/WKLY_HRS_2016-17%2001-17-2017%20for%20steelhead%20mgm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rminalRR"/>
      <sheetName val="SportRelMort"/>
      <sheetName val="TreatyCatch"/>
      <sheetName val="SportCatchMaster"/>
      <sheetName val="Test Fishery"/>
      <sheetName val="ByTribeForHRModel"/>
      <sheetName val="HRProjectionSummary"/>
    </sheetNames>
    <sheetDataSet>
      <sheetData sheetId="0" refreshError="1">
        <row r="50">
          <cell r="AD50">
            <v>5597</v>
          </cell>
        </row>
      </sheetData>
      <sheetData sheetId="1" refreshError="1"/>
      <sheetData sheetId="2" refreshError="1">
        <row r="303">
          <cell r="DQ303">
            <v>8.1000000000000003E-2</v>
          </cell>
        </row>
      </sheetData>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ffort Sheet"/>
      <sheetName val="Catch Sheet"/>
      <sheetName val="Sheet3"/>
      <sheetName val="Sheet1"/>
    </sheetNames>
    <sheetDataSet>
      <sheetData sheetId="0"/>
      <sheetData sheetId="1">
        <row r="9">
          <cell r="CI9">
            <v>24.787654537313436</v>
          </cell>
        </row>
        <row r="10">
          <cell r="CI10">
            <v>1.5975556157307116</v>
          </cell>
        </row>
        <row r="11">
          <cell r="CI11">
            <v>5.7971521068521277</v>
          </cell>
        </row>
        <row r="12">
          <cell r="CI12">
            <v>4.4811171516015129</v>
          </cell>
        </row>
        <row r="13">
          <cell r="CI13">
            <v>4.8982758844898271</v>
          </cell>
        </row>
        <row r="14">
          <cell r="CI14">
            <v>4.7975458042518477</v>
          </cell>
        </row>
        <row r="15">
          <cell r="CI15">
            <v>4.9120350864125513</v>
          </cell>
        </row>
        <row r="16">
          <cell r="CI16">
            <v>2.8842019700491117</v>
          </cell>
        </row>
        <row r="17">
          <cell r="CI17">
            <v>15.520366482153085</v>
          </cell>
        </row>
        <row r="18">
          <cell r="CI18">
            <v>1.4866071428571432</v>
          </cell>
        </row>
        <row r="19">
          <cell r="CI19">
            <v>1.8382618975480272</v>
          </cell>
        </row>
        <row r="20">
          <cell r="CI20">
            <v>5.4092010234703247</v>
          </cell>
        </row>
        <row r="21">
          <cell r="CI21">
            <v>0</v>
          </cell>
        </row>
        <row r="22">
          <cell r="CI22">
            <v>1.8416819196829999</v>
          </cell>
        </row>
        <row r="23">
          <cell r="CI23">
            <v>5.7654598017621153</v>
          </cell>
        </row>
        <row r="24">
          <cell r="CI24">
            <v>0</v>
          </cell>
        </row>
        <row r="25">
          <cell r="CI25">
            <v>0</v>
          </cell>
        </row>
        <row r="26">
          <cell r="CI26">
            <v>0</v>
          </cell>
        </row>
        <row r="27">
          <cell r="CI27">
            <v>0</v>
          </cell>
        </row>
        <row r="28">
          <cell r="CI28">
            <v>0</v>
          </cell>
        </row>
        <row r="29">
          <cell r="CI29">
            <v>0</v>
          </cell>
        </row>
        <row r="30">
          <cell r="CI30">
            <v>0</v>
          </cell>
        </row>
        <row r="31">
          <cell r="CI31">
            <v>1.5734120228427184</v>
          </cell>
        </row>
        <row r="32">
          <cell r="CI32">
            <v>0</v>
          </cell>
        </row>
        <row r="33">
          <cell r="CI33">
            <v>0.83238957088993248</v>
          </cell>
        </row>
        <row r="34">
          <cell r="CI34">
            <v>1.2935106829640004</v>
          </cell>
        </row>
        <row r="35">
          <cell r="CI35">
            <v>0.83161812550449266</v>
          </cell>
        </row>
        <row r="36">
          <cell r="CI36">
            <v>0</v>
          </cell>
        </row>
        <row r="37">
          <cell r="CI37">
            <v>2.0622166987009809</v>
          </cell>
        </row>
        <row r="38">
          <cell r="CI38">
            <v>0</v>
          </cell>
        </row>
      </sheetData>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ch Sheet"/>
      <sheetName val="Effort Sheet"/>
      <sheetName val="Sheet3"/>
      <sheetName val="Sheet1"/>
    </sheetNames>
    <sheetDataSet>
      <sheetData sheetId="0">
        <row r="9">
          <cell r="CI9">
            <v>0</v>
          </cell>
        </row>
        <row r="10">
          <cell r="CI10">
            <v>0</v>
          </cell>
        </row>
        <row r="11">
          <cell r="CI11">
            <v>0</v>
          </cell>
        </row>
        <row r="12">
          <cell r="CI12">
            <v>0</v>
          </cell>
        </row>
        <row r="13">
          <cell r="CI13">
            <v>0</v>
          </cell>
        </row>
        <row r="14">
          <cell r="CI14">
            <v>0</v>
          </cell>
        </row>
        <row r="15">
          <cell r="CI15">
            <v>0</v>
          </cell>
        </row>
        <row r="16">
          <cell r="CI16">
            <v>0</v>
          </cell>
        </row>
        <row r="17">
          <cell r="CI17">
            <v>0</v>
          </cell>
        </row>
        <row r="18">
          <cell r="CI18">
            <v>2.2881652767311671</v>
          </cell>
        </row>
        <row r="19">
          <cell r="CI19">
            <v>0</v>
          </cell>
        </row>
        <row r="20">
          <cell r="CI20">
            <v>2.1768743397716941</v>
          </cell>
        </row>
        <row r="21">
          <cell r="CI21">
            <v>2.1768743397716941</v>
          </cell>
        </row>
        <row r="22">
          <cell r="CI22">
            <v>5.0587452721219464</v>
          </cell>
        </row>
        <row r="23">
          <cell r="CI23">
            <v>15.98475077365695</v>
          </cell>
        </row>
        <row r="24">
          <cell r="CI24">
            <v>9.2127815223856206</v>
          </cell>
        </row>
        <row r="25">
          <cell r="CI25">
            <v>0</v>
          </cell>
        </row>
        <row r="26">
          <cell r="CI26">
            <v>0</v>
          </cell>
        </row>
        <row r="27">
          <cell r="CI27">
            <v>0</v>
          </cell>
        </row>
        <row r="28">
          <cell r="CI28">
            <v>0</v>
          </cell>
        </row>
        <row r="29">
          <cell r="CI29">
            <v>0</v>
          </cell>
        </row>
        <row r="30">
          <cell r="CI30">
            <v>13.316326260425358</v>
          </cell>
        </row>
        <row r="31">
          <cell r="CI31">
            <v>13.30386945382066</v>
          </cell>
        </row>
        <row r="32">
          <cell r="CI32">
            <v>0</v>
          </cell>
        </row>
        <row r="33">
          <cell r="CI33">
            <v>0</v>
          </cell>
        </row>
        <row r="34">
          <cell r="CI34">
            <v>0</v>
          </cell>
        </row>
        <row r="35">
          <cell r="CI35">
            <v>0</v>
          </cell>
        </row>
        <row r="36">
          <cell r="CI36">
            <v>0</v>
          </cell>
        </row>
        <row r="37">
          <cell r="CI37">
            <v>0</v>
          </cell>
        </row>
        <row r="38">
          <cell r="CI38">
            <v>0</v>
          </cell>
        </row>
      </sheetData>
      <sheetData sheetId="1"/>
      <sheetData sheetId="2"/>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ch Sheet"/>
      <sheetName val="Effort Sheet"/>
      <sheetName val="Fishing hours"/>
    </sheetNames>
    <sheetDataSet>
      <sheetData sheetId="0">
        <row r="28">
          <cell r="P28">
            <v>30.164020087699665</v>
          </cell>
        </row>
      </sheetData>
      <sheetData sheetId="1"/>
      <sheetData sheetId="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Log"/>
      <sheetName val="Forecast"/>
      <sheetName val="Schedule"/>
      <sheetName val="BMc Schedule"/>
      <sheetName val="C&amp;S"/>
      <sheetName val="Test"/>
      <sheetName val="Summary"/>
      <sheetName val="Catch"/>
      <sheetName val="HRs"/>
      <sheetName val="ChinookTAMM"/>
      <sheetName val="CohoTAMM"/>
      <sheetName val="TestProjections"/>
      <sheetName val="TRS"/>
      <sheetName val="CatchPerFishingDays"/>
      <sheetName val="CatchPer24Hrs"/>
      <sheetName val="SwinCatch8"/>
      <sheetName val="SwinHR8"/>
      <sheetName val="SwinCatch78C"/>
      <sheetName val="SwinHR78C"/>
      <sheetName val="SwinCatch78D"/>
      <sheetName val="SwinHR78D"/>
      <sheetName val="SSITCatch78C"/>
      <sheetName val="SSITHR78C"/>
      <sheetName val="USITCatch78CD"/>
      <sheetName val="USITHR78CD"/>
    </sheetNames>
    <sheetDataSet>
      <sheetData sheetId="0"/>
      <sheetData sheetId="1"/>
      <sheetData sheetId="2"/>
      <sheetData sheetId="3"/>
      <sheetData sheetId="4"/>
      <sheetData sheetId="5"/>
      <sheetData sheetId="6"/>
      <sheetData sheetId="7">
        <row r="115">
          <cell r="H115">
            <v>222.39180553692316</v>
          </cell>
        </row>
        <row r="116">
          <cell r="H116">
            <v>225.71279407214345</v>
          </cell>
        </row>
      </sheetData>
      <sheetData sheetId="8">
        <row r="90">
          <cell r="H90">
            <v>2.3370303230025556E-2</v>
          </cell>
        </row>
        <row r="91">
          <cell r="H91">
            <v>2.3719293197997419E-2</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persons/person.xml><?xml version="1.0" encoding="utf-8"?>
<personList xmlns="http://schemas.microsoft.com/office/spreadsheetml/2018/threadedcomments" xmlns:x="http://schemas.openxmlformats.org/spreadsheetml/2006/main">
  <person displayName="Fowler, Andrew M (DFW)" id="{0D21167B-B9A4-487A-A0B5-50FBA43AC26A}" userId="S::Andrew.Fowler@dfw.wa.gov::707b156c-0d74-4dd0-afcf-727c093d400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O51" dT="2023-11-30T22:51:21.85" personId="{0D21167B-B9A4-487A-A0B5-50FBA43AC26A}" id="{7615A814-406A-4B11-B5F3-F70CC2EE2442}">
    <text xml:space="preserve">Typo?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71"/>
  <sheetViews>
    <sheetView tabSelected="1" workbookViewId="0">
      <pane xSplit="1" ySplit="5" topLeftCell="Z39" activePane="bottomRight" state="frozen"/>
      <selection pane="topRight" activeCell="B1" sqref="B1"/>
      <selection pane="bottomLeft" activeCell="A6" sqref="A6"/>
      <selection pane="bottomRight" activeCell="AJ51" sqref="AJ51"/>
    </sheetView>
  </sheetViews>
  <sheetFormatPr defaultColWidth="9.140625" defaultRowHeight="11.25" x14ac:dyDescent="0.2"/>
  <cols>
    <col min="1" max="1" width="12" style="1482" customWidth="1"/>
    <col min="2" max="2" width="11.140625" style="1283" customWidth="1"/>
    <col min="3" max="3" width="19.140625" style="1283" hidden="1" customWidth="1"/>
    <col min="4" max="4" width="17.5703125" style="1283" hidden="1" customWidth="1"/>
    <col min="5" max="5" width="9.85546875" style="1283" customWidth="1"/>
    <col min="6" max="6" width="23.85546875" style="1283" hidden="1" customWidth="1"/>
    <col min="7" max="7" width="14.140625" style="1283" hidden="1" customWidth="1"/>
    <col min="8" max="8" width="10.5703125" style="1283" customWidth="1"/>
    <col min="9" max="9" width="11.42578125" style="1283" customWidth="1"/>
    <col min="10" max="10" width="14.140625" style="1283" hidden="1" customWidth="1"/>
    <col min="11" max="12" width="19.42578125" style="1283" hidden="1" customWidth="1"/>
    <col min="13" max="13" width="9.85546875" style="1283" customWidth="1"/>
    <col min="14" max="14" width="9.5703125" style="1283" customWidth="1"/>
    <col min="15" max="15" width="10.42578125" style="1283" customWidth="1"/>
    <col min="16" max="16" width="13.140625" style="1283" customWidth="1"/>
    <col min="17" max="17" width="9.5703125" style="1482" customWidth="1"/>
    <col min="18" max="18" width="20.5703125" style="1283" customWidth="1"/>
    <col min="19" max="19" width="10.5703125" style="1283" customWidth="1"/>
    <col min="20" max="20" width="10.85546875" style="1442" customWidth="1"/>
    <col min="21" max="21" width="10.5703125" style="1283" customWidth="1"/>
    <col min="22" max="23" width="9" style="1283" customWidth="1"/>
    <col min="24" max="24" width="17.42578125" style="1283" customWidth="1"/>
    <col min="25" max="25" width="9.42578125" style="1283" customWidth="1"/>
    <col min="26" max="26" width="14.140625" style="1283" customWidth="1"/>
    <col min="27" max="27" width="15.140625" style="1283" customWidth="1"/>
    <col min="28" max="28" width="12" style="1283" customWidth="1"/>
    <col min="29" max="29" width="11.5703125" style="1483" customWidth="1"/>
    <col min="30" max="30" width="10.42578125" style="1283" customWidth="1"/>
    <col min="31" max="31" width="13.42578125" style="1283" customWidth="1"/>
    <col min="32" max="32" width="12.42578125" style="1283" customWidth="1"/>
    <col min="33" max="33" width="11" style="1283" customWidth="1"/>
    <col min="34" max="34" width="22.5703125" style="1283" customWidth="1"/>
    <col min="35" max="41" width="9.140625" style="1283"/>
    <col min="42" max="42" width="11.140625" style="1283" customWidth="1"/>
    <col min="43" max="43" width="12.5703125" style="1283" customWidth="1"/>
    <col min="44" max="16384" width="9.140625" style="1283"/>
  </cols>
  <sheetData>
    <row r="1" spans="1:49" s="1196" customFormat="1" ht="12" thickBot="1" x14ac:dyDescent="0.25">
      <c r="A1" s="1190" t="s">
        <v>143</v>
      </c>
      <c r="B1" s="1191" t="s">
        <v>142</v>
      </c>
      <c r="C1" s="1191"/>
      <c r="D1" s="1191"/>
      <c r="E1" s="1192"/>
      <c r="F1" s="1192"/>
      <c r="G1" s="1192"/>
      <c r="H1" s="1192"/>
      <c r="I1" s="1192"/>
      <c r="J1" s="1192"/>
      <c r="K1" s="1192"/>
      <c r="L1" s="1192"/>
      <c r="M1" s="1192"/>
      <c r="N1" s="1192"/>
      <c r="O1" s="1192"/>
      <c r="P1" s="1192"/>
      <c r="Q1" s="1190"/>
      <c r="R1" s="1192"/>
      <c r="S1" s="1192"/>
      <c r="T1" s="1193"/>
      <c r="U1" s="1192"/>
      <c r="V1" s="1192"/>
      <c r="W1" s="1192"/>
      <c r="X1" s="1192"/>
      <c r="Y1" s="1192"/>
      <c r="Z1" s="1192"/>
      <c r="AA1" s="1192"/>
      <c r="AB1" s="1192"/>
      <c r="AC1" s="1194"/>
      <c r="AD1" s="1192"/>
      <c r="AE1" s="1192"/>
      <c r="AF1" s="1195"/>
    </row>
    <row r="2" spans="1:49" s="1210" customFormat="1" ht="12" thickBot="1" x14ac:dyDescent="0.25">
      <c r="A2" s="1197"/>
      <c r="B2" s="1593" t="s">
        <v>464</v>
      </c>
      <c r="C2" s="1198"/>
      <c r="D2" s="1198"/>
      <c r="E2" s="1199"/>
      <c r="F2" s="1200" t="s">
        <v>328</v>
      </c>
      <c r="G2" s="1200" t="s">
        <v>328</v>
      </c>
      <c r="H2" s="1199"/>
      <c r="I2" s="1201"/>
      <c r="J2" s="1202" t="s">
        <v>329</v>
      </c>
      <c r="K2" s="1202" t="s">
        <v>329</v>
      </c>
      <c r="L2" s="1202" t="s">
        <v>329</v>
      </c>
      <c r="M2" s="1591" t="s">
        <v>462</v>
      </c>
      <c r="N2" s="1203"/>
      <c r="O2" s="1201"/>
      <c r="P2" s="1591" t="s">
        <v>481</v>
      </c>
      <c r="Q2" s="1203"/>
      <c r="R2" s="1201"/>
      <c r="S2" s="1591" t="s">
        <v>463</v>
      </c>
      <c r="T2" s="1204"/>
      <c r="U2" s="1201"/>
      <c r="V2" s="1592" t="s">
        <v>482</v>
      </c>
      <c r="W2" s="1199"/>
      <c r="X2" s="1207"/>
      <c r="Y2" s="1198" t="s">
        <v>371</v>
      </c>
      <c r="Z2" s="1199"/>
      <c r="AA2" s="1199"/>
      <c r="AB2" s="1205"/>
      <c r="AC2" s="1206"/>
      <c r="AD2" s="1207"/>
      <c r="AE2" s="1199" t="s">
        <v>226</v>
      </c>
      <c r="AF2" s="1199" t="s">
        <v>225</v>
      </c>
      <c r="AG2" s="1199" t="s">
        <v>227</v>
      </c>
      <c r="AH2" s="1205"/>
      <c r="AI2" s="1206"/>
      <c r="AJ2" s="1207"/>
      <c r="AK2" s="1208"/>
      <c r="AL2" s="1206"/>
      <c r="AM2" s="1209"/>
    </row>
    <row r="3" spans="1:49" s="1210" customFormat="1" x14ac:dyDescent="0.2">
      <c r="A3" s="1197"/>
      <c r="B3" s="1211" t="s">
        <v>138</v>
      </c>
      <c r="C3" s="1212" t="s">
        <v>138</v>
      </c>
      <c r="D3" s="1212" t="s">
        <v>138</v>
      </c>
      <c r="E3" s="1213" t="s">
        <v>141</v>
      </c>
      <c r="F3" s="1212" t="s">
        <v>141</v>
      </c>
      <c r="G3" s="1212" t="s">
        <v>141</v>
      </c>
      <c r="H3" s="1214" t="s">
        <v>72</v>
      </c>
      <c r="I3" s="1215" t="s">
        <v>325</v>
      </c>
      <c r="J3" s="1216" t="s">
        <v>72</v>
      </c>
      <c r="K3" s="1217" t="s">
        <v>72</v>
      </c>
      <c r="L3" s="1218" t="s">
        <v>72</v>
      </c>
      <c r="M3" s="1219" t="s">
        <v>138</v>
      </c>
      <c r="N3" s="1213" t="s">
        <v>141</v>
      </c>
      <c r="O3" s="1220" t="s">
        <v>72</v>
      </c>
      <c r="P3" s="1219" t="s">
        <v>138</v>
      </c>
      <c r="Q3" s="1213" t="s">
        <v>141</v>
      </c>
      <c r="R3" s="1220" t="s">
        <v>72</v>
      </c>
      <c r="S3" s="1219" t="s">
        <v>138</v>
      </c>
      <c r="T3" s="1222" t="s">
        <v>141</v>
      </c>
      <c r="U3" s="1223" t="s">
        <v>72</v>
      </c>
      <c r="V3" s="1221" t="s">
        <v>138</v>
      </c>
      <c r="W3" s="1222" t="s">
        <v>141</v>
      </c>
      <c r="X3" s="1659" t="s">
        <v>72</v>
      </c>
      <c r="Y3" s="1219" t="s">
        <v>138</v>
      </c>
      <c r="Z3" s="1222" t="s">
        <v>141</v>
      </c>
      <c r="AA3" s="1223" t="s">
        <v>72</v>
      </c>
      <c r="AB3" s="1224" t="s">
        <v>145</v>
      </c>
      <c r="AC3" s="1225"/>
      <c r="AD3" s="1226"/>
      <c r="AE3" s="1224" t="s">
        <v>166</v>
      </c>
      <c r="AF3" s="1225"/>
      <c r="AG3" s="1226"/>
      <c r="AH3" s="1227" t="s">
        <v>160</v>
      </c>
      <c r="AI3" s="1225"/>
      <c r="AJ3" s="1228"/>
      <c r="AK3" s="1229"/>
      <c r="AL3" s="1195" t="s">
        <v>0</v>
      </c>
      <c r="AM3" s="1230"/>
      <c r="AP3" s="1860" t="s">
        <v>347</v>
      </c>
      <c r="AQ3" s="1861"/>
      <c r="AR3" s="1862"/>
      <c r="AS3" s="1861" t="s">
        <v>345</v>
      </c>
      <c r="AT3" s="1862"/>
      <c r="AU3" s="1231" t="s">
        <v>254</v>
      </c>
      <c r="AV3" s="1231" t="s">
        <v>354</v>
      </c>
      <c r="AW3" s="1232" t="s">
        <v>356</v>
      </c>
    </row>
    <row r="4" spans="1:49" s="1196" customFormat="1" x14ac:dyDescent="0.2">
      <c r="A4" s="1233"/>
      <c r="B4" s="1234" t="s">
        <v>137</v>
      </c>
      <c r="C4" s="1235" t="s">
        <v>137</v>
      </c>
      <c r="D4" s="1235" t="s">
        <v>322</v>
      </c>
      <c r="E4" s="1236" t="s">
        <v>139</v>
      </c>
      <c r="F4" s="1235" t="s">
        <v>139</v>
      </c>
      <c r="G4" s="1235" t="s">
        <v>139</v>
      </c>
      <c r="H4" s="1237" t="s">
        <v>149</v>
      </c>
      <c r="I4" s="1238" t="s">
        <v>149</v>
      </c>
      <c r="J4" s="1239" t="s">
        <v>319</v>
      </c>
      <c r="K4" s="1240" t="s">
        <v>320</v>
      </c>
      <c r="L4" s="1241" t="s">
        <v>318</v>
      </c>
      <c r="M4" s="1242" t="s">
        <v>137</v>
      </c>
      <c r="N4" s="1236" t="s">
        <v>139</v>
      </c>
      <c r="O4" s="1243" t="s">
        <v>140</v>
      </c>
      <c r="P4" s="1242" t="s">
        <v>137</v>
      </c>
      <c r="Q4" s="1236" t="s">
        <v>139</v>
      </c>
      <c r="R4" s="1243" t="s">
        <v>140</v>
      </c>
      <c r="S4" s="1242" t="s">
        <v>137</v>
      </c>
      <c r="T4" s="1245" t="s">
        <v>139</v>
      </c>
      <c r="U4" s="1246" t="s">
        <v>140</v>
      </c>
      <c r="V4" s="1244" t="s">
        <v>137</v>
      </c>
      <c r="W4" s="1245" t="s">
        <v>139</v>
      </c>
      <c r="X4" s="1243" t="s">
        <v>140</v>
      </c>
      <c r="Y4" s="1242" t="s">
        <v>137</v>
      </c>
      <c r="Z4" s="1245" t="s">
        <v>139</v>
      </c>
      <c r="AA4" s="1246" t="s">
        <v>140</v>
      </c>
      <c r="AB4" s="1234" t="s">
        <v>1</v>
      </c>
      <c r="AC4" s="1247" t="s">
        <v>1</v>
      </c>
      <c r="AD4" s="1248" t="s">
        <v>146</v>
      </c>
      <c r="AE4" s="1234" t="s">
        <v>1</v>
      </c>
      <c r="AF4" s="1247" t="s">
        <v>1</v>
      </c>
      <c r="AG4" s="1248" t="s">
        <v>146</v>
      </c>
      <c r="AH4" s="1249" t="s">
        <v>158</v>
      </c>
      <c r="AI4" s="1250" t="s">
        <v>158</v>
      </c>
      <c r="AJ4" s="1251" t="s">
        <v>159</v>
      </c>
      <c r="AK4" s="1252" t="s">
        <v>147</v>
      </c>
      <c r="AL4" s="1253" t="s">
        <v>21</v>
      </c>
      <c r="AM4" s="1251" t="s">
        <v>330</v>
      </c>
      <c r="AN4" s="1195"/>
      <c r="AP4" s="1231" t="s">
        <v>152</v>
      </c>
      <c r="AQ4" s="1254" t="s">
        <v>152</v>
      </c>
      <c r="AR4" s="1232"/>
      <c r="AS4" s="1231" t="s">
        <v>152</v>
      </c>
      <c r="AT4" s="1232"/>
      <c r="AU4" s="1255" t="s">
        <v>300</v>
      </c>
      <c r="AV4" s="1255" t="s">
        <v>355</v>
      </c>
      <c r="AW4" s="1256" t="s">
        <v>355</v>
      </c>
    </row>
    <row r="5" spans="1:49" ht="15.75" thickBot="1" x14ac:dyDescent="0.3">
      <c r="A5" s="1257" t="s">
        <v>387</v>
      </c>
      <c r="B5" s="1258" t="s">
        <v>1</v>
      </c>
      <c r="C5" s="1259" t="s">
        <v>323</v>
      </c>
      <c r="D5" s="1260" t="s">
        <v>388</v>
      </c>
      <c r="E5" s="1261" t="s">
        <v>1</v>
      </c>
      <c r="F5" s="1262" t="s">
        <v>321</v>
      </c>
      <c r="G5" s="1260" t="s">
        <v>388</v>
      </c>
      <c r="H5" s="1248" t="s">
        <v>327</v>
      </c>
      <c r="I5" s="1263" t="s">
        <v>326</v>
      </c>
      <c r="J5" s="1264" t="s">
        <v>389</v>
      </c>
      <c r="K5" s="1265" t="s">
        <v>389</v>
      </c>
      <c r="L5" s="1262" t="s">
        <v>390</v>
      </c>
      <c r="M5" s="1266" t="s">
        <v>1</v>
      </c>
      <c r="N5" s="1261" t="s">
        <v>1</v>
      </c>
      <c r="O5" s="1267" t="s">
        <v>2</v>
      </c>
      <c r="P5" s="1266" t="s">
        <v>1</v>
      </c>
      <c r="Q5" s="1261" t="s">
        <v>1</v>
      </c>
      <c r="R5" s="1267" t="s">
        <v>2</v>
      </c>
      <c r="S5" s="1266" t="s">
        <v>1</v>
      </c>
      <c r="T5" s="1269" t="s">
        <v>1</v>
      </c>
      <c r="U5" s="1270" t="s">
        <v>2</v>
      </c>
      <c r="V5" s="1268" t="s">
        <v>1</v>
      </c>
      <c r="W5" s="1269" t="s">
        <v>1</v>
      </c>
      <c r="X5" s="1660" t="s">
        <v>2</v>
      </c>
      <c r="Y5" s="1266" t="s">
        <v>1</v>
      </c>
      <c r="Z5" s="1269" t="s">
        <v>1</v>
      </c>
      <c r="AA5" s="1270" t="s">
        <v>2</v>
      </c>
      <c r="AB5" s="1258" t="s">
        <v>157</v>
      </c>
      <c r="AC5" s="1271" t="s">
        <v>156</v>
      </c>
      <c r="AD5" s="1272" t="s">
        <v>2</v>
      </c>
      <c r="AE5" s="1258" t="s">
        <v>157</v>
      </c>
      <c r="AF5" s="1271" t="s">
        <v>156</v>
      </c>
      <c r="AG5" s="1272" t="s">
        <v>2</v>
      </c>
      <c r="AH5" s="1258" t="s">
        <v>157</v>
      </c>
      <c r="AI5" s="1273" t="s">
        <v>156</v>
      </c>
      <c r="AJ5" s="1274" t="s">
        <v>2</v>
      </c>
      <c r="AK5" s="1275" t="s">
        <v>148</v>
      </c>
      <c r="AL5" s="1276" t="s">
        <v>19</v>
      </c>
      <c r="AM5" s="1274" t="s">
        <v>18</v>
      </c>
      <c r="AN5" s="1277" t="s">
        <v>155</v>
      </c>
      <c r="AO5" s="1278" t="s">
        <v>20</v>
      </c>
      <c r="AP5" s="1279" t="s">
        <v>151</v>
      </c>
      <c r="AQ5" s="1280" t="s">
        <v>150</v>
      </c>
      <c r="AR5" s="1281" t="s">
        <v>153</v>
      </c>
      <c r="AS5" s="1279" t="s">
        <v>150</v>
      </c>
      <c r="AT5" s="1281" t="s">
        <v>153</v>
      </c>
      <c r="AU5" s="1282" t="s">
        <v>301</v>
      </c>
      <c r="AV5" s="1279" t="s">
        <v>375</v>
      </c>
      <c r="AW5" s="1281" t="s">
        <v>376</v>
      </c>
    </row>
    <row r="6" spans="1:49" ht="15" x14ac:dyDescent="0.25">
      <c r="A6" s="1284" t="s">
        <v>391</v>
      </c>
      <c r="B6" s="1285"/>
      <c r="C6" s="1286" t="s">
        <v>324</v>
      </c>
      <c r="D6" s="1287"/>
      <c r="E6" s="1288">
        <f>F6</f>
        <v>3033</v>
      </c>
      <c r="F6" s="1289">
        <v>3033</v>
      </c>
      <c r="G6" s="1290"/>
      <c r="H6" s="1291">
        <f>L6</f>
        <v>371</v>
      </c>
      <c r="I6" s="1292"/>
      <c r="J6" s="1293"/>
      <c r="K6" s="1294"/>
      <c r="L6" s="1295">
        <v>371</v>
      </c>
      <c r="M6" s="1296"/>
      <c r="N6" s="1297">
        <v>3485</v>
      </c>
      <c r="O6" s="1298">
        <v>787</v>
      </c>
      <c r="P6" s="1603">
        <f t="shared" ref="P6:P47" si="0">M6*1.02</f>
        <v>0</v>
      </c>
      <c r="Q6" s="1603">
        <f t="shared" ref="Q6:Q47" si="1">N6*1.02</f>
        <v>3554.7000000000003</v>
      </c>
      <c r="R6" s="1366">
        <f t="shared" ref="R6:R47" si="2">O6*1.02</f>
        <v>802.74</v>
      </c>
      <c r="S6" s="1299"/>
      <c r="T6" s="1300"/>
      <c r="U6" s="1301"/>
      <c r="V6" s="1476">
        <f t="shared" ref="V6:V47" si="3">S6*1.02</f>
        <v>0</v>
      </c>
      <c r="W6" s="1476">
        <f t="shared" ref="W6:W47" si="4">T6*1.02</f>
        <v>0</v>
      </c>
      <c r="X6" s="1475">
        <f t="shared" ref="X6:X47" si="5">U6*1.02</f>
        <v>0</v>
      </c>
      <c r="Y6" s="1299"/>
      <c r="Z6" s="1299"/>
      <c r="AA6" s="1299"/>
      <c r="AB6" s="1302"/>
      <c r="AC6" s="1303">
        <v>1537</v>
      </c>
      <c r="AD6" s="1304">
        <v>5757</v>
      </c>
      <c r="AE6" s="1305"/>
      <c r="AF6" s="1306"/>
      <c r="AG6" s="1307"/>
      <c r="AH6" s="1285"/>
      <c r="AI6" s="1285">
        <f t="shared" ref="AI6:AI13" si="6">SUM(E6,Q6,W6,Z6,AC6,AF6)</f>
        <v>8124.7000000000007</v>
      </c>
      <c r="AJ6" s="1304">
        <f t="shared" ref="AJ6:AJ13" si="7">SUM(H6,I6,R6,X6,AA6,AD6,AG6)</f>
        <v>6930.74</v>
      </c>
      <c r="AK6" s="1308">
        <v>1978</v>
      </c>
      <c r="AL6" s="1309">
        <v>45887</v>
      </c>
      <c r="AM6" s="1310">
        <v>275847</v>
      </c>
      <c r="AN6" s="1311"/>
      <c r="AO6" s="1299" t="s">
        <v>391</v>
      </c>
      <c r="AP6" s="1312">
        <f t="shared" ref="AP6:AP48" si="8">SUM(B6,M6,S6)</f>
        <v>0</v>
      </c>
      <c r="AQ6" s="1313">
        <f t="shared" ref="AQ6:AQ48" si="9">SUM(E6,N6,T6)</f>
        <v>6518</v>
      </c>
      <c r="AR6" s="1314">
        <f t="shared" ref="AR6:AR48" si="10">SUM(H6,I6,O6,U6,AA6)</f>
        <v>1158</v>
      </c>
      <c r="AS6" s="1315">
        <f t="shared" ref="AS6:AS23" si="11">AQ6/AI6</f>
        <v>0.80224500596945114</v>
      </c>
      <c r="AT6" s="1316">
        <f t="shared" ref="AT6:AT23" si="12">AR6/AJ6</f>
        <v>0.16708172576088556</v>
      </c>
      <c r="AU6" s="1317">
        <f t="shared" ref="AU6:AU48" si="13">N6/AI6</f>
        <v>0.42893891466761846</v>
      </c>
      <c r="AV6" s="1318">
        <f t="shared" ref="AV6:AV23" si="14">(SUM(H6,I6,AA6) + SUM(O6,U6)*1.02)/AJ6</f>
        <v>0.16935276752554562</v>
      </c>
      <c r="AW6" s="1319">
        <f t="shared" ref="AW6:AW23" si="15">(SUM(H6,I6) + (O6*1.02))/AJ6</f>
        <v>0.16935276752554562</v>
      </c>
    </row>
    <row r="7" spans="1:49" ht="15" x14ac:dyDescent="0.25">
      <c r="A7" s="1320" t="s">
        <v>392</v>
      </c>
      <c r="B7" s="1303"/>
      <c r="C7" s="1286" t="s">
        <v>324</v>
      </c>
      <c r="D7" s="1321"/>
      <c r="E7" s="1322">
        <f t="shared" ref="E7:E14" si="16">F7</f>
        <v>4638</v>
      </c>
      <c r="F7" s="1323">
        <v>4638</v>
      </c>
      <c r="G7" s="1324"/>
      <c r="H7" s="1325">
        <f t="shared" ref="H7:H14" si="17">L7</f>
        <v>240</v>
      </c>
      <c r="I7" s="1292"/>
      <c r="J7" s="1326"/>
      <c r="K7" s="1327"/>
      <c r="L7" s="1328">
        <v>240</v>
      </c>
      <c r="M7" s="1296"/>
      <c r="N7" s="1329">
        <v>3986</v>
      </c>
      <c r="O7" s="1330">
        <v>901</v>
      </c>
      <c r="P7" s="1603">
        <f t="shared" si="0"/>
        <v>0</v>
      </c>
      <c r="Q7" s="1603">
        <f t="shared" si="1"/>
        <v>4065.7200000000003</v>
      </c>
      <c r="R7" s="1366">
        <f t="shared" si="2"/>
        <v>919.02</v>
      </c>
      <c r="S7" s="1331"/>
      <c r="T7" s="1332"/>
      <c r="U7" s="1333"/>
      <c r="V7" s="1476">
        <f t="shared" si="3"/>
        <v>0</v>
      </c>
      <c r="W7" s="1476">
        <f t="shared" si="4"/>
        <v>0</v>
      </c>
      <c r="X7" s="1475">
        <f t="shared" si="5"/>
        <v>0</v>
      </c>
      <c r="Y7" s="1331"/>
      <c r="Z7" s="1331"/>
      <c r="AA7" s="1331"/>
      <c r="AB7" s="1334"/>
      <c r="AC7" s="1303">
        <v>961</v>
      </c>
      <c r="AD7" s="1304">
        <v>2982</v>
      </c>
      <c r="AE7" s="1305"/>
      <c r="AF7" s="1306"/>
      <c r="AG7" s="1305"/>
      <c r="AH7" s="1285"/>
      <c r="AI7" s="1285">
        <f t="shared" si="6"/>
        <v>9664.7200000000012</v>
      </c>
      <c r="AJ7" s="1304">
        <f t="shared" si="7"/>
        <v>4141.0200000000004</v>
      </c>
      <c r="AK7" s="1308">
        <v>1979</v>
      </c>
      <c r="AL7" s="1309">
        <v>0</v>
      </c>
      <c r="AM7" s="1335">
        <v>374000</v>
      </c>
      <c r="AO7" s="1299" t="s">
        <v>392</v>
      </c>
      <c r="AP7" s="1312">
        <f t="shared" si="8"/>
        <v>0</v>
      </c>
      <c r="AQ7" s="1313">
        <f t="shared" si="9"/>
        <v>8624</v>
      </c>
      <c r="AR7" s="1314">
        <f t="shared" si="10"/>
        <v>1141</v>
      </c>
      <c r="AS7" s="1315">
        <f t="shared" si="11"/>
        <v>0.8923176253424826</v>
      </c>
      <c r="AT7" s="1316">
        <f t="shared" si="12"/>
        <v>0.27553597905829963</v>
      </c>
      <c r="AU7" s="1317">
        <f t="shared" si="13"/>
        <v>0.41242788202865677</v>
      </c>
      <c r="AV7" s="1318">
        <f t="shared" si="14"/>
        <v>0.2798875639335236</v>
      </c>
      <c r="AW7" s="1319">
        <f t="shared" si="15"/>
        <v>0.2798875639335236</v>
      </c>
    </row>
    <row r="8" spans="1:49" ht="15" x14ac:dyDescent="0.25">
      <c r="A8" s="1320" t="s">
        <v>393</v>
      </c>
      <c r="B8" s="1303"/>
      <c r="C8" s="1286" t="s">
        <v>324</v>
      </c>
      <c r="D8" s="1321"/>
      <c r="E8" s="1322">
        <f t="shared" si="16"/>
        <v>2679</v>
      </c>
      <c r="F8" s="1323">
        <v>2679</v>
      </c>
      <c r="G8" s="1324"/>
      <c r="H8" s="1322">
        <f t="shared" si="17"/>
        <v>799</v>
      </c>
      <c r="I8" s="1336"/>
      <c r="J8" s="1337"/>
      <c r="K8" s="1338"/>
      <c r="L8" s="1339">
        <v>799</v>
      </c>
      <c r="M8" s="1296"/>
      <c r="N8" s="1340">
        <v>4046</v>
      </c>
      <c r="O8" s="1330">
        <v>154</v>
      </c>
      <c r="P8" s="1603">
        <f t="shared" si="0"/>
        <v>0</v>
      </c>
      <c r="Q8" s="1603">
        <f t="shared" si="1"/>
        <v>4126.92</v>
      </c>
      <c r="R8" s="1366">
        <f t="shared" si="2"/>
        <v>157.08000000000001</v>
      </c>
      <c r="S8" s="1193"/>
      <c r="T8" s="1233"/>
      <c r="U8" s="1341"/>
      <c r="V8" s="1476">
        <f t="shared" si="3"/>
        <v>0</v>
      </c>
      <c r="W8" s="1476">
        <f t="shared" si="4"/>
        <v>0</v>
      </c>
      <c r="X8" s="1475">
        <f t="shared" si="5"/>
        <v>0</v>
      </c>
      <c r="Y8" s="1193"/>
      <c r="Z8" s="1193"/>
      <c r="AA8" s="1193"/>
      <c r="AB8" s="1342"/>
      <c r="AC8" s="1303">
        <v>721</v>
      </c>
      <c r="AD8" s="1304">
        <v>5288</v>
      </c>
      <c r="AE8" s="1305"/>
      <c r="AF8" s="1306"/>
      <c r="AG8" s="1305"/>
      <c r="AH8" s="1285"/>
      <c r="AI8" s="1285">
        <f t="shared" si="6"/>
        <v>7526.92</v>
      </c>
      <c r="AJ8" s="1304">
        <f t="shared" si="7"/>
        <v>6244.08</v>
      </c>
      <c r="AK8" s="1308">
        <v>1980</v>
      </c>
      <c r="AL8" s="1309">
        <v>69192</v>
      </c>
      <c r="AM8" s="1335">
        <v>329964</v>
      </c>
      <c r="AN8" s="1311" t="s">
        <v>3</v>
      </c>
      <c r="AO8" s="1299" t="s">
        <v>393</v>
      </c>
      <c r="AP8" s="1312">
        <f t="shared" si="8"/>
        <v>0</v>
      </c>
      <c r="AQ8" s="1313">
        <f t="shared" si="9"/>
        <v>6725</v>
      </c>
      <c r="AR8" s="1314">
        <f t="shared" si="10"/>
        <v>953</v>
      </c>
      <c r="AS8" s="1315">
        <f t="shared" si="11"/>
        <v>0.893459741833313</v>
      </c>
      <c r="AT8" s="1316">
        <f t="shared" si="12"/>
        <v>0.1526245659889047</v>
      </c>
      <c r="AU8" s="1317">
        <f t="shared" si="13"/>
        <v>0.53753726623904596</v>
      </c>
      <c r="AV8" s="1318">
        <f t="shared" si="14"/>
        <v>0.15311783321161807</v>
      </c>
      <c r="AW8" s="1319">
        <f t="shared" si="15"/>
        <v>0.15311783321161807</v>
      </c>
    </row>
    <row r="9" spans="1:49" ht="11.25" customHeight="1" x14ac:dyDescent="0.25">
      <c r="A9" s="1320" t="s">
        <v>394</v>
      </c>
      <c r="B9" s="1343"/>
      <c r="C9" s="1286" t="s">
        <v>324</v>
      </c>
      <c r="D9" s="1324"/>
      <c r="E9" s="1322">
        <f t="shared" si="16"/>
        <v>1231</v>
      </c>
      <c r="F9" s="1323">
        <v>1231</v>
      </c>
      <c r="G9" s="1324"/>
      <c r="H9" s="1322">
        <f t="shared" si="17"/>
        <v>1105</v>
      </c>
      <c r="I9" s="1336"/>
      <c r="J9" s="1337"/>
      <c r="K9" s="1338"/>
      <c r="L9" s="1339">
        <v>1105</v>
      </c>
      <c r="M9" s="1296"/>
      <c r="N9" s="1340">
        <v>2364</v>
      </c>
      <c r="O9" s="1330">
        <v>623</v>
      </c>
      <c r="P9" s="1603">
        <f t="shared" si="0"/>
        <v>0</v>
      </c>
      <c r="Q9" s="1603">
        <f t="shared" si="1"/>
        <v>2411.2800000000002</v>
      </c>
      <c r="R9" s="1366">
        <f t="shared" si="2"/>
        <v>635.46</v>
      </c>
      <c r="S9" s="1193"/>
      <c r="T9" s="1233"/>
      <c r="U9" s="1341"/>
      <c r="V9" s="1476">
        <f t="shared" si="3"/>
        <v>0</v>
      </c>
      <c r="W9" s="1476">
        <f t="shared" si="4"/>
        <v>0</v>
      </c>
      <c r="X9" s="1475">
        <f t="shared" si="5"/>
        <v>0</v>
      </c>
      <c r="Y9" s="1193"/>
      <c r="Z9" s="1193"/>
      <c r="AA9" s="1193"/>
      <c r="AB9" s="1342"/>
      <c r="AC9" s="1303">
        <v>1127</v>
      </c>
      <c r="AD9" s="1304">
        <v>4308</v>
      </c>
      <c r="AE9" s="1305"/>
      <c r="AF9" s="1306"/>
      <c r="AG9" s="1305"/>
      <c r="AH9" s="1285"/>
      <c r="AI9" s="1285">
        <f t="shared" si="6"/>
        <v>4769.2800000000007</v>
      </c>
      <c r="AJ9" s="1304">
        <f t="shared" si="7"/>
        <v>6048.46</v>
      </c>
      <c r="AK9" s="1308">
        <v>1981</v>
      </c>
      <c r="AL9" s="1309">
        <v>109866</v>
      </c>
      <c r="AM9" s="1335">
        <v>194697</v>
      </c>
      <c r="AN9" s="1311"/>
      <c r="AO9" s="1299" t="s">
        <v>394</v>
      </c>
      <c r="AP9" s="1312">
        <f t="shared" si="8"/>
        <v>0</v>
      </c>
      <c r="AQ9" s="1313">
        <f t="shared" si="9"/>
        <v>3595</v>
      </c>
      <c r="AR9" s="1314">
        <f t="shared" si="10"/>
        <v>1728</v>
      </c>
      <c r="AS9" s="1315">
        <f t="shared" si="11"/>
        <v>0.75378254159957048</v>
      </c>
      <c r="AT9" s="1316">
        <f t="shared" si="12"/>
        <v>0.28569255645238623</v>
      </c>
      <c r="AU9" s="1317">
        <f t="shared" si="13"/>
        <v>0.49567230273752005</v>
      </c>
      <c r="AV9" s="1318">
        <f t="shared" si="14"/>
        <v>0.28775258495550932</v>
      </c>
      <c r="AW9" s="1319">
        <f t="shared" si="15"/>
        <v>0.28775258495550932</v>
      </c>
    </row>
    <row r="10" spans="1:49" ht="11.25" customHeight="1" x14ac:dyDescent="0.25">
      <c r="A10" s="1320" t="s">
        <v>395</v>
      </c>
      <c r="B10" s="1343"/>
      <c r="C10" s="1286" t="s">
        <v>324</v>
      </c>
      <c r="D10" s="1324"/>
      <c r="E10" s="1322">
        <f t="shared" si="16"/>
        <v>1635</v>
      </c>
      <c r="F10" s="1323">
        <v>1635</v>
      </c>
      <c r="G10" s="1324"/>
      <c r="H10" s="1322">
        <f t="shared" si="17"/>
        <v>1023</v>
      </c>
      <c r="I10" s="1336"/>
      <c r="J10" s="1337"/>
      <c r="K10" s="1338"/>
      <c r="L10" s="1339">
        <v>1023</v>
      </c>
      <c r="M10" s="1296"/>
      <c r="N10" s="1340">
        <v>2313</v>
      </c>
      <c r="O10" s="1330">
        <v>384</v>
      </c>
      <c r="P10" s="1603">
        <f t="shared" si="0"/>
        <v>0</v>
      </c>
      <c r="Q10" s="1603">
        <f t="shared" si="1"/>
        <v>2359.2600000000002</v>
      </c>
      <c r="R10" s="1366">
        <f t="shared" si="2"/>
        <v>391.68</v>
      </c>
      <c r="S10" s="1331"/>
      <c r="T10" s="1332"/>
      <c r="U10" s="1333"/>
      <c r="V10" s="1476">
        <f t="shared" si="3"/>
        <v>0</v>
      </c>
      <c r="W10" s="1476">
        <f t="shared" si="4"/>
        <v>0</v>
      </c>
      <c r="X10" s="1475">
        <f t="shared" si="5"/>
        <v>0</v>
      </c>
      <c r="Y10" s="1331"/>
      <c r="Z10" s="1331"/>
      <c r="AA10" s="1331"/>
      <c r="AB10" s="1334"/>
      <c r="AC10" s="1303">
        <v>735</v>
      </c>
      <c r="AD10" s="1304">
        <v>9609</v>
      </c>
      <c r="AE10" s="1305"/>
      <c r="AF10" s="1306"/>
      <c r="AG10" s="1305"/>
      <c r="AH10" s="1285"/>
      <c r="AI10" s="1285">
        <f t="shared" si="6"/>
        <v>4729.26</v>
      </c>
      <c r="AJ10" s="1304">
        <f t="shared" si="7"/>
        <v>11023.68</v>
      </c>
      <c r="AK10" s="1308">
        <v>1982</v>
      </c>
      <c r="AL10" s="1309">
        <v>0</v>
      </c>
      <c r="AM10" s="1310">
        <v>236735</v>
      </c>
      <c r="AN10" s="1311" t="s">
        <v>4</v>
      </c>
      <c r="AO10" s="1299" t="s">
        <v>395</v>
      </c>
      <c r="AP10" s="1312">
        <f t="shared" si="8"/>
        <v>0</v>
      </c>
      <c r="AQ10" s="1313">
        <f t="shared" si="9"/>
        <v>3948</v>
      </c>
      <c r="AR10" s="1314">
        <f t="shared" si="10"/>
        <v>1407</v>
      </c>
      <c r="AS10" s="1315">
        <f t="shared" si="11"/>
        <v>0.83480290785450573</v>
      </c>
      <c r="AT10" s="1316">
        <f t="shared" si="12"/>
        <v>0.12763432900809893</v>
      </c>
      <c r="AU10" s="1317">
        <f t="shared" si="13"/>
        <v>0.48908285862904555</v>
      </c>
      <c r="AV10" s="1318">
        <f t="shared" si="14"/>
        <v>0.12833101105982758</v>
      </c>
      <c r="AW10" s="1319">
        <f t="shared" si="15"/>
        <v>0.12833101105982758</v>
      </c>
    </row>
    <row r="11" spans="1:49" ht="11.25" customHeight="1" x14ac:dyDescent="0.25">
      <c r="A11" s="1320" t="s">
        <v>396</v>
      </c>
      <c r="B11" s="1344"/>
      <c r="C11" s="1286" t="s">
        <v>324</v>
      </c>
      <c r="D11" s="1345"/>
      <c r="E11" s="1322">
        <f t="shared" si="16"/>
        <v>632</v>
      </c>
      <c r="F11" s="1346">
        <v>632</v>
      </c>
      <c r="G11" s="1345"/>
      <c r="H11" s="1322">
        <f t="shared" si="17"/>
        <v>666</v>
      </c>
      <c r="I11" s="1336"/>
      <c r="J11" s="1337"/>
      <c r="K11" s="1338"/>
      <c r="L11" s="1339">
        <v>666</v>
      </c>
      <c r="M11" s="1296"/>
      <c r="N11" s="1340">
        <v>1700</v>
      </c>
      <c r="O11" s="1330">
        <v>281</v>
      </c>
      <c r="P11" s="1603">
        <f t="shared" si="0"/>
        <v>0</v>
      </c>
      <c r="Q11" s="1603">
        <f t="shared" si="1"/>
        <v>1734</v>
      </c>
      <c r="R11" s="1366">
        <f t="shared" si="2"/>
        <v>286.62</v>
      </c>
      <c r="S11" s="1193"/>
      <c r="T11" s="1233"/>
      <c r="U11" s="1341"/>
      <c r="V11" s="1476">
        <f t="shared" si="3"/>
        <v>0</v>
      </c>
      <c r="W11" s="1476">
        <f t="shared" si="4"/>
        <v>0</v>
      </c>
      <c r="X11" s="1475">
        <f t="shared" si="5"/>
        <v>0</v>
      </c>
      <c r="Y11" s="1193"/>
      <c r="Z11" s="1193"/>
      <c r="AA11" s="1193"/>
      <c r="AB11" s="1342"/>
      <c r="AC11" s="1303">
        <v>434</v>
      </c>
      <c r="AD11" s="1304">
        <v>7732</v>
      </c>
      <c r="AE11" s="1305"/>
      <c r="AF11" s="1306"/>
      <c r="AG11" s="1305"/>
      <c r="AH11" s="1285"/>
      <c r="AI11" s="1285">
        <f t="shared" si="6"/>
        <v>2800</v>
      </c>
      <c r="AJ11" s="1304">
        <f t="shared" si="7"/>
        <v>8684.6200000000008</v>
      </c>
      <c r="AK11" s="1308">
        <v>1983</v>
      </c>
      <c r="AL11" s="1309">
        <v>30958</v>
      </c>
      <c r="AM11" s="1335">
        <v>320793</v>
      </c>
      <c r="AN11" s="1311" t="s">
        <v>5</v>
      </c>
      <c r="AO11" s="1299" t="s">
        <v>396</v>
      </c>
      <c r="AP11" s="1312">
        <f t="shared" si="8"/>
        <v>0</v>
      </c>
      <c r="AQ11" s="1313">
        <f t="shared" si="9"/>
        <v>2332</v>
      </c>
      <c r="AR11" s="1314">
        <f t="shared" si="10"/>
        <v>947</v>
      </c>
      <c r="AS11" s="1315">
        <f t="shared" si="11"/>
        <v>0.83285714285714285</v>
      </c>
      <c r="AT11" s="1316">
        <f t="shared" si="12"/>
        <v>0.10904334328963154</v>
      </c>
      <c r="AU11" s="1317">
        <f t="shared" si="13"/>
        <v>0.6071428571428571</v>
      </c>
      <c r="AV11" s="1318">
        <f t="shared" si="14"/>
        <v>0.1096904642920473</v>
      </c>
      <c r="AW11" s="1319">
        <f t="shared" si="15"/>
        <v>0.1096904642920473</v>
      </c>
    </row>
    <row r="12" spans="1:49" ht="11.25" customHeight="1" x14ac:dyDescent="0.25">
      <c r="A12" s="1320" t="s">
        <v>397</v>
      </c>
      <c r="B12" s="1344"/>
      <c r="C12" s="1286" t="s">
        <v>324</v>
      </c>
      <c r="D12" s="1345"/>
      <c r="E12" s="1322">
        <f t="shared" si="16"/>
        <v>1698</v>
      </c>
      <c r="F12" s="1346">
        <v>1698</v>
      </c>
      <c r="G12" s="1345"/>
      <c r="H12" s="1322">
        <f t="shared" si="17"/>
        <v>296</v>
      </c>
      <c r="I12" s="1336"/>
      <c r="J12" s="1337"/>
      <c r="K12" s="1338"/>
      <c r="L12" s="1339">
        <v>296</v>
      </c>
      <c r="M12" s="1347"/>
      <c r="N12" s="1348">
        <v>3228</v>
      </c>
      <c r="O12" s="1330">
        <v>79</v>
      </c>
      <c r="P12" s="1603">
        <f t="shared" si="0"/>
        <v>0</v>
      </c>
      <c r="Q12" s="1603">
        <f t="shared" si="1"/>
        <v>3292.56</v>
      </c>
      <c r="R12" s="1366">
        <f t="shared" si="2"/>
        <v>80.58</v>
      </c>
      <c r="S12" s="1193"/>
      <c r="T12" s="1233"/>
      <c r="U12" s="1341"/>
      <c r="V12" s="1476">
        <f t="shared" si="3"/>
        <v>0</v>
      </c>
      <c r="W12" s="1476">
        <f t="shared" si="4"/>
        <v>0</v>
      </c>
      <c r="X12" s="1475">
        <f t="shared" si="5"/>
        <v>0</v>
      </c>
      <c r="Y12" s="1193"/>
      <c r="Z12" s="1193"/>
      <c r="AA12" s="1193"/>
      <c r="AB12" s="1342"/>
      <c r="AC12" s="1349">
        <v>917</v>
      </c>
      <c r="AD12" s="1333">
        <v>8963</v>
      </c>
      <c r="AE12" s="1305"/>
      <c r="AF12" s="1306"/>
      <c r="AG12" s="1305"/>
      <c r="AH12" s="1331"/>
      <c r="AI12" s="1285">
        <f t="shared" si="6"/>
        <v>5907.5599999999995</v>
      </c>
      <c r="AJ12" s="1304">
        <f t="shared" si="7"/>
        <v>9339.58</v>
      </c>
      <c r="AK12" s="1308">
        <v>1984</v>
      </c>
      <c r="AL12" s="1309">
        <v>34897</v>
      </c>
      <c r="AM12" s="1335">
        <v>370057</v>
      </c>
      <c r="AN12" s="1311" t="s">
        <v>6</v>
      </c>
      <c r="AO12" s="1299" t="s">
        <v>397</v>
      </c>
      <c r="AP12" s="1312">
        <f t="shared" si="8"/>
        <v>0</v>
      </c>
      <c r="AQ12" s="1313">
        <f t="shared" si="9"/>
        <v>4926</v>
      </c>
      <c r="AR12" s="1314">
        <f t="shared" si="10"/>
        <v>375</v>
      </c>
      <c r="AS12" s="1315">
        <f t="shared" si="11"/>
        <v>0.83384679969395159</v>
      </c>
      <c r="AT12" s="1316">
        <f t="shared" si="12"/>
        <v>4.0151698470380894E-2</v>
      </c>
      <c r="AU12" s="1317">
        <f t="shared" si="13"/>
        <v>0.54641848749737632</v>
      </c>
      <c r="AV12" s="1318">
        <f t="shared" si="14"/>
        <v>4.0320870959936098E-2</v>
      </c>
      <c r="AW12" s="1319">
        <f t="shared" si="15"/>
        <v>4.0320870959936098E-2</v>
      </c>
    </row>
    <row r="13" spans="1:49" ht="11.25" customHeight="1" x14ac:dyDescent="0.25">
      <c r="A13" s="1320" t="s">
        <v>398</v>
      </c>
      <c r="B13" s="1344"/>
      <c r="C13" s="1286" t="s">
        <v>324</v>
      </c>
      <c r="D13" s="1345"/>
      <c r="E13" s="1322">
        <f t="shared" si="16"/>
        <v>4793</v>
      </c>
      <c r="F13" s="1346">
        <v>4793</v>
      </c>
      <c r="G13" s="1345"/>
      <c r="H13" s="1322">
        <f t="shared" si="17"/>
        <v>1435</v>
      </c>
      <c r="I13" s="1336"/>
      <c r="J13" s="1337"/>
      <c r="K13" s="1338"/>
      <c r="L13" s="1339">
        <v>1435</v>
      </c>
      <c r="M13" s="1350"/>
      <c r="N13" s="1351">
        <v>4690</v>
      </c>
      <c r="O13" s="1352">
        <v>283</v>
      </c>
      <c r="P13" s="1603">
        <f t="shared" si="0"/>
        <v>0</v>
      </c>
      <c r="Q13" s="1603">
        <f t="shared" si="1"/>
        <v>4783.8</v>
      </c>
      <c r="R13" s="1366">
        <f t="shared" si="2"/>
        <v>288.66000000000003</v>
      </c>
      <c r="S13" s="1353">
        <f>'Test Fishery'!D56</f>
        <v>0</v>
      </c>
      <c r="T13" s="1354">
        <f>'Test Fishery'!D58</f>
        <v>30</v>
      </c>
      <c r="U13" s="1355">
        <f>'Test Fishery'!E60</f>
        <v>96</v>
      </c>
      <c r="V13" s="1476">
        <f t="shared" si="3"/>
        <v>0</v>
      </c>
      <c r="W13" s="1476">
        <f t="shared" si="4"/>
        <v>30.6</v>
      </c>
      <c r="X13" s="1475">
        <f t="shared" si="5"/>
        <v>97.92</v>
      </c>
      <c r="Y13" s="1331"/>
      <c r="Z13" s="1331"/>
      <c r="AA13" s="1331"/>
      <c r="AB13" s="1334"/>
      <c r="AC13" s="1349">
        <v>3702</v>
      </c>
      <c r="AD13" s="1333">
        <v>8603</v>
      </c>
      <c r="AE13" s="1305"/>
      <c r="AF13" s="1356"/>
      <c r="AG13" s="1357">
        <f>20+15</f>
        <v>35</v>
      </c>
      <c r="AH13" s="1331"/>
      <c r="AI13" s="1285">
        <f t="shared" si="6"/>
        <v>13309.4</v>
      </c>
      <c r="AJ13" s="1304">
        <f t="shared" si="7"/>
        <v>10459.58</v>
      </c>
      <c r="AK13" s="1308">
        <v>1985</v>
      </c>
      <c r="AL13" s="1309">
        <v>20126</v>
      </c>
      <c r="AM13" s="1358">
        <v>336417</v>
      </c>
      <c r="AN13" s="1311" t="s">
        <v>7</v>
      </c>
      <c r="AO13" s="1299" t="s">
        <v>398</v>
      </c>
      <c r="AP13" s="1312">
        <f t="shared" si="8"/>
        <v>0</v>
      </c>
      <c r="AQ13" s="1313">
        <f t="shared" si="9"/>
        <v>9513</v>
      </c>
      <c r="AR13" s="1314">
        <f t="shared" si="10"/>
        <v>1814</v>
      </c>
      <c r="AS13" s="1315">
        <f t="shared" si="11"/>
        <v>0.71475799059311462</v>
      </c>
      <c r="AT13" s="1316">
        <f t="shared" si="12"/>
        <v>0.1734295258509424</v>
      </c>
      <c r="AU13" s="1317">
        <f t="shared" si="13"/>
        <v>0.35238252663531039</v>
      </c>
      <c r="AV13" s="1318">
        <f t="shared" si="14"/>
        <v>0.17415422034154335</v>
      </c>
      <c r="AW13" s="1319">
        <f t="shared" si="15"/>
        <v>0.16479246776639217</v>
      </c>
    </row>
    <row r="14" spans="1:49" ht="15" x14ac:dyDescent="0.25">
      <c r="A14" s="1300" t="s">
        <v>399</v>
      </c>
      <c r="B14" s="1359"/>
      <c r="C14" s="1360" t="s">
        <v>324</v>
      </c>
      <c r="D14" s="1361"/>
      <c r="E14" s="1362">
        <f t="shared" si="16"/>
        <v>2525</v>
      </c>
      <c r="F14" s="1346">
        <v>2525</v>
      </c>
      <c r="G14" s="1345"/>
      <c r="H14" s="1362">
        <f t="shared" si="17"/>
        <v>1916</v>
      </c>
      <c r="I14" s="1362"/>
      <c r="J14" s="1337">
        <v>2</v>
      </c>
      <c r="K14" s="1363" t="s">
        <v>400</v>
      </c>
      <c r="L14" s="1339">
        <v>1916</v>
      </c>
      <c r="M14" s="1364">
        <f>TreatyCatch!F$296</f>
        <v>275</v>
      </c>
      <c r="N14" s="1365">
        <f>TreatyCatch!F298</f>
        <v>4518.4851634715251</v>
      </c>
      <c r="O14" s="1366">
        <f>TreatyCatch!G300</f>
        <v>540.51483652847469</v>
      </c>
      <c r="P14" s="1603">
        <f t="shared" si="0"/>
        <v>280.5</v>
      </c>
      <c r="Q14" s="1603">
        <f t="shared" si="1"/>
        <v>4608.8548667409559</v>
      </c>
      <c r="R14" s="1366">
        <f t="shared" si="2"/>
        <v>551.32513325904415</v>
      </c>
      <c r="S14" s="1367">
        <f>'Test Fishery'!F56</f>
        <v>1</v>
      </c>
      <c r="T14" s="1332">
        <f>'Test Fishery'!F58</f>
        <v>0</v>
      </c>
      <c r="U14" s="1333">
        <f>'Test Fishery'!G60</f>
        <v>6</v>
      </c>
      <c r="V14" s="1476">
        <f t="shared" si="3"/>
        <v>1.02</v>
      </c>
      <c r="W14" s="1476">
        <f t="shared" si="4"/>
        <v>0</v>
      </c>
      <c r="X14" s="1475">
        <f t="shared" si="5"/>
        <v>6.12</v>
      </c>
      <c r="Y14" s="1331"/>
      <c r="Z14" s="1331"/>
      <c r="AA14" s="1331"/>
      <c r="AB14" s="1334"/>
      <c r="AC14" s="1349">
        <v>1339</v>
      </c>
      <c r="AD14" s="1333">
        <v>11098</v>
      </c>
      <c r="AE14" s="1305"/>
      <c r="AF14" s="1356"/>
      <c r="AG14" s="1368">
        <f>20+15</f>
        <v>35</v>
      </c>
      <c r="AH14" s="1369">
        <f t="shared" ref="AH14:AH22" si="18">SUM(B14,P14,V14,Y14,AE14)</f>
        <v>281.52</v>
      </c>
      <c r="AI14" s="1285">
        <f t="shared" ref="AI14:AI22" si="19">SUM(E14,Q14,W14,Z14,AC14,AF14)</f>
        <v>8472.8548667409559</v>
      </c>
      <c r="AJ14" s="1304">
        <f t="shared" ref="AJ14:AJ22" si="20">SUM(H14,I14,R14,X14,AA14,AD14,AG14)</f>
        <v>13606.445133259043</v>
      </c>
      <c r="AK14" s="1308">
        <v>1986</v>
      </c>
      <c r="AL14" s="1309">
        <v>35119</v>
      </c>
      <c r="AM14" s="1358">
        <v>298357</v>
      </c>
      <c r="AN14" s="1311" t="s">
        <v>8</v>
      </c>
      <c r="AO14" s="1299" t="s">
        <v>399</v>
      </c>
      <c r="AP14" s="1312">
        <f t="shared" si="8"/>
        <v>276</v>
      </c>
      <c r="AQ14" s="1313">
        <f t="shared" si="9"/>
        <v>7043.4851634715251</v>
      </c>
      <c r="AR14" s="1314">
        <f t="shared" si="10"/>
        <v>2462.5148365284749</v>
      </c>
      <c r="AS14" s="1315">
        <f t="shared" si="11"/>
        <v>0.83130010772635465</v>
      </c>
      <c r="AT14" s="1316">
        <f t="shared" si="12"/>
        <v>0.18098149901837354</v>
      </c>
      <c r="AU14" s="1317">
        <f t="shared" si="13"/>
        <v>0.53328957412078737</v>
      </c>
      <c r="AV14" s="1318">
        <f t="shared" si="14"/>
        <v>0.18178481660967089</v>
      </c>
      <c r="AW14" s="1319">
        <f t="shared" si="15"/>
        <v>0.1813350297667401</v>
      </c>
    </row>
    <row r="15" spans="1:49" ht="15" x14ac:dyDescent="0.25">
      <c r="A15" s="1300" t="s">
        <v>401</v>
      </c>
      <c r="B15" s="1370">
        <f>D15</f>
        <v>258</v>
      </c>
      <c r="C15" s="1360" t="s">
        <v>324</v>
      </c>
      <c r="D15" s="1363">
        <v>258</v>
      </c>
      <c r="E15" s="1371">
        <f>G15</f>
        <v>1690</v>
      </c>
      <c r="F15" s="1372">
        <v>1646</v>
      </c>
      <c r="G15" s="1372">
        <v>1690</v>
      </c>
      <c r="H15" s="1373">
        <f>K15</f>
        <v>2033</v>
      </c>
      <c r="I15" s="1374"/>
      <c r="J15" s="1375">
        <f>2+13</f>
        <v>15</v>
      </c>
      <c r="K15" s="1376">
        <f>182+1851</f>
        <v>2033</v>
      </c>
      <c r="L15" s="1377">
        <v>1895</v>
      </c>
      <c r="M15" s="1364">
        <f>TreatyCatch!H$296</f>
        <v>283.8</v>
      </c>
      <c r="N15" s="1365">
        <f>TreatyCatch!H298</f>
        <v>3481.8230707870216</v>
      </c>
      <c r="O15" s="1366">
        <f>TreatyCatch!I300</f>
        <v>673.37692921297844</v>
      </c>
      <c r="P15" s="1603">
        <f t="shared" si="0"/>
        <v>289.476</v>
      </c>
      <c r="Q15" s="1603">
        <f t="shared" si="1"/>
        <v>3551.4595322027621</v>
      </c>
      <c r="R15" s="1366">
        <f t="shared" si="2"/>
        <v>686.84446779723805</v>
      </c>
      <c r="S15" s="1367">
        <f>'Test Fishery'!H56</f>
        <v>21</v>
      </c>
      <c r="T15" s="1332">
        <f>'Test Fishery'!H58</f>
        <v>0</v>
      </c>
      <c r="U15" s="1333">
        <f>'Test Fishery'!I60</f>
        <v>10</v>
      </c>
      <c r="V15" s="1476">
        <f t="shared" si="3"/>
        <v>21.42</v>
      </c>
      <c r="W15" s="1476">
        <f t="shared" si="4"/>
        <v>0</v>
      </c>
      <c r="X15" s="1475">
        <f t="shared" si="5"/>
        <v>10.199999999999999</v>
      </c>
      <c r="Y15" s="1331"/>
      <c r="Z15" s="1331"/>
      <c r="AA15" s="1331"/>
      <c r="AB15" s="1334"/>
      <c r="AC15" s="1349">
        <v>964</v>
      </c>
      <c r="AD15" s="1333">
        <v>8305</v>
      </c>
      <c r="AE15" s="1305">
        <v>113</v>
      </c>
      <c r="AF15" s="1378">
        <v>47</v>
      </c>
      <c r="AG15" s="1379">
        <f>15+10+4</f>
        <v>29</v>
      </c>
      <c r="AH15" s="1369">
        <f t="shared" si="18"/>
        <v>681.89599999999996</v>
      </c>
      <c r="AI15" s="1285">
        <f t="shared" si="19"/>
        <v>6252.4595322027617</v>
      </c>
      <c r="AJ15" s="1304">
        <f t="shared" si="20"/>
        <v>11064.044467797237</v>
      </c>
      <c r="AK15" s="1308">
        <v>1987</v>
      </c>
      <c r="AL15" s="1309">
        <v>0</v>
      </c>
      <c r="AM15" s="1380">
        <v>136096</v>
      </c>
      <c r="AN15" s="1311"/>
      <c r="AO15" s="1299" t="s">
        <v>401</v>
      </c>
      <c r="AP15" s="1312">
        <f t="shared" si="8"/>
        <v>562.79999999999995</v>
      </c>
      <c r="AQ15" s="1313">
        <f t="shared" si="9"/>
        <v>5171.8230707870216</v>
      </c>
      <c r="AR15" s="1314">
        <f t="shared" si="10"/>
        <v>2716.3769292129782</v>
      </c>
      <c r="AS15" s="1315">
        <f t="shared" si="11"/>
        <v>0.82716618062859681</v>
      </c>
      <c r="AT15" s="1316">
        <f t="shared" si="12"/>
        <v>0.24551392007861184</v>
      </c>
      <c r="AU15" s="1317">
        <f t="shared" si="13"/>
        <v>0.55687254797159225</v>
      </c>
      <c r="AV15" s="1318">
        <f t="shared" si="14"/>
        <v>0.24674923132704729</v>
      </c>
      <c r="AW15" s="1319">
        <f t="shared" si="15"/>
        <v>0.24582732613860664</v>
      </c>
    </row>
    <row r="16" spans="1:49" ht="15" x14ac:dyDescent="0.25">
      <c r="A16" s="1300" t="s">
        <v>402</v>
      </c>
      <c r="B16" s="1370">
        <f t="shared" ref="B16:B19" si="21">D16</f>
        <v>291</v>
      </c>
      <c r="C16" s="1360" t="s">
        <v>324</v>
      </c>
      <c r="D16" s="1363">
        <v>291</v>
      </c>
      <c r="E16" s="1371">
        <f t="shared" ref="E16:E20" si="22">G16</f>
        <v>2206</v>
      </c>
      <c r="F16" s="1372">
        <v>2255</v>
      </c>
      <c r="G16" s="1372">
        <v>2206</v>
      </c>
      <c r="H16" s="1373">
        <f t="shared" ref="H16:H20" si="23">K16</f>
        <v>2159</v>
      </c>
      <c r="I16" s="1374"/>
      <c r="J16" s="1375"/>
      <c r="K16" s="1376">
        <f>237+1922</f>
        <v>2159</v>
      </c>
      <c r="L16" s="1377">
        <v>1873</v>
      </c>
      <c r="M16" s="1364">
        <f>TreatyCatch!J$296</f>
        <v>369</v>
      </c>
      <c r="N16" s="1365">
        <f>TreatyCatch!J298</f>
        <v>3987.1818452744369</v>
      </c>
      <c r="O16" s="1366">
        <f>TreatyCatch!K300</f>
        <v>871.81815472556264</v>
      </c>
      <c r="P16" s="1603">
        <f t="shared" si="0"/>
        <v>376.38</v>
      </c>
      <c r="Q16" s="1603">
        <f t="shared" si="1"/>
        <v>4066.9254821799259</v>
      </c>
      <c r="R16" s="1366">
        <f t="shared" si="2"/>
        <v>889.25451782007394</v>
      </c>
      <c r="S16" s="1367">
        <f>'Test Fishery'!J56</f>
        <v>0</v>
      </c>
      <c r="T16" s="1332">
        <f>'Test Fishery'!J58</f>
        <v>0</v>
      </c>
      <c r="U16" s="1333">
        <f>'Test Fishery'!K60</f>
        <v>0</v>
      </c>
      <c r="V16" s="1476">
        <f t="shared" si="3"/>
        <v>0</v>
      </c>
      <c r="W16" s="1476">
        <f t="shared" si="4"/>
        <v>0</v>
      </c>
      <c r="X16" s="1475">
        <f t="shared" si="5"/>
        <v>0</v>
      </c>
      <c r="Y16" s="1331"/>
      <c r="Z16" s="1331"/>
      <c r="AA16" s="1331"/>
      <c r="AB16" s="1334"/>
      <c r="AC16" s="1349">
        <v>1195</v>
      </c>
      <c r="AD16" s="1333">
        <v>13194</v>
      </c>
      <c r="AE16" s="1305"/>
      <c r="AF16" s="1381"/>
      <c r="AG16" s="1305"/>
      <c r="AH16" s="1369">
        <f t="shared" si="18"/>
        <v>667.38</v>
      </c>
      <c r="AI16" s="1285">
        <f t="shared" si="19"/>
        <v>7467.9254821799259</v>
      </c>
      <c r="AJ16" s="1304">
        <f t="shared" si="20"/>
        <v>16242.254517820074</v>
      </c>
      <c r="AK16" s="1308">
        <v>1988</v>
      </c>
      <c r="AL16" s="1309">
        <v>30896</v>
      </c>
      <c r="AM16" s="1380">
        <v>264376</v>
      </c>
      <c r="AN16" s="1311" t="s">
        <v>9</v>
      </c>
      <c r="AO16" s="1299" t="s">
        <v>402</v>
      </c>
      <c r="AP16" s="1312">
        <f t="shared" si="8"/>
        <v>660</v>
      </c>
      <c r="AQ16" s="1313">
        <f t="shared" si="9"/>
        <v>6193.1818452744374</v>
      </c>
      <c r="AR16" s="1314">
        <f t="shared" si="10"/>
        <v>3030.8181547255626</v>
      </c>
      <c r="AS16" s="1315">
        <f t="shared" si="11"/>
        <v>0.82930418361199498</v>
      </c>
      <c r="AT16" s="1316">
        <f t="shared" si="12"/>
        <v>0.18660082880737536</v>
      </c>
      <c r="AU16" s="1317">
        <f t="shared" si="13"/>
        <v>0.53390755636069331</v>
      </c>
      <c r="AV16" s="1318">
        <f t="shared" si="14"/>
        <v>0.18767434745439454</v>
      </c>
      <c r="AW16" s="1319">
        <f t="shared" si="15"/>
        <v>0.18767434745439454</v>
      </c>
    </row>
    <row r="17" spans="1:49" ht="15" x14ac:dyDescent="0.25">
      <c r="A17" s="1300" t="s">
        <v>403</v>
      </c>
      <c r="B17" s="1370">
        <f t="shared" si="21"/>
        <v>346</v>
      </c>
      <c r="C17" s="1360" t="s">
        <v>324</v>
      </c>
      <c r="D17" s="1363">
        <v>346</v>
      </c>
      <c r="E17" s="1331">
        <f t="shared" si="22"/>
        <v>1230</v>
      </c>
      <c r="F17" s="1372">
        <v>1217</v>
      </c>
      <c r="G17" s="1372">
        <v>1230</v>
      </c>
      <c r="H17" s="1373">
        <f t="shared" si="23"/>
        <v>2031</v>
      </c>
      <c r="I17" s="1374"/>
      <c r="J17" s="1375"/>
      <c r="K17" s="1376">
        <f>139+1892</f>
        <v>2031</v>
      </c>
      <c r="L17" s="1377">
        <v>1905</v>
      </c>
      <c r="M17" s="1364">
        <f>TreatyCatch!L$296</f>
        <v>265.5</v>
      </c>
      <c r="N17" s="1365">
        <f>TreatyCatch!L298</f>
        <v>2902.9172431015522</v>
      </c>
      <c r="O17" s="1366">
        <f>TreatyCatch!M300</f>
        <v>801.56578689844775</v>
      </c>
      <c r="P17" s="1603">
        <f t="shared" si="0"/>
        <v>270.81</v>
      </c>
      <c r="Q17" s="1603">
        <f t="shared" si="1"/>
        <v>2960.9755879635832</v>
      </c>
      <c r="R17" s="1366">
        <f t="shared" si="2"/>
        <v>817.59710263641671</v>
      </c>
      <c r="S17" s="1367">
        <f>'Test Fishery'!L56</f>
        <v>28</v>
      </c>
      <c r="T17" s="1332">
        <f>'Test Fishery'!L58</f>
        <v>0</v>
      </c>
      <c r="U17" s="1333">
        <f>'Test Fishery'!M60</f>
        <v>17</v>
      </c>
      <c r="V17" s="1476">
        <f t="shared" si="3"/>
        <v>28.560000000000002</v>
      </c>
      <c r="W17" s="1476">
        <f t="shared" si="4"/>
        <v>0</v>
      </c>
      <c r="X17" s="1475">
        <f t="shared" si="5"/>
        <v>17.34</v>
      </c>
      <c r="Y17" s="1331"/>
      <c r="Z17" s="1331"/>
      <c r="AA17" s="1331"/>
      <c r="AB17" s="1334"/>
      <c r="AC17" s="1349">
        <v>779</v>
      </c>
      <c r="AD17" s="1333">
        <v>11854</v>
      </c>
      <c r="AE17" s="1305"/>
      <c r="AF17" s="1381"/>
      <c r="AG17" s="1305"/>
      <c r="AH17" s="1369">
        <f t="shared" si="18"/>
        <v>645.36999999999989</v>
      </c>
      <c r="AI17" s="1285">
        <f t="shared" si="19"/>
        <v>4969.9755879635832</v>
      </c>
      <c r="AJ17" s="1304">
        <f t="shared" si="20"/>
        <v>14719.937102636417</v>
      </c>
      <c r="AK17" s="1308">
        <v>1989</v>
      </c>
      <c r="AL17" s="1309">
        <v>0</v>
      </c>
      <c r="AM17" s="1358">
        <v>286833</v>
      </c>
      <c r="AN17" s="1311"/>
      <c r="AO17" s="1299" t="s">
        <v>403</v>
      </c>
      <c r="AP17" s="1312">
        <f t="shared" si="8"/>
        <v>639.5</v>
      </c>
      <c r="AQ17" s="1313">
        <f t="shared" si="9"/>
        <v>4132.9172431015522</v>
      </c>
      <c r="AR17" s="1314">
        <f t="shared" si="10"/>
        <v>2849.5657868984476</v>
      </c>
      <c r="AS17" s="1315">
        <f t="shared" si="11"/>
        <v>0.8315769705410142</v>
      </c>
      <c r="AT17" s="1316">
        <f t="shared" si="12"/>
        <v>0.19358545943705668</v>
      </c>
      <c r="AU17" s="1317">
        <f t="shared" si="13"/>
        <v>0.58409084546248335</v>
      </c>
      <c r="AV17" s="1318">
        <f t="shared" si="14"/>
        <v>0.19469764596501657</v>
      </c>
      <c r="AW17" s="1319">
        <f t="shared" si="15"/>
        <v>0.19351965180110847</v>
      </c>
    </row>
    <row r="18" spans="1:49" ht="15" x14ac:dyDescent="0.25">
      <c r="A18" s="1300" t="s">
        <v>404</v>
      </c>
      <c r="B18" s="1370">
        <f t="shared" si="21"/>
        <v>162</v>
      </c>
      <c r="C18" s="1360" t="s">
        <v>324</v>
      </c>
      <c r="D18" s="1363">
        <v>162</v>
      </c>
      <c r="E18" s="1331">
        <f t="shared" si="22"/>
        <v>1283</v>
      </c>
      <c r="F18" s="1372">
        <v>1283</v>
      </c>
      <c r="G18" s="1372">
        <v>1283</v>
      </c>
      <c r="H18" s="1373">
        <f t="shared" si="23"/>
        <v>1474</v>
      </c>
      <c r="I18" s="1374"/>
      <c r="J18" s="1375"/>
      <c r="K18" s="1376">
        <f>123+1351</f>
        <v>1474</v>
      </c>
      <c r="L18" s="1377">
        <v>1351</v>
      </c>
      <c r="M18" s="1364">
        <f>TreatyCatch!N$296</f>
        <v>235.1</v>
      </c>
      <c r="N18" s="1365">
        <f>TreatyCatch!N298</f>
        <v>3076.1031808089328</v>
      </c>
      <c r="O18" s="1366">
        <f>TreatyCatch!O300</f>
        <v>374.89681919106721</v>
      </c>
      <c r="P18" s="1603">
        <f t="shared" si="0"/>
        <v>239.80199999999999</v>
      </c>
      <c r="Q18" s="1603">
        <f t="shared" si="1"/>
        <v>3137.6252444251118</v>
      </c>
      <c r="R18" s="1366">
        <f t="shared" si="2"/>
        <v>382.39475557488856</v>
      </c>
      <c r="S18" s="1367">
        <f>'Test Fishery'!N56</f>
        <v>2</v>
      </c>
      <c r="T18" s="1332">
        <f>'Test Fishery'!N58</f>
        <v>0</v>
      </c>
      <c r="U18" s="1333">
        <f>'Test Fishery'!O60</f>
        <v>5</v>
      </c>
      <c r="V18" s="1476">
        <f t="shared" si="3"/>
        <v>2.04</v>
      </c>
      <c r="W18" s="1476">
        <f t="shared" si="4"/>
        <v>0</v>
      </c>
      <c r="X18" s="1475">
        <f t="shared" si="5"/>
        <v>5.0999999999999996</v>
      </c>
      <c r="Y18" s="1331"/>
      <c r="Z18" s="1331"/>
      <c r="AA18" s="1331"/>
      <c r="AB18" s="1334"/>
      <c r="AC18" s="1349">
        <v>840</v>
      </c>
      <c r="AD18" s="1333">
        <v>10017</v>
      </c>
      <c r="AE18" s="1305"/>
      <c r="AF18" s="1381">
        <v>626</v>
      </c>
      <c r="AG18" s="1305"/>
      <c r="AH18" s="1369">
        <f t="shared" si="18"/>
        <v>403.84200000000004</v>
      </c>
      <c r="AI18" s="1285">
        <f t="shared" si="19"/>
        <v>5886.6252444251113</v>
      </c>
      <c r="AJ18" s="1304">
        <f t="shared" si="20"/>
        <v>11878.494755574888</v>
      </c>
      <c r="AK18" s="1308">
        <v>1990</v>
      </c>
      <c r="AL18" s="1309">
        <v>24100</v>
      </c>
      <c r="AM18" s="1380">
        <v>226771</v>
      </c>
      <c r="AN18" s="1311"/>
      <c r="AO18" s="1299" t="s">
        <v>404</v>
      </c>
      <c r="AP18" s="1312">
        <f t="shared" si="8"/>
        <v>399.1</v>
      </c>
      <c r="AQ18" s="1313">
        <f t="shared" si="9"/>
        <v>4359.1031808089328</v>
      </c>
      <c r="AR18" s="1314">
        <f t="shared" si="10"/>
        <v>1853.8968191910672</v>
      </c>
      <c r="AS18" s="1315">
        <f t="shared" si="11"/>
        <v>0.74050971478729555</v>
      </c>
      <c r="AT18" s="1316">
        <f t="shared" si="12"/>
        <v>0.1560716957273551</v>
      </c>
      <c r="AU18" s="1317">
        <f t="shared" si="13"/>
        <v>0.52255801126836388</v>
      </c>
      <c r="AV18" s="1318">
        <f t="shared" si="14"/>
        <v>0.15671133370675946</v>
      </c>
      <c r="AW18" s="1319">
        <f t="shared" si="15"/>
        <v>0.15628198637740984</v>
      </c>
    </row>
    <row r="19" spans="1:49" ht="15" x14ac:dyDescent="0.25">
      <c r="A19" s="1300" t="s">
        <v>405</v>
      </c>
      <c r="B19" s="1382">
        <f t="shared" si="21"/>
        <v>158</v>
      </c>
      <c r="C19" s="1383" t="s">
        <v>324</v>
      </c>
      <c r="D19" s="1384">
        <v>158</v>
      </c>
      <c r="E19" s="1385">
        <f t="shared" si="22"/>
        <v>141</v>
      </c>
      <c r="F19" s="1386">
        <v>141</v>
      </c>
      <c r="G19" s="1386">
        <v>141</v>
      </c>
      <c r="H19" s="1387">
        <f t="shared" si="23"/>
        <v>767</v>
      </c>
      <c r="I19" s="1374"/>
      <c r="J19" s="1375"/>
      <c r="K19" s="1376">
        <f>130+637</f>
        <v>767</v>
      </c>
      <c r="L19" s="1377">
        <v>637</v>
      </c>
      <c r="M19" s="1364">
        <f>TreatyCatch!P$296</f>
        <v>93</v>
      </c>
      <c r="N19" s="1365">
        <f>TreatyCatch!P298</f>
        <v>1590.7294138642621</v>
      </c>
      <c r="O19" s="1366">
        <f>TreatyCatch!Q300</f>
        <v>558.27058613573763</v>
      </c>
      <c r="P19" s="1603">
        <f t="shared" si="0"/>
        <v>94.86</v>
      </c>
      <c r="Q19" s="1603">
        <f t="shared" si="1"/>
        <v>1622.5440021415475</v>
      </c>
      <c r="R19" s="1366">
        <f t="shared" si="2"/>
        <v>569.43599785845242</v>
      </c>
      <c r="S19" s="1367">
        <f>'Test Fishery'!P56</f>
        <v>5</v>
      </c>
      <c r="T19" s="1332">
        <f>'Test Fishery'!P58</f>
        <v>0</v>
      </c>
      <c r="U19" s="1333">
        <f>'Test Fishery'!Q60</f>
        <v>16</v>
      </c>
      <c r="V19" s="1476">
        <f t="shared" si="3"/>
        <v>5.0999999999999996</v>
      </c>
      <c r="W19" s="1476">
        <f t="shared" si="4"/>
        <v>0</v>
      </c>
      <c r="X19" s="1475">
        <f t="shared" si="5"/>
        <v>16.32</v>
      </c>
      <c r="Y19" s="1331"/>
      <c r="Z19" s="1331"/>
      <c r="AA19" s="1331"/>
      <c r="AB19" s="1334"/>
      <c r="AC19" s="1349">
        <v>339</v>
      </c>
      <c r="AD19" s="1333">
        <v>5818</v>
      </c>
      <c r="AE19" s="1305"/>
      <c r="AF19" s="1381">
        <v>54</v>
      </c>
      <c r="AG19" s="1305"/>
      <c r="AH19" s="1369">
        <f t="shared" si="18"/>
        <v>257.96000000000004</v>
      </c>
      <c r="AI19" s="1285">
        <f t="shared" si="19"/>
        <v>2156.5440021415475</v>
      </c>
      <c r="AJ19" s="1304">
        <f t="shared" si="20"/>
        <v>7170.7559978584522</v>
      </c>
      <c r="AK19" s="1308">
        <v>1991</v>
      </c>
      <c r="AL19" s="1309">
        <v>18655</v>
      </c>
      <c r="AM19" s="1380">
        <v>212814</v>
      </c>
      <c r="AN19" s="1311"/>
      <c r="AO19" s="1299" t="s">
        <v>405</v>
      </c>
      <c r="AP19" s="1312">
        <f t="shared" si="8"/>
        <v>256</v>
      </c>
      <c r="AQ19" s="1313">
        <f t="shared" si="9"/>
        <v>1731.7294138642621</v>
      </c>
      <c r="AR19" s="1314">
        <f t="shared" si="10"/>
        <v>1341.2705861357376</v>
      </c>
      <c r="AS19" s="1315">
        <f t="shared" si="11"/>
        <v>0.80301139793325571</v>
      </c>
      <c r="AT19" s="1316">
        <f t="shared" si="12"/>
        <v>0.18704730526827412</v>
      </c>
      <c r="AU19" s="1317">
        <f t="shared" si="13"/>
        <v>0.73762900839704393</v>
      </c>
      <c r="AV19" s="1318">
        <f t="shared" si="14"/>
        <v>0.18864900691955674</v>
      </c>
      <c r="AW19" s="1319">
        <f t="shared" si="15"/>
        <v>0.1863730962617581</v>
      </c>
    </row>
    <row r="20" spans="1:49" ht="15" x14ac:dyDescent="0.25">
      <c r="A20" s="1320" t="s">
        <v>406</v>
      </c>
      <c r="B20" s="1388">
        <f>D20</f>
        <v>123</v>
      </c>
      <c r="C20" s="1360" t="s">
        <v>324</v>
      </c>
      <c r="D20" s="1389">
        <v>123</v>
      </c>
      <c r="E20" s="1390">
        <f t="shared" si="22"/>
        <v>976</v>
      </c>
      <c r="F20" s="1391">
        <v>914</v>
      </c>
      <c r="G20" s="1391">
        <v>976</v>
      </c>
      <c r="H20" s="1392">
        <f t="shared" si="23"/>
        <v>111</v>
      </c>
      <c r="I20" s="1393"/>
      <c r="J20" s="1394">
        <v>4</v>
      </c>
      <c r="K20" s="1395">
        <f>60+51</f>
        <v>111</v>
      </c>
      <c r="L20" s="1396">
        <v>53</v>
      </c>
      <c r="M20" s="1364">
        <f>TreatyCatch!R$296</f>
        <v>64</v>
      </c>
      <c r="N20" s="1365">
        <f>TreatyCatch!R298</f>
        <v>2245.9774229691875</v>
      </c>
      <c r="O20" s="1366">
        <f>TreatyCatch!S300</f>
        <v>116.02257703081233</v>
      </c>
      <c r="P20" s="1603">
        <f t="shared" si="0"/>
        <v>65.28</v>
      </c>
      <c r="Q20" s="1603">
        <f t="shared" si="1"/>
        <v>2290.8969714285713</v>
      </c>
      <c r="R20" s="1366">
        <f t="shared" si="2"/>
        <v>118.34302857142858</v>
      </c>
      <c r="S20" s="1367">
        <f>'Test Fishery'!R56</f>
        <v>0</v>
      </c>
      <c r="T20" s="1332">
        <f>'Test Fishery'!R58</f>
        <v>0</v>
      </c>
      <c r="U20" s="1333">
        <f>'Test Fishery'!S60</f>
        <v>10</v>
      </c>
      <c r="V20" s="1476">
        <f t="shared" si="3"/>
        <v>0</v>
      </c>
      <c r="W20" s="1476">
        <f t="shared" si="4"/>
        <v>0</v>
      </c>
      <c r="X20" s="1475">
        <f t="shared" si="5"/>
        <v>10.199999999999999</v>
      </c>
      <c r="Y20" s="1331"/>
      <c r="Z20" s="1331"/>
      <c r="AA20" s="1331"/>
      <c r="AB20" s="1334"/>
      <c r="AC20" s="1397">
        <v>611</v>
      </c>
      <c r="AD20" s="1333">
        <v>7514</v>
      </c>
      <c r="AE20" s="1305"/>
      <c r="AF20" s="1381"/>
      <c r="AG20" s="1305"/>
      <c r="AH20" s="1369">
        <f t="shared" si="18"/>
        <v>188.28</v>
      </c>
      <c r="AI20" s="1285">
        <f t="shared" si="19"/>
        <v>3877.8969714285713</v>
      </c>
      <c r="AJ20" s="1304">
        <f t="shared" si="20"/>
        <v>7753.5430285714283</v>
      </c>
      <c r="AK20" s="1308">
        <v>1992</v>
      </c>
      <c r="AL20" s="1309">
        <v>19800</v>
      </c>
      <c r="AM20" s="1380">
        <v>157842</v>
      </c>
      <c r="AN20" s="1311" t="s">
        <v>10</v>
      </c>
      <c r="AO20" s="1299" t="s">
        <v>406</v>
      </c>
      <c r="AP20" s="1312">
        <f t="shared" si="8"/>
        <v>187</v>
      </c>
      <c r="AQ20" s="1313">
        <f t="shared" si="9"/>
        <v>3221.9774229691875</v>
      </c>
      <c r="AR20" s="1314">
        <f t="shared" si="10"/>
        <v>237.02257703081233</v>
      </c>
      <c r="AS20" s="1315">
        <f t="shared" si="11"/>
        <v>0.83085689143057584</v>
      </c>
      <c r="AT20" s="1316">
        <f t="shared" si="12"/>
        <v>3.0569582983855984E-2</v>
      </c>
      <c r="AU20" s="1317">
        <f t="shared" si="13"/>
        <v>0.57917408314790686</v>
      </c>
      <c r="AV20" s="1318">
        <f t="shared" si="14"/>
        <v>3.0894653926433913E-2</v>
      </c>
      <c r="AW20" s="1319">
        <f t="shared" si="15"/>
        <v>2.9579126307329527E-2</v>
      </c>
    </row>
    <row r="21" spans="1:49" ht="15" x14ac:dyDescent="0.25">
      <c r="A21" s="1320" t="s">
        <v>407</v>
      </c>
      <c r="B21" s="1398">
        <f>SportCatchMaster!G34</f>
        <v>108</v>
      </c>
      <c r="C21" s="1399" t="s">
        <v>324</v>
      </c>
      <c r="D21" s="1389">
        <v>108</v>
      </c>
      <c r="E21" s="1397">
        <f>SportCatchMaster!G36</f>
        <v>1721</v>
      </c>
      <c r="F21" s="1400">
        <v>1721</v>
      </c>
      <c r="G21" s="1400">
        <v>1721</v>
      </c>
      <c r="H21" s="1401">
        <f>SportCatchMaster!H38</f>
        <v>1340</v>
      </c>
      <c r="I21" s="1402"/>
      <c r="J21" s="1403"/>
      <c r="K21" s="1404">
        <f>22+1318</f>
        <v>1340</v>
      </c>
      <c r="L21" s="1405">
        <v>1318</v>
      </c>
      <c r="M21" s="1364">
        <f>TreatyCatch!T$296</f>
        <v>48.5</v>
      </c>
      <c r="N21" s="1365">
        <f>TreatyCatch!T298</f>
        <v>698.45971914264601</v>
      </c>
      <c r="O21" s="1366">
        <f>TreatyCatch!U300</f>
        <v>58.040280857354027</v>
      </c>
      <c r="P21" s="1603">
        <f t="shared" si="0"/>
        <v>49.47</v>
      </c>
      <c r="Q21" s="1603">
        <f t="shared" si="1"/>
        <v>712.42891352549896</v>
      </c>
      <c r="R21" s="1366">
        <f t="shared" si="2"/>
        <v>59.201086474501111</v>
      </c>
      <c r="S21" s="1367">
        <f>'Test Fishery'!T56</f>
        <v>10</v>
      </c>
      <c r="T21" s="1332">
        <f>'Test Fishery'!T58</f>
        <v>0</v>
      </c>
      <c r="U21" s="1333">
        <f>'Test Fishery'!U60</f>
        <v>24</v>
      </c>
      <c r="V21" s="1476">
        <f t="shared" si="3"/>
        <v>10.199999999999999</v>
      </c>
      <c r="W21" s="1476">
        <f t="shared" si="4"/>
        <v>0</v>
      </c>
      <c r="X21" s="1475">
        <f t="shared" si="5"/>
        <v>24.48</v>
      </c>
      <c r="Y21" s="1331"/>
      <c r="Z21" s="1331"/>
      <c r="AA21" s="1331"/>
      <c r="AB21" s="1334"/>
      <c r="AC21" s="1397">
        <v>460</v>
      </c>
      <c r="AD21" s="1333">
        <v>6900</v>
      </c>
      <c r="AE21" s="1305"/>
      <c r="AF21" s="1381">
        <v>52</v>
      </c>
      <c r="AG21" s="1305">
        <v>26</v>
      </c>
      <c r="AH21" s="1369">
        <f t="shared" si="18"/>
        <v>167.67</v>
      </c>
      <c r="AI21" s="1285">
        <f t="shared" si="19"/>
        <v>2945.428913525499</v>
      </c>
      <c r="AJ21" s="1304">
        <f t="shared" si="20"/>
        <v>8349.6810864745021</v>
      </c>
      <c r="AK21" s="1308">
        <v>1993</v>
      </c>
      <c r="AL21" s="1309">
        <v>32249</v>
      </c>
      <c r="AM21" s="1380">
        <v>409017</v>
      </c>
      <c r="AN21" s="1311"/>
      <c r="AO21" s="1299" t="s">
        <v>407</v>
      </c>
      <c r="AP21" s="1312">
        <f t="shared" si="8"/>
        <v>166.5</v>
      </c>
      <c r="AQ21" s="1313">
        <f t="shared" si="9"/>
        <v>2419.459719142646</v>
      </c>
      <c r="AR21" s="1314">
        <f t="shared" si="10"/>
        <v>1422.040280857354</v>
      </c>
      <c r="AS21" s="1315">
        <f t="shared" si="11"/>
        <v>0.82142865782039876</v>
      </c>
      <c r="AT21" s="1316">
        <f t="shared" si="12"/>
        <v>0.17031072997038071</v>
      </c>
      <c r="AU21" s="1317">
        <f t="shared" si="13"/>
        <v>0.23713344971093947</v>
      </c>
      <c r="AV21" s="1318">
        <f t="shared" si="14"/>
        <v>0.17050724114250262</v>
      </c>
      <c r="AW21" s="1319">
        <f t="shared" si="15"/>
        <v>0.16757539263877297</v>
      </c>
    </row>
    <row r="22" spans="1:49" ht="15" x14ac:dyDescent="0.25">
      <c r="A22" s="1320" t="s">
        <v>408</v>
      </c>
      <c r="B22" s="1398">
        <f>SportCatchMaster!I34</f>
        <v>102</v>
      </c>
      <c r="C22" s="1399" t="s">
        <v>324</v>
      </c>
      <c r="D22" s="1389">
        <v>102</v>
      </c>
      <c r="E22" s="1397">
        <f>SportCatchMaster!I36</f>
        <v>600</v>
      </c>
      <c r="F22" s="1400"/>
      <c r="G22" s="1400">
        <v>600</v>
      </c>
      <c r="H22" s="1397">
        <f>SportCatchMaster!J38</f>
        <v>1084</v>
      </c>
      <c r="I22" s="1406"/>
      <c r="J22" s="1407"/>
      <c r="K22" s="1404">
        <f>32+1052</f>
        <v>1084</v>
      </c>
      <c r="L22" s="1405"/>
      <c r="M22" s="1364">
        <f>TreatyCatch!V$296</f>
        <v>21</v>
      </c>
      <c r="N22" s="1365">
        <f>TreatyCatch!V298</f>
        <v>172.52265690965382</v>
      </c>
      <c r="O22" s="1366">
        <f>TreatyCatch!W300</f>
        <v>62.477343090346181</v>
      </c>
      <c r="P22" s="1603">
        <f t="shared" si="0"/>
        <v>21.42</v>
      </c>
      <c r="Q22" s="1603">
        <f t="shared" si="1"/>
        <v>175.97311004784689</v>
      </c>
      <c r="R22" s="1366">
        <f t="shared" si="2"/>
        <v>63.726889952153108</v>
      </c>
      <c r="S22" s="1367">
        <f>'Test Fishery'!V56</f>
        <v>6</v>
      </c>
      <c r="T22" s="1332">
        <f>'Test Fishery'!V58</f>
        <v>0</v>
      </c>
      <c r="U22" s="1333">
        <f>'Test Fishery'!W60</f>
        <v>14</v>
      </c>
      <c r="V22" s="1476">
        <f t="shared" si="3"/>
        <v>6.12</v>
      </c>
      <c r="W22" s="1476">
        <f t="shared" si="4"/>
        <v>0</v>
      </c>
      <c r="X22" s="1475">
        <f t="shared" si="5"/>
        <v>14.280000000000001</v>
      </c>
      <c r="Y22" s="1331"/>
      <c r="Z22" s="1331"/>
      <c r="AA22" s="1331"/>
      <c r="AB22" s="1334"/>
      <c r="AC22" s="1408">
        <v>143</v>
      </c>
      <c r="AD22" s="1333">
        <v>6412</v>
      </c>
      <c r="AE22" s="1305"/>
      <c r="AF22" s="1381">
        <v>212</v>
      </c>
      <c r="AG22" s="1305">
        <v>38</v>
      </c>
      <c r="AH22" s="1369">
        <f t="shared" si="18"/>
        <v>129.54</v>
      </c>
      <c r="AI22" s="1285">
        <f t="shared" si="19"/>
        <v>1130.9731100478468</v>
      </c>
      <c r="AJ22" s="1304">
        <f t="shared" si="20"/>
        <v>7612.006889952153</v>
      </c>
      <c r="AK22" s="1308">
        <v>1994</v>
      </c>
      <c r="AL22" s="1309">
        <v>27000</v>
      </c>
      <c r="AM22" s="1380">
        <v>447336</v>
      </c>
      <c r="AN22" s="1311"/>
      <c r="AO22" s="1299" t="s">
        <v>408</v>
      </c>
      <c r="AP22" s="1312">
        <f t="shared" si="8"/>
        <v>129</v>
      </c>
      <c r="AQ22" s="1313">
        <f t="shared" si="9"/>
        <v>772.52265690965385</v>
      </c>
      <c r="AR22" s="1314">
        <f t="shared" si="10"/>
        <v>1160.4773430903463</v>
      </c>
      <c r="AS22" s="1315">
        <f t="shared" si="11"/>
        <v>0.68306014532650705</v>
      </c>
      <c r="AT22" s="1316">
        <f t="shared" si="12"/>
        <v>0.15245353293389369</v>
      </c>
      <c r="AU22" s="1317">
        <f t="shared" si="13"/>
        <v>0.1525435533143269</v>
      </c>
      <c r="AV22" s="1318">
        <f t="shared" si="14"/>
        <v>0.15265447164610452</v>
      </c>
      <c r="AW22" s="1319">
        <f t="shared" si="15"/>
        <v>0.15077848805774893</v>
      </c>
    </row>
    <row r="23" spans="1:49" ht="15" x14ac:dyDescent="0.25">
      <c r="A23" s="1320" t="s">
        <v>409</v>
      </c>
      <c r="B23" s="1398">
        <f>SportCatchMaster!K34</f>
        <v>173</v>
      </c>
      <c r="C23" s="1399" t="s">
        <v>324</v>
      </c>
      <c r="D23" s="1389">
        <v>173</v>
      </c>
      <c r="E23" s="1397">
        <f>SportCatchMaster!K36</f>
        <v>987</v>
      </c>
      <c r="F23" s="1400"/>
      <c r="G23" s="1400">
        <v>987</v>
      </c>
      <c r="H23" s="1397">
        <f>SportCatchMaster!L38</f>
        <v>588</v>
      </c>
      <c r="I23" s="1406"/>
      <c r="J23" s="1407"/>
      <c r="K23" s="1404">
        <f>27+561</f>
        <v>588</v>
      </c>
      <c r="L23" s="1405"/>
      <c r="M23" s="1364">
        <f>TreatyCatch!X$296</f>
        <v>25</v>
      </c>
      <c r="N23" s="1365">
        <f>TreatyCatch!X298</f>
        <v>915.01050061050046</v>
      </c>
      <c r="O23" s="1366">
        <f>TreatyCatch!Y300</f>
        <v>296.98949938949937</v>
      </c>
      <c r="P23" s="1603">
        <f t="shared" si="0"/>
        <v>25.5</v>
      </c>
      <c r="Q23" s="1603">
        <f t="shared" si="1"/>
        <v>933.31071062271053</v>
      </c>
      <c r="R23" s="1366">
        <f t="shared" si="2"/>
        <v>302.92928937728936</v>
      </c>
      <c r="S23" s="1367">
        <f>'Test Fishery'!X56</f>
        <v>12</v>
      </c>
      <c r="T23" s="1332">
        <f>'Test Fishery'!X58</f>
        <v>2</v>
      </c>
      <c r="U23" s="1333">
        <f>'Test Fishery'!Y60</f>
        <v>20</v>
      </c>
      <c r="V23" s="1476">
        <f t="shared" si="3"/>
        <v>12.24</v>
      </c>
      <c r="W23" s="1476">
        <f t="shared" si="4"/>
        <v>2.04</v>
      </c>
      <c r="X23" s="1475">
        <f t="shared" si="5"/>
        <v>20.399999999999999</v>
      </c>
      <c r="Y23" s="1331"/>
      <c r="Z23" s="1331"/>
      <c r="AA23" s="1331"/>
      <c r="AB23" s="1334"/>
      <c r="AC23" s="1409">
        <v>496</v>
      </c>
      <c r="AD23" s="1333">
        <v>7656</v>
      </c>
      <c r="AE23" s="1305">
        <v>1</v>
      </c>
      <c r="AF23" s="1381">
        <v>81</v>
      </c>
      <c r="AG23" s="1305">
        <v>5</v>
      </c>
      <c r="AH23" s="1369">
        <f t="shared" ref="AH23" si="24">SUM(B23,P23,V23,Y23,AE23)</f>
        <v>211.74</v>
      </c>
      <c r="AI23" s="1285">
        <f t="shared" ref="AI23" si="25">SUM(E23,Q23,W23,Z23,AC23,AF23)</f>
        <v>2499.3507106227107</v>
      </c>
      <c r="AJ23" s="1304">
        <f t="shared" ref="AJ23" si="26">SUM(H23,I23,R23,X23,AA23,AD23,AG23)</f>
        <v>8572.3292893772887</v>
      </c>
      <c r="AK23" s="1308">
        <v>1995</v>
      </c>
      <c r="AL23" s="1309">
        <v>25168</v>
      </c>
      <c r="AM23" s="1380">
        <v>415706</v>
      </c>
      <c r="AN23" s="1311"/>
      <c r="AO23" s="1299" t="s">
        <v>409</v>
      </c>
      <c r="AP23" s="1312">
        <f t="shared" si="8"/>
        <v>210</v>
      </c>
      <c r="AQ23" s="1313">
        <f t="shared" si="9"/>
        <v>1904.0105006105005</v>
      </c>
      <c r="AR23" s="1314">
        <f t="shared" si="10"/>
        <v>904.98949938949931</v>
      </c>
      <c r="AS23" s="1315">
        <f t="shared" si="11"/>
        <v>0.76180205223624586</v>
      </c>
      <c r="AT23" s="1316">
        <f t="shared" si="12"/>
        <v>0.1055710144628893</v>
      </c>
      <c r="AU23" s="1317">
        <f t="shared" si="13"/>
        <v>0.366099281994133</v>
      </c>
      <c r="AV23" s="1318">
        <f t="shared" si="14"/>
        <v>0.10631057891191791</v>
      </c>
      <c r="AW23" s="1319">
        <f t="shared" si="15"/>
        <v>0.10393082898498972</v>
      </c>
    </row>
    <row r="24" spans="1:49" ht="15" x14ac:dyDescent="0.25">
      <c r="A24" s="1320" t="s">
        <v>410</v>
      </c>
      <c r="B24" s="1398">
        <f>SportCatchMaster!M34</f>
        <v>105</v>
      </c>
      <c r="C24" s="1399" t="s">
        <v>324</v>
      </c>
      <c r="D24" s="1389">
        <v>105</v>
      </c>
      <c r="E24" s="1397">
        <f>SportCatchMaster!M36</f>
        <v>1025</v>
      </c>
      <c r="F24" s="1400"/>
      <c r="G24" s="1400">
        <v>1025</v>
      </c>
      <c r="H24" s="1397">
        <f>SportCatchMaster!N38</f>
        <v>484</v>
      </c>
      <c r="I24" s="1406"/>
      <c r="J24" s="1407">
        <v>3</v>
      </c>
      <c r="K24" s="1404">
        <f>14+470</f>
        <v>484</v>
      </c>
      <c r="L24" s="1405"/>
      <c r="M24" s="1364">
        <f>TreatyCatch!Z$296</f>
        <v>105.5</v>
      </c>
      <c r="N24" s="1365">
        <f>TreatyCatch!Z298</f>
        <v>979.82234432234441</v>
      </c>
      <c r="O24" s="1366">
        <f>TreatyCatch!AA300</f>
        <v>46.177655677655672</v>
      </c>
      <c r="P24" s="1603">
        <f t="shared" si="0"/>
        <v>107.61</v>
      </c>
      <c r="Q24" s="1603">
        <f t="shared" si="1"/>
        <v>999.41879120879128</v>
      </c>
      <c r="R24" s="1366">
        <f t="shared" si="2"/>
        <v>47.101208791208784</v>
      </c>
      <c r="S24" s="1367">
        <f>'Test Fishery'!Z56</f>
        <v>1</v>
      </c>
      <c r="T24" s="1332">
        <f>'Test Fishery'!Z58</f>
        <v>0</v>
      </c>
      <c r="U24" s="1333">
        <f>'Test Fishery'!AA60</f>
        <v>5</v>
      </c>
      <c r="V24" s="1476">
        <f t="shared" si="3"/>
        <v>1.02</v>
      </c>
      <c r="W24" s="1476">
        <f t="shared" si="4"/>
        <v>0</v>
      </c>
      <c r="X24" s="1475">
        <f t="shared" si="5"/>
        <v>5.0999999999999996</v>
      </c>
      <c r="Y24" s="1331"/>
      <c r="Z24" s="1331"/>
      <c r="AA24" s="1331"/>
      <c r="AB24" s="1334"/>
      <c r="AC24" s="1410">
        <v>392</v>
      </c>
      <c r="AD24" s="1333"/>
      <c r="AE24" s="1411"/>
      <c r="AF24" s="1381">
        <v>34</v>
      </c>
      <c r="AG24" s="1305">
        <v>11</v>
      </c>
      <c r="AH24" s="1369">
        <f t="shared" ref="AH24:AH25" si="27">SUM(B24,P24,V24,Y24,AE24)</f>
        <v>213.63000000000002</v>
      </c>
      <c r="AI24" s="1285">
        <f t="shared" ref="AI24:AI25" si="28">SUM(E24,Q24,W24,Z24,AC24,AF24)</f>
        <v>2450.4187912087914</v>
      </c>
      <c r="AJ24" s="1304"/>
      <c r="AK24" s="1308">
        <v>1996</v>
      </c>
      <c r="AL24" s="1412">
        <v>25043</v>
      </c>
      <c r="AM24" s="1380">
        <v>367747</v>
      </c>
      <c r="AN24" s="1311" t="s">
        <v>11</v>
      </c>
      <c r="AO24" s="1299" t="s">
        <v>410</v>
      </c>
      <c r="AP24" s="1312">
        <f t="shared" si="8"/>
        <v>211.5</v>
      </c>
      <c r="AQ24" s="1313">
        <f t="shared" si="9"/>
        <v>2004.8223443223444</v>
      </c>
      <c r="AR24" s="1314">
        <f t="shared" si="10"/>
        <v>535.17765567765571</v>
      </c>
      <c r="AS24" s="1315">
        <f t="shared" ref="AS24:AS42" si="29">AQ24/AI24</f>
        <v>0.81815498294206501</v>
      </c>
      <c r="AT24" s="1316"/>
      <c r="AU24" s="1317">
        <f t="shared" si="13"/>
        <v>0.39985913748196411</v>
      </c>
      <c r="AV24" s="1318"/>
      <c r="AW24" s="1319"/>
    </row>
    <row r="25" spans="1:49" ht="15" x14ac:dyDescent="0.25">
      <c r="A25" s="1320" t="s">
        <v>411</v>
      </c>
      <c r="B25" s="1398">
        <f>SportCatchMaster!O34</f>
        <v>239</v>
      </c>
      <c r="C25" s="1399" t="s">
        <v>324</v>
      </c>
      <c r="D25" s="1389">
        <v>239</v>
      </c>
      <c r="E25" s="1397">
        <f>SportCatchMaster!O36</f>
        <v>1839</v>
      </c>
      <c r="F25" s="1400"/>
      <c r="G25" s="1400">
        <v>1839</v>
      </c>
      <c r="H25" s="1397">
        <f>SportCatchMaster!P38</f>
        <v>1632</v>
      </c>
      <c r="I25" s="1406"/>
      <c r="J25" s="1407"/>
      <c r="K25" s="1404">
        <f>23+1609</f>
        <v>1632</v>
      </c>
      <c r="L25" s="1405"/>
      <c r="M25" s="1364">
        <f>TreatyCatch!AB$296</f>
        <v>0.66666666666666663</v>
      </c>
      <c r="N25" s="1365">
        <f>TreatyCatch!AB298</f>
        <v>96.525000000000006</v>
      </c>
      <c r="O25" s="1366">
        <f>TreatyCatch!AC300</f>
        <v>62.808333333333337</v>
      </c>
      <c r="P25" s="1603">
        <f t="shared" si="0"/>
        <v>0.67999999999999994</v>
      </c>
      <c r="Q25" s="1603">
        <f t="shared" si="1"/>
        <v>98.455500000000001</v>
      </c>
      <c r="R25" s="1366">
        <f t="shared" si="2"/>
        <v>64.06450000000001</v>
      </c>
      <c r="S25" s="1367">
        <f>'Test Fishery'!AB56</f>
        <v>11</v>
      </c>
      <c r="T25" s="1332">
        <f>'Test Fishery'!AB58</f>
        <v>2</v>
      </c>
      <c r="U25" s="1333">
        <f>'Test Fishery'!AC60</f>
        <v>5</v>
      </c>
      <c r="V25" s="1476">
        <f t="shared" si="3"/>
        <v>11.22</v>
      </c>
      <c r="W25" s="1476">
        <f t="shared" si="4"/>
        <v>2.04</v>
      </c>
      <c r="X25" s="1475">
        <f t="shared" si="5"/>
        <v>5.0999999999999996</v>
      </c>
      <c r="Y25" s="1331"/>
      <c r="Z25" s="1331"/>
      <c r="AA25" s="1331"/>
      <c r="AB25" s="1334"/>
      <c r="AC25" s="1410">
        <v>347</v>
      </c>
      <c r="AD25" s="1333"/>
      <c r="AE25" s="1411"/>
      <c r="AF25" s="1381">
        <v>117</v>
      </c>
      <c r="AG25" s="1305">
        <v>35</v>
      </c>
      <c r="AH25" s="1369">
        <f t="shared" si="27"/>
        <v>250.9</v>
      </c>
      <c r="AI25" s="1285">
        <f t="shared" si="28"/>
        <v>2403.4955</v>
      </c>
      <c r="AJ25" s="1304"/>
      <c r="AK25" s="1308">
        <v>1997</v>
      </c>
      <c r="AL25" s="1412">
        <v>0</v>
      </c>
      <c r="AM25" s="1380">
        <v>349510</v>
      </c>
      <c r="AN25" s="1311" t="s">
        <v>11</v>
      </c>
      <c r="AO25" s="1299" t="s">
        <v>411</v>
      </c>
      <c r="AP25" s="1312">
        <f t="shared" si="8"/>
        <v>250.66666666666666</v>
      </c>
      <c r="AQ25" s="1313">
        <f t="shared" si="9"/>
        <v>1937.5250000000001</v>
      </c>
      <c r="AR25" s="1314">
        <f t="shared" si="10"/>
        <v>1699.8083333333334</v>
      </c>
      <c r="AS25" s="1315">
        <f t="shared" si="29"/>
        <v>0.80612799150237646</v>
      </c>
      <c r="AT25" s="1316"/>
      <c r="AU25" s="1317">
        <f t="shared" si="13"/>
        <v>4.0160258257192494E-2</v>
      </c>
      <c r="AV25" s="1318"/>
      <c r="AW25" s="1319"/>
    </row>
    <row r="26" spans="1:49" ht="15.75" thickBot="1" x14ac:dyDescent="0.3">
      <c r="A26" s="1320" t="s">
        <v>412</v>
      </c>
      <c r="B26" s="1398">
        <f>SportCatchMaster!Q34</f>
        <v>249</v>
      </c>
      <c r="C26" s="1399" t="s">
        <v>324</v>
      </c>
      <c r="D26" s="1389">
        <v>249</v>
      </c>
      <c r="E26" s="1397">
        <f>SportCatchMaster!Q36</f>
        <v>347</v>
      </c>
      <c r="F26" s="1400"/>
      <c r="G26" s="1400">
        <v>347</v>
      </c>
      <c r="H26" s="1397">
        <f>SportCatchMaster!R38</f>
        <v>71</v>
      </c>
      <c r="I26" s="1406"/>
      <c r="J26" s="1407"/>
      <c r="K26" s="1404">
        <f>22+49</f>
        <v>71</v>
      </c>
      <c r="L26" s="1405"/>
      <c r="M26" s="1364">
        <f>TreatyCatch!AD$296</f>
        <v>1</v>
      </c>
      <c r="N26" s="1365">
        <f>TreatyCatch!AD298</f>
        <v>32</v>
      </c>
      <c r="O26" s="1366">
        <f>TreatyCatch!AE300</f>
        <v>48</v>
      </c>
      <c r="P26" s="1603">
        <f t="shared" si="0"/>
        <v>1.02</v>
      </c>
      <c r="Q26" s="1603">
        <f t="shared" si="1"/>
        <v>32.64</v>
      </c>
      <c r="R26" s="1366">
        <f t="shared" si="2"/>
        <v>48.96</v>
      </c>
      <c r="S26" s="1367">
        <f>'Test Fishery'!AD56</f>
        <v>0</v>
      </c>
      <c r="T26" s="1332">
        <f>'Test Fishery'!AD58</f>
        <v>0</v>
      </c>
      <c r="U26" s="1333">
        <f>'Test Fishery'!AE60</f>
        <v>5</v>
      </c>
      <c r="V26" s="1476">
        <f t="shared" si="3"/>
        <v>0</v>
      </c>
      <c r="W26" s="1476">
        <f t="shared" si="4"/>
        <v>0</v>
      </c>
      <c r="X26" s="1475">
        <f t="shared" si="5"/>
        <v>5.0999999999999996</v>
      </c>
      <c r="Y26" s="1331"/>
      <c r="Z26" s="1331"/>
      <c r="AA26" s="1331"/>
      <c r="AB26" s="1334"/>
      <c r="AC26" s="1410">
        <v>449</v>
      </c>
      <c r="AD26" s="1333">
        <v>7448</v>
      </c>
      <c r="AE26" s="1413"/>
      <c r="AF26" s="1414"/>
      <c r="AG26" s="1305"/>
      <c r="AH26" s="1369">
        <f t="shared" ref="AH26:AH47" si="30">SUM(B26,P26,V26,Y26,AE26)</f>
        <v>250.02</v>
      </c>
      <c r="AI26" s="1285">
        <f t="shared" ref="AI26:AI47" si="31">SUM(E26,Q26,W26,Z26,AC26,AF26)</f>
        <v>828.64</v>
      </c>
      <c r="AJ26" s="1304">
        <f t="shared" ref="AJ26:AJ47" si="32">SUM(H26,I26,R26,X26,AA26,AD26,AG26)</f>
        <v>7573.06</v>
      </c>
      <c r="AK26" s="1308">
        <v>1998</v>
      </c>
      <c r="AL26" s="1412">
        <v>21045</v>
      </c>
      <c r="AM26" s="1380">
        <v>592471</v>
      </c>
      <c r="AN26" s="1311"/>
      <c r="AO26" s="1299" t="s">
        <v>412</v>
      </c>
      <c r="AP26" s="1312">
        <f t="shared" si="8"/>
        <v>250</v>
      </c>
      <c r="AQ26" s="1313">
        <f t="shared" si="9"/>
        <v>379</v>
      </c>
      <c r="AR26" s="1314">
        <f t="shared" si="10"/>
        <v>124</v>
      </c>
      <c r="AS26" s="1315">
        <f t="shared" si="29"/>
        <v>0.45737594130140957</v>
      </c>
      <c r="AT26" s="1316">
        <f t="shared" ref="AT26:AT42" si="33">AR26/AJ26</f>
        <v>1.6373830393526526E-2</v>
      </c>
      <c r="AU26" s="1317">
        <f t="shared" si="13"/>
        <v>3.8617493724657267E-2</v>
      </c>
      <c r="AV26" s="1318">
        <f t="shared" ref="AV26:AV43" si="34">(SUM(H26,I26,AA26) + SUM(O26,U26)*1.02)/AJ26</f>
        <v>1.6513800233987318E-2</v>
      </c>
      <c r="AW26" s="1319">
        <f t="shared" ref="AW26:AW43" si="35">(SUM(H26,I26) + (O26*1.02))/AJ26</f>
        <v>1.584036043554389E-2</v>
      </c>
    </row>
    <row r="27" spans="1:49" ht="15" x14ac:dyDescent="0.25">
      <c r="A27" s="1320" t="s">
        <v>413</v>
      </c>
      <c r="B27" s="1398">
        <f>SportCatchMaster!S34</f>
        <v>110</v>
      </c>
      <c r="C27" s="1399" t="s">
        <v>324</v>
      </c>
      <c r="D27" s="1389">
        <v>110</v>
      </c>
      <c r="E27" s="1397">
        <f>SportCatchMaster!S36</f>
        <v>561</v>
      </c>
      <c r="F27" s="1400"/>
      <c r="G27" s="1400">
        <v>561</v>
      </c>
      <c r="H27" s="1397">
        <f>SportCatchMaster!T38</f>
        <v>1044</v>
      </c>
      <c r="I27" s="1406"/>
      <c r="J27" s="1407"/>
      <c r="K27" s="1404">
        <f>14+1030</f>
        <v>1044</v>
      </c>
      <c r="L27" s="1405"/>
      <c r="M27" s="1364">
        <f>TreatyCatch!AF$296</f>
        <v>14.5</v>
      </c>
      <c r="N27" s="1365">
        <f>TreatyCatch!AF298</f>
        <v>186.45411908353083</v>
      </c>
      <c r="O27" s="1366">
        <f>TreatyCatch!AG300</f>
        <v>101.04588091646916</v>
      </c>
      <c r="P27" s="1603">
        <f t="shared" si="0"/>
        <v>14.790000000000001</v>
      </c>
      <c r="Q27" s="1603">
        <f t="shared" si="1"/>
        <v>190.18320146520145</v>
      </c>
      <c r="R27" s="1366">
        <f t="shared" si="2"/>
        <v>103.06679853479855</v>
      </c>
      <c r="S27" s="1367">
        <f>'Test Fishery'!AF56</f>
        <v>9</v>
      </c>
      <c r="T27" s="1332">
        <f>'Test Fishery'!AF58</f>
        <v>0</v>
      </c>
      <c r="U27" s="1333">
        <f>'Test Fishery'!AG60</f>
        <v>4</v>
      </c>
      <c r="V27" s="1476">
        <f t="shared" si="3"/>
        <v>9.18</v>
      </c>
      <c r="W27" s="1476">
        <f t="shared" si="4"/>
        <v>0</v>
      </c>
      <c r="X27" s="1475">
        <f t="shared" si="5"/>
        <v>4.08</v>
      </c>
      <c r="Y27" s="1331"/>
      <c r="Z27" s="1331"/>
      <c r="AA27" s="1331"/>
      <c r="AB27" s="1334"/>
      <c r="AC27" s="1410">
        <v>262</v>
      </c>
      <c r="AD27" s="1333">
        <v>7870</v>
      </c>
      <c r="AE27" s="1304">
        <f>13+4+5+5</f>
        <v>27</v>
      </c>
      <c r="AF27" s="1285">
        <f>97+202+78</f>
        <v>377</v>
      </c>
      <c r="AG27" s="1415">
        <v>74</v>
      </c>
      <c r="AH27" s="1369">
        <f t="shared" si="30"/>
        <v>160.97</v>
      </c>
      <c r="AI27" s="1285">
        <f t="shared" si="31"/>
        <v>1390.1832014652014</v>
      </c>
      <c r="AJ27" s="1304">
        <f t="shared" si="32"/>
        <v>9095.146798534799</v>
      </c>
      <c r="AK27" s="1308">
        <v>1999</v>
      </c>
      <c r="AL27" s="1331"/>
      <c r="AM27" s="1380">
        <v>446734</v>
      </c>
      <c r="AN27" s="1311"/>
      <c r="AO27" s="1299" t="s">
        <v>413</v>
      </c>
      <c r="AP27" s="1312">
        <f t="shared" si="8"/>
        <v>133.5</v>
      </c>
      <c r="AQ27" s="1313">
        <f t="shared" si="9"/>
        <v>747.45411908353083</v>
      </c>
      <c r="AR27" s="1314">
        <f t="shared" si="10"/>
        <v>1149.0458809164691</v>
      </c>
      <c r="AS27" s="1315">
        <f t="shared" si="29"/>
        <v>0.53766591215872983</v>
      </c>
      <c r="AT27" s="1316">
        <f t="shared" si="33"/>
        <v>0.12633615557492453</v>
      </c>
      <c r="AU27" s="1317">
        <f t="shared" si="13"/>
        <v>0.13412197679199053</v>
      </c>
      <c r="AV27" s="1318">
        <f t="shared" si="34"/>
        <v>0.12656714883593137</v>
      </c>
      <c r="AW27" s="1319">
        <f t="shared" si="35"/>
        <v>0.12611855794560542</v>
      </c>
    </row>
    <row r="28" spans="1:49" ht="15" x14ac:dyDescent="0.25">
      <c r="A28" s="1320" t="s">
        <v>414</v>
      </c>
      <c r="B28" s="1398">
        <f>SportCatchMaster!U34</f>
        <v>90</v>
      </c>
      <c r="C28" s="1399" t="s">
        <v>324</v>
      </c>
      <c r="D28" s="1389">
        <v>90</v>
      </c>
      <c r="E28" s="1397">
        <f>SportCatchMaster!U36</f>
        <v>497</v>
      </c>
      <c r="F28" s="1400"/>
      <c r="G28" s="1400">
        <v>497</v>
      </c>
      <c r="H28" s="1397">
        <f>SportCatchMaster!V38</f>
        <v>376</v>
      </c>
      <c r="I28" s="1406"/>
      <c r="J28" s="1407">
        <v>2</v>
      </c>
      <c r="K28" s="1404">
        <f>15+361</f>
        <v>376</v>
      </c>
      <c r="L28" s="1405"/>
      <c r="M28" s="1364">
        <f>TreatyCatch!AH$296</f>
        <v>10.333333333333332</v>
      </c>
      <c r="N28" s="1365">
        <f>TreatyCatch!AH298</f>
        <v>176.52476723482911</v>
      </c>
      <c r="O28" s="1366">
        <f>TreatyCatch!AI300</f>
        <v>50.141899431837508</v>
      </c>
      <c r="P28" s="1603">
        <f t="shared" si="0"/>
        <v>10.54</v>
      </c>
      <c r="Q28" s="1603">
        <f t="shared" si="1"/>
        <v>180.0552625795257</v>
      </c>
      <c r="R28" s="1366">
        <f t="shared" si="2"/>
        <v>51.144737420474257</v>
      </c>
      <c r="S28" s="1367">
        <f>'Test Fishery'!AH56</f>
        <v>0</v>
      </c>
      <c r="T28" s="1332">
        <f>'Test Fishery'!AH58</f>
        <v>0</v>
      </c>
      <c r="U28" s="1333">
        <f>'Test Fishery'!AI60</f>
        <v>1</v>
      </c>
      <c r="V28" s="1476">
        <f t="shared" si="3"/>
        <v>0</v>
      </c>
      <c r="W28" s="1476">
        <f t="shared" si="4"/>
        <v>0</v>
      </c>
      <c r="X28" s="1475">
        <f t="shared" si="5"/>
        <v>1.02</v>
      </c>
      <c r="Y28" s="1331"/>
      <c r="Z28" s="1331"/>
      <c r="AA28" s="1331"/>
      <c r="AB28" s="1334"/>
      <c r="AC28" s="1410">
        <v>96</v>
      </c>
      <c r="AD28" s="1333">
        <v>3780</v>
      </c>
      <c r="AE28" s="1304">
        <v>0</v>
      </c>
      <c r="AF28" s="1285">
        <f>57+1</f>
        <v>58</v>
      </c>
      <c r="AG28" s="1416">
        <v>30</v>
      </c>
      <c r="AH28" s="1369">
        <f t="shared" si="30"/>
        <v>100.53999999999999</v>
      </c>
      <c r="AI28" s="1285">
        <f t="shared" si="31"/>
        <v>831.05526257952567</v>
      </c>
      <c r="AJ28" s="1304">
        <f t="shared" si="32"/>
        <v>4238.164737420474</v>
      </c>
      <c r="AK28" s="1308">
        <v>2000</v>
      </c>
      <c r="AL28" s="1331"/>
      <c r="AM28" s="1380">
        <v>463027</v>
      </c>
      <c r="AN28" s="1311"/>
      <c r="AO28" s="1299" t="s">
        <v>414</v>
      </c>
      <c r="AP28" s="1312">
        <f t="shared" si="8"/>
        <v>100.33333333333333</v>
      </c>
      <c r="AQ28" s="1313">
        <f t="shared" si="9"/>
        <v>673.52476723482914</v>
      </c>
      <c r="AR28" s="1314">
        <f t="shared" si="10"/>
        <v>427.14189943183749</v>
      </c>
      <c r="AS28" s="1315">
        <f t="shared" si="29"/>
        <v>0.81044522255266738</v>
      </c>
      <c r="AT28" s="1316">
        <f t="shared" si="33"/>
        <v>0.10078463813839716</v>
      </c>
      <c r="AU28" s="1317">
        <f t="shared" si="13"/>
        <v>0.21241038374140256</v>
      </c>
      <c r="AV28" s="1318">
        <f t="shared" si="34"/>
        <v>0.10102597797580501</v>
      </c>
      <c r="AW28" s="1319">
        <f t="shared" si="35"/>
        <v>0.10078530776518436</v>
      </c>
    </row>
    <row r="29" spans="1:49" ht="15" x14ac:dyDescent="0.25">
      <c r="A29" s="1417" t="s">
        <v>415</v>
      </c>
      <c r="B29" s="1418">
        <f>SportCatchMaster!W34</f>
        <v>155</v>
      </c>
      <c r="C29" s="1419" t="s">
        <v>324</v>
      </c>
      <c r="D29" s="1420">
        <v>155</v>
      </c>
      <c r="E29" s="1397">
        <f>SportCatchMaster!W36</f>
        <v>1572</v>
      </c>
      <c r="F29" s="1400"/>
      <c r="G29" s="1400">
        <v>1572</v>
      </c>
      <c r="H29" s="1397">
        <f>SportCatchMaster!X38</f>
        <v>62</v>
      </c>
      <c r="I29" s="1406">
        <f>SportRelMort!J39</f>
        <v>13.425248835288867</v>
      </c>
      <c r="J29" s="1407"/>
      <c r="K29" s="1421">
        <f>9+53</f>
        <v>62</v>
      </c>
      <c r="L29" s="1422"/>
      <c r="M29" s="1423">
        <f>TreatyCatch!AJ$296</f>
        <v>3.333333333333333</v>
      </c>
      <c r="N29" s="1365">
        <f>TreatyCatch!AJ298</f>
        <v>68.875091575091574</v>
      </c>
      <c r="O29" s="1366">
        <f>TreatyCatch!AK300</f>
        <v>40.791575091575091</v>
      </c>
      <c r="P29" s="1603">
        <f t="shared" si="0"/>
        <v>3.4</v>
      </c>
      <c r="Q29" s="1603">
        <f t="shared" si="1"/>
        <v>70.252593406593405</v>
      </c>
      <c r="R29" s="1366">
        <f t="shared" si="2"/>
        <v>41.607406593406594</v>
      </c>
      <c r="S29" s="1424">
        <f>'Test Fishery'!AJ56</f>
        <v>10</v>
      </c>
      <c r="T29" s="1233">
        <f>'Test Fishery'!AJ58</f>
        <v>0</v>
      </c>
      <c r="U29" s="1341">
        <f>'Test Fishery'!AK60</f>
        <v>11</v>
      </c>
      <c r="V29" s="1476">
        <f t="shared" si="3"/>
        <v>10.199999999999999</v>
      </c>
      <c r="W29" s="1476">
        <f t="shared" si="4"/>
        <v>0</v>
      </c>
      <c r="X29" s="1475">
        <f t="shared" si="5"/>
        <v>11.22</v>
      </c>
      <c r="Y29" s="1193"/>
      <c r="Z29" s="1193"/>
      <c r="AA29" s="1193"/>
      <c r="AB29" s="1342"/>
      <c r="AC29" s="1193">
        <v>290</v>
      </c>
      <c r="AD29" s="1333">
        <v>4584</v>
      </c>
      <c r="AE29" s="1425">
        <f>1+1+1+8</f>
        <v>11</v>
      </c>
      <c r="AF29" s="1426">
        <f>34+39+2</f>
        <v>75</v>
      </c>
      <c r="AG29" s="1427">
        <f>4+3</f>
        <v>7</v>
      </c>
      <c r="AH29" s="1412">
        <f t="shared" si="30"/>
        <v>179.6</v>
      </c>
      <c r="AI29" s="1428">
        <f t="shared" si="31"/>
        <v>2007.2525934065934</v>
      </c>
      <c r="AJ29" s="1304">
        <f t="shared" si="32"/>
        <v>4719.2526554286951</v>
      </c>
      <c r="AK29" s="1308">
        <v>2001</v>
      </c>
      <c r="AL29" s="1331"/>
      <c r="AM29" s="1358">
        <v>463460</v>
      </c>
      <c r="AN29" s="1311" t="s">
        <v>12</v>
      </c>
      <c r="AO29" s="1429" t="s">
        <v>415</v>
      </c>
      <c r="AP29" s="1313">
        <f t="shared" si="8"/>
        <v>168.33333333333334</v>
      </c>
      <c r="AQ29" s="1313">
        <f t="shared" si="9"/>
        <v>1640.8750915750916</v>
      </c>
      <c r="AR29" s="1314">
        <f t="shared" si="10"/>
        <v>127.21682392686395</v>
      </c>
      <c r="AS29" s="1315">
        <f t="shared" si="29"/>
        <v>0.81747314561457007</v>
      </c>
      <c r="AT29" s="1316">
        <f t="shared" si="33"/>
        <v>2.6956985187161508E-2</v>
      </c>
      <c r="AU29" s="1317">
        <f t="shared" si="13"/>
        <v>3.431311624721866E-2</v>
      </c>
      <c r="AV29" s="1318">
        <f t="shared" si="34"/>
        <v>2.7176475767018458E-2</v>
      </c>
      <c r="AW29" s="1319">
        <f t="shared" si="35"/>
        <v>2.4798980680568003E-2</v>
      </c>
    </row>
    <row r="30" spans="1:49" ht="15.75" thickBot="1" x14ac:dyDescent="0.3">
      <c r="A30" s="1430" t="s">
        <v>416</v>
      </c>
      <c r="B30" s="1418">
        <f>SportCatchMaster!Y34</f>
        <v>150</v>
      </c>
      <c r="C30" s="1419" t="s">
        <v>324</v>
      </c>
      <c r="D30" s="1420">
        <v>150</v>
      </c>
      <c r="E30" s="1397">
        <f>SportCatchMaster!Y36</f>
        <v>2860</v>
      </c>
      <c r="F30" s="1400"/>
      <c r="G30" s="1400">
        <v>2860</v>
      </c>
      <c r="H30" s="1397">
        <f>SportCatchMaster!Z38</f>
        <v>132</v>
      </c>
      <c r="I30" s="1406">
        <f>SportRelMort!J40</f>
        <v>16.190669189192299</v>
      </c>
      <c r="J30" s="1407">
        <v>3</v>
      </c>
      <c r="K30" s="1421">
        <f>4+128</f>
        <v>132</v>
      </c>
      <c r="L30" s="1422"/>
      <c r="M30" s="1423">
        <f>TreatyCatch!AL$296</f>
        <v>1</v>
      </c>
      <c r="N30" s="1365">
        <f>TreatyCatch!AL298</f>
        <v>184.08475783475785</v>
      </c>
      <c r="O30" s="1366">
        <f>TreatyCatch!AM300</f>
        <v>106.91524216524218</v>
      </c>
      <c r="P30" s="1603">
        <f t="shared" si="0"/>
        <v>1.02</v>
      </c>
      <c r="Q30" s="1603">
        <f t="shared" si="1"/>
        <v>187.76645299145301</v>
      </c>
      <c r="R30" s="1366">
        <f t="shared" si="2"/>
        <v>109.05354700854703</v>
      </c>
      <c r="S30" s="1424">
        <f>'Test Fishery'!AL56</f>
        <v>1</v>
      </c>
      <c r="T30" s="1332">
        <f>'Test Fishery'!AL58</f>
        <v>2</v>
      </c>
      <c r="U30" s="1333">
        <f>'Test Fishery'!AM60</f>
        <v>4</v>
      </c>
      <c r="V30" s="1476">
        <f t="shared" si="3"/>
        <v>1.02</v>
      </c>
      <c r="W30" s="1476">
        <f t="shared" si="4"/>
        <v>2.04</v>
      </c>
      <c r="X30" s="1475">
        <f t="shared" si="5"/>
        <v>4.08</v>
      </c>
      <c r="Y30" s="1331"/>
      <c r="Z30" s="1331"/>
      <c r="AA30" s="1331"/>
      <c r="AB30" s="1334"/>
      <c r="AC30" s="1331">
        <v>427</v>
      </c>
      <c r="AD30" s="1333">
        <v>5394</v>
      </c>
      <c r="AE30" s="1304">
        <v>0</v>
      </c>
      <c r="AF30" s="1285">
        <f>183+99+1</f>
        <v>283</v>
      </c>
      <c r="AG30" s="1431">
        <v>37</v>
      </c>
      <c r="AH30" s="1412">
        <f t="shared" si="30"/>
        <v>152.04000000000002</v>
      </c>
      <c r="AI30" s="1428">
        <f t="shared" si="31"/>
        <v>3759.8064529914532</v>
      </c>
      <c r="AJ30" s="1304">
        <f t="shared" si="32"/>
        <v>5692.3242161977396</v>
      </c>
      <c r="AK30" s="1308">
        <v>2002</v>
      </c>
      <c r="AL30" s="1331"/>
      <c r="AM30" s="1432">
        <v>473712</v>
      </c>
      <c r="AN30" s="1311" t="s">
        <v>13</v>
      </c>
      <c r="AO30" s="1433" t="s">
        <v>416</v>
      </c>
      <c r="AP30" s="1313">
        <f t="shared" si="8"/>
        <v>152</v>
      </c>
      <c r="AQ30" s="1313">
        <f t="shared" si="9"/>
        <v>3046.084757834758</v>
      </c>
      <c r="AR30" s="1314">
        <f t="shared" si="10"/>
        <v>259.10591135443451</v>
      </c>
      <c r="AS30" s="1315">
        <f t="shared" si="29"/>
        <v>0.81017062870647782</v>
      </c>
      <c r="AT30" s="1316">
        <f t="shared" si="33"/>
        <v>4.5518473915652613E-2</v>
      </c>
      <c r="AU30" s="1317">
        <f t="shared" si="13"/>
        <v>4.896123248267012E-2</v>
      </c>
      <c r="AV30" s="1318">
        <f t="shared" si="34"/>
        <v>4.5908174986612794E-2</v>
      </c>
      <c r="AW30" s="1319">
        <f t="shared" si="35"/>
        <v>4.5191420310484155E-2</v>
      </c>
    </row>
    <row r="31" spans="1:49" ht="15" x14ac:dyDescent="0.25">
      <c r="A31" s="1430" t="s">
        <v>417</v>
      </c>
      <c r="B31" s="1418">
        <f>SportCatchMaster!AA34</f>
        <v>156</v>
      </c>
      <c r="C31" s="1419" t="s">
        <v>324</v>
      </c>
      <c r="D31" s="1420">
        <v>156</v>
      </c>
      <c r="E31" s="1397">
        <f>SportCatchMaster!AA36</f>
        <v>467</v>
      </c>
      <c r="F31" s="1400"/>
      <c r="G31" s="1400">
        <v>467</v>
      </c>
      <c r="H31" s="1397">
        <f>SportCatchMaster!AB38</f>
        <v>0</v>
      </c>
      <c r="I31" s="1406">
        <f>SportRelMort!J41</f>
        <v>19.570732363055861</v>
      </c>
      <c r="J31" s="1407"/>
      <c r="K31" s="1421">
        <v>0</v>
      </c>
      <c r="L31" s="1422"/>
      <c r="M31" s="1423">
        <f>TreatyCatch!AN$296</f>
        <v>4</v>
      </c>
      <c r="N31" s="1365">
        <f>TreatyCatch!AN298</f>
        <v>24.563492063492063</v>
      </c>
      <c r="O31" s="1366">
        <f>TreatyCatch!AO300</f>
        <v>40.436507936507937</v>
      </c>
      <c r="P31" s="1603">
        <f t="shared" si="0"/>
        <v>4.08</v>
      </c>
      <c r="Q31" s="1603">
        <f t="shared" si="1"/>
        <v>25.054761904761904</v>
      </c>
      <c r="R31" s="1366">
        <f t="shared" si="2"/>
        <v>41.245238095238093</v>
      </c>
      <c r="S31" s="1424">
        <f>'Test Fishery'!AN56</f>
        <v>10</v>
      </c>
      <c r="T31" s="1233">
        <f>'Test Fishery'!AN58</f>
        <v>0</v>
      </c>
      <c r="U31" s="1341">
        <f>'Test Fishery'!AO60</f>
        <v>0</v>
      </c>
      <c r="V31" s="1476">
        <f t="shared" si="3"/>
        <v>10.199999999999999</v>
      </c>
      <c r="W31" s="1476">
        <f t="shared" si="4"/>
        <v>0</v>
      </c>
      <c r="X31" s="1475">
        <f t="shared" si="5"/>
        <v>0</v>
      </c>
      <c r="Y31" s="1193"/>
      <c r="Z31" s="1193"/>
      <c r="AA31" s="1193"/>
      <c r="AB31" s="1342"/>
      <c r="AC31" s="1193">
        <v>113</v>
      </c>
      <c r="AD31" s="1331">
        <v>6818</v>
      </c>
      <c r="AE31" s="1415">
        <v>20</v>
      </c>
      <c r="AF31" s="1285">
        <v>18</v>
      </c>
      <c r="AG31" s="1304">
        <v>0</v>
      </c>
      <c r="AH31" s="1412">
        <f t="shared" si="30"/>
        <v>190.28</v>
      </c>
      <c r="AI31" s="1428">
        <f t="shared" si="31"/>
        <v>623.0547619047619</v>
      </c>
      <c r="AJ31" s="1304">
        <f t="shared" si="32"/>
        <v>6878.815970458294</v>
      </c>
      <c r="AK31" s="1308">
        <v>2003</v>
      </c>
      <c r="AL31" s="1331"/>
      <c r="AM31" s="1358">
        <v>513330</v>
      </c>
      <c r="AN31" s="1311"/>
      <c r="AO31" s="1433" t="s">
        <v>417</v>
      </c>
      <c r="AP31" s="1313">
        <f t="shared" si="8"/>
        <v>170</v>
      </c>
      <c r="AQ31" s="1313">
        <f t="shared" si="9"/>
        <v>491.56349206349205</v>
      </c>
      <c r="AR31" s="1314">
        <f t="shared" si="10"/>
        <v>60.007240299563797</v>
      </c>
      <c r="AS31" s="1315">
        <f t="shared" si="29"/>
        <v>0.78895712242165772</v>
      </c>
      <c r="AT31" s="1316">
        <f t="shared" si="33"/>
        <v>8.7234838898540678E-3</v>
      </c>
      <c r="AU31" s="1317">
        <f t="shared" si="13"/>
        <v>3.9424290713063768E-2</v>
      </c>
      <c r="AV31" s="1318">
        <f t="shared" si="34"/>
        <v>8.8410521112170636E-3</v>
      </c>
      <c r="AW31" s="1319">
        <f t="shared" si="35"/>
        <v>8.8410521112170636E-3</v>
      </c>
    </row>
    <row r="32" spans="1:49" ht="15" x14ac:dyDescent="0.25">
      <c r="A32" s="1430" t="s">
        <v>418</v>
      </c>
      <c r="B32" s="1418">
        <f>SportCatchMaster!AC34</f>
        <v>90</v>
      </c>
      <c r="C32" s="1419" t="s">
        <v>324</v>
      </c>
      <c r="D32" s="1420">
        <v>90</v>
      </c>
      <c r="E32" s="1397">
        <f>SportCatchMaster!AC36</f>
        <v>936</v>
      </c>
      <c r="F32" s="1400"/>
      <c r="G32" s="1400">
        <v>936</v>
      </c>
      <c r="H32" s="1397">
        <f>SportCatchMaster!AD38</f>
        <v>0</v>
      </c>
      <c r="I32" s="1406">
        <f>SportRelMort!J42</f>
        <v>21.519647063492791</v>
      </c>
      <c r="J32" s="1407"/>
      <c r="K32" s="1421">
        <v>0</v>
      </c>
      <c r="L32" s="1422"/>
      <c r="M32" s="1423">
        <f>TreatyCatch!AP$296</f>
        <v>0</v>
      </c>
      <c r="N32" s="1365">
        <f>TreatyCatch!AP298</f>
        <v>125.57894736842105</v>
      </c>
      <c r="O32" s="1366">
        <f>TreatyCatch!AQ300</f>
        <v>200.42105263157896</v>
      </c>
      <c r="P32" s="1603">
        <f t="shared" si="0"/>
        <v>0</v>
      </c>
      <c r="Q32" s="1603">
        <f t="shared" si="1"/>
        <v>128.09052631578948</v>
      </c>
      <c r="R32" s="1366">
        <f t="shared" si="2"/>
        <v>204.42947368421054</v>
      </c>
      <c r="S32" s="1424">
        <f>'Test Fishery'!AP56</f>
        <v>0</v>
      </c>
      <c r="T32" s="1233">
        <f>'Test Fishery'!AP58</f>
        <v>0</v>
      </c>
      <c r="U32" s="1341">
        <f>'Test Fishery'!AQ60</f>
        <v>9</v>
      </c>
      <c r="V32" s="1476">
        <f t="shared" si="3"/>
        <v>0</v>
      </c>
      <c r="W32" s="1476">
        <f t="shared" si="4"/>
        <v>0</v>
      </c>
      <c r="X32" s="1475">
        <f t="shared" si="5"/>
        <v>9.18</v>
      </c>
      <c r="Y32" s="1193"/>
      <c r="Z32" s="1193"/>
      <c r="AA32" s="1193"/>
      <c r="AB32" s="1342"/>
      <c r="AC32" s="1193">
        <v>392</v>
      </c>
      <c r="AD32" s="1331">
        <v>7332</v>
      </c>
      <c r="AE32" s="1416">
        <f>16+2</f>
        <v>18</v>
      </c>
      <c r="AF32" s="1285">
        <f>9+26+67+11</f>
        <v>113</v>
      </c>
      <c r="AG32" s="1304">
        <v>0</v>
      </c>
      <c r="AH32" s="1412">
        <f t="shared" si="30"/>
        <v>108</v>
      </c>
      <c r="AI32" s="1428">
        <f t="shared" si="31"/>
        <v>1569.0905263157895</v>
      </c>
      <c r="AJ32" s="1304">
        <f t="shared" si="32"/>
        <v>7567.1291207477034</v>
      </c>
      <c r="AK32" s="1308">
        <v>2004</v>
      </c>
      <c r="AL32" s="1331"/>
      <c r="AM32" s="1358">
        <v>529821</v>
      </c>
      <c r="AN32" s="1311"/>
      <c r="AO32" s="1433" t="s">
        <v>418</v>
      </c>
      <c r="AP32" s="1313">
        <f t="shared" si="8"/>
        <v>90</v>
      </c>
      <c r="AQ32" s="1313">
        <f t="shared" si="9"/>
        <v>1061.578947368421</v>
      </c>
      <c r="AR32" s="1314">
        <f t="shared" si="10"/>
        <v>230.94069969507174</v>
      </c>
      <c r="AS32" s="1315">
        <f t="shared" si="29"/>
        <v>0.67655685224293527</v>
      </c>
      <c r="AT32" s="1316">
        <f t="shared" si="33"/>
        <v>3.0518932082429253E-2</v>
      </c>
      <c r="AU32" s="1317">
        <f t="shared" si="13"/>
        <v>8.0032952377374497E-2</v>
      </c>
      <c r="AV32" s="1318">
        <f t="shared" si="34"/>
        <v>3.1072434075826945E-2</v>
      </c>
      <c r="AW32" s="1319">
        <f t="shared" si="35"/>
        <v>2.9859292360717299E-2</v>
      </c>
    </row>
    <row r="33" spans="1:50" ht="15" x14ac:dyDescent="0.25">
      <c r="A33" s="1430" t="s">
        <v>419</v>
      </c>
      <c r="B33" s="1418">
        <f>SportCatchMaster!AE34</f>
        <v>63</v>
      </c>
      <c r="C33" s="1419" t="s">
        <v>324</v>
      </c>
      <c r="D33" s="1420">
        <v>63</v>
      </c>
      <c r="E33" s="1397">
        <f>SportCatchMaster!AE36</f>
        <v>740</v>
      </c>
      <c r="F33" s="1400"/>
      <c r="G33" s="1400">
        <v>740</v>
      </c>
      <c r="H33" s="1434">
        <f>SportCatchMaster!AF38</f>
        <v>0</v>
      </c>
      <c r="I33" s="1435">
        <f>SportRelMort!AG36+SportRelMort!J43</f>
        <v>19.153412571073883</v>
      </c>
      <c r="J33" s="1407"/>
      <c r="K33" s="1421">
        <v>0</v>
      </c>
      <c r="L33" s="1422"/>
      <c r="M33" s="1423">
        <f>TreatyCatch!AR$296</f>
        <v>0</v>
      </c>
      <c r="N33" s="1365">
        <f>TreatyCatch!AR298</f>
        <v>482.87873589044256</v>
      </c>
      <c r="O33" s="1366">
        <f>TreatyCatch!AS300</f>
        <v>197.12126410955744</v>
      </c>
      <c r="P33" s="1603">
        <f t="shared" si="0"/>
        <v>0</v>
      </c>
      <c r="Q33" s="1603">
        <f t="shared" si="1"/>
        <v>492.53631060825143</v>
      </c>
      <c r="R33" s="1366">
        <f t="shared" si="2"/>
        <v>201.0636893917486</v>
      </c>
      <c r="S33" s="1424">
        <f>'Test Fishery'!AR56</f>
        <v>1</v>
      </c>
      <c r="T33" s="1332">
        <f>'Test Fishery'!AR58</f>
        <v>0</v>
      </c>
      <c r="U33" s="1333">
        <f>'Test Fishery'!AS60</f>
        <v>9</v>
      </c>
      <c r="V33" s="1476">
        <f t="shared" si="3"/>
        <v>1.02</v>
      </c>
      <c r="W33" s="1476">
        <f t="shared" si="4"/>
        <v>0</v>
      </c>
      <c r="X33" s="1475">
        <f t="shared" si="5"/>
        <v>9.18</v>
      </c>
      <c r="Y33" s="1331"/>
      <c r="Z33" s="1331"/>
      <c r="AA33" s="1331"/>
      <c r="AB33" s="1334"/>
      <c r="AC33" s="1331">
        <v>358</v>
      </c>
      <c r="AD33" s="1331">
        <v>6382</v>
      </c>
      <c r="AE33" s="1416">
        <f>5+1</f>
        <v>6</v>
      </c>
      <c r="AF33" s="1285">
        <f>58+17</f>
        <v>75</v>
      </c>
      <c r="AG33" s="1304">
        <v>0</v>
      </c>
      <c r="AH33" s="1412">
        <f t="shared" si="30"/>
        <v>70.02</v>
      </c>
      <c r="AI33" s="1428">
        <f t="shared" si="31"/>
        <v>1665.5363106082514</v>
      </c>
      <c r="AJ33" s="1304">
        <f t="shared" si="32"/>
        <v>6611.3971019628225</v>
      </c>
      <c r="AK33" s="1308">
        <v>2005</v>
      </c>
      <c r="AL33" s="1331"/>
      <c r="AM33" s="1358">
        <v>466100</v>
      </c>
      <c r="AN33" s="1311"/>
      <c r="AO33" s="1433" t="s">
        <v>419</v>
      </c>
      <c r="AP33" s="1313">
        <f t="shared" si="8"/>
        <v>64</v>
      </c>
      <c r="AQ33" s="1313">
        <f t="shared" si="9"/>
        <v>1222.8787358904426</v>
      </c>
      <c r="AR33" s="1314">
        <f t="shared" si="10"/>
        <v>225.27467668063133</v>
      </c>
      <c r="AS33" s="1315">
        <f t="shared" si="29"/>
        <v>0.73422520307818995</v>
      </c>
      <c r="AT33" s="1316">
        <f t="shared" si="33"/>
        <v>3.4073687180845746E-2</v>
      </c>
      <c r="AU33" s="1317">
        <f t="shared" si="13"/>
        <v>0.28992387185728541</v>
      </c>
      <c r="AV33" s="1318">
        <f t="shared" si="34"/>
        <v>3.4697220334067969E-2</v>
      </c>
      <c r="AW33" s="1319">
        <f t="shared" si="35"/>
        <v>3.3308708971276794E-2</v>
      </c>
    </row>
    <row r="34" spans="1:50" ht="15" x14ac:dyDescent="0.25">
      <c r="A34" s="1430" t="s">
        <v>420</v>
      </c>
      <c r="B34" s="1418">
        <f>SportCatchMaster!AG34</f>
        <v>94</v>
      </c>
      <c r="C34" s="1419" t="s">
        <v>324</v>
      </c>
      <c r="D34" s="1420">
        <v>94</v>
      </c>
      <c r="E34" s="1397">
        <f>SportCatchMaster!AG36</f>
        <v>782</v>
      </c>
      <c r="F34" s="1400"/>
      <c r="G34" s="1400">
        <v>782</v>
      </c>
      <c r="H34" s="1397">
        <f>SportCatchMaster!AH38</f>
        <v>0</v>
      </c>
      <c r="I34" s="1406">
        <f>SportRelMort!AH36+SportRelMort!J44</f>
        <v>20.706941491524645</v>
      </c>
      <c r="J34" s="1407"/>
      <c r="K34" s="1421">
        <v>0</v>
      </c>
      <c r="L34" s="1422"/>
      <c r="M34" s="1423">
        <f>TreatyCatch!AT$296</f>
        <v>3</v>
      </c>
      <c r="N34" s="1365">
        <f>TreatyCatch!AT298</f>
        <v>95.074738648775167</v>
      </c>
      <c r="O34" s="1366">
        <f>TreatyCatch!AU300</f>
        <v>276.92526135122483</v>
      </c>
      <c r="P34" s="1603">
        <f t="shared" si="0"/>
        <v>3.06</v>
      </c>
      <c r="Q34" s="1603">
        <f t="shared" si="1"/>
        <v>96.976233421750678</v>
      </c>
      <c r="R34" s="1366">
        <f t="shared" si="2"/>
        <v>282.46376657824936</v>
      </c>
      <c r="S34" s="1424">
        <f>'Test Fishery'!AT56</f>
        <v>0</v>
      </c>
      <c r="T34" s="1436">
        <f>'Test Fishery'!AT58</f>
        <v>0</v>
      </c>
      <c r="U34" s="1304">
        <f>'Test Fishery'!AU60</f>
        <v>10</v>
      </c>
      <c r="V34" s="1476">
        <f t="shared" si="3"/>
        <v>0</v>
      </c>
      <c r="W34" s="1476">
        <f t="shared" si="4"/>
        <v>0</v>
      </c>
      <c r="X34" s="1475">
        <f t="shared" si="5"/>
        <v>10.199999999999999</v>
      </c>
      <c r="Y34" s="1285"/>
      <c r="Z34" s="1285"/>
      <c r="AA34" s="1285"/>
      <c r="AB34" s="1437"/>
      <c r="AC34" s="1285">
        <f>273+10</f>
        <v>283</v>
      </c>
      <c r="AD34" s="1285">
        <v>6757</v>
      </c>
      <c r="AE34" s="1416">
        <v>2</v>
      </c>
      <c r="AF34" s="1285">
        <f>163+74</f>
        <v>237</v>
      </c>
      <c r="AG34" s="1304">
        <v>0</v>
      </c>
      <c r="AH34" s="1412">
        <f t="shared" si="30"/>
        <v>99.06</v>
      </c>
      <c r="AI34" s="1428">
        <f t="shared" si="31"/>
        <v>1398.9762334217507</v>
      </c>
      <c r="AJ34" s="1304">
        <f t="shared" si="32"/>
        <v>7070.3707080697741</v>
      </c>
      <c r="AK34" s="1308">
        <v>2006</v>
      </c>
      <c r="AL34" s="1285"/>
      <c r="AM34" s="1358">
        <v>517000</v>
      </c>
      <c r="AN34" s="1311" t="s">
        <v>14</v>
      </c>
      <c r="AO34" s="1433" t="s">
        <v>420</v>
      </c>
      <c r="AP34" s="1313">
        <f t="shared" si="8"/>
        <v>97</v>
      </c>
      <c r="AQ34" s="1313">
        <f t="shared" si="9"/>
        <v>877.07473864877511</v>
      </c>
      <c r="AR34" s="1314">
        <f t="shared" si="10"/>
        <v>307.63220284274951</v>
      </c>
      <c r="AS34" s="1315">
        <f t="shared" si="29"/>
        <v>0.62694041377925436</v>
      </c>
      <c r="AT34" s="1316">
        <f t="shared" si="33"/>
        <v>4.3510052802695792E-2</v>
      </c>
      <c r="AU34" s="1317">
        <f t="shared" si="13"/>
        <v>6.796022432506392E-2</v>
      </c>
      <c r="AV34" s="1318">
        <f t="shared" si="34"/>
        <v>4.4321680009240257E-2</v>
      </c>
      <c r="AW34" s="1319">
        <f t="shared" si="35"/>
        <v>4.2879039952424258E-2</v>
      </c>
    </row>
    <row r="35" spans="1:50" ht="15.75" thickBot="1" x14ac:dyDescent="0.3">
      <c r="A35" s="1430" t="s">
        <v>421</v>
      </c>
      <c r="B35" s="1418">
        <f>SportCatchMaster!AI34</f>
        <v>42</v>
      </c>
      <c r="C35" s="1419" t="s">
        <v>324</v>
      </c>
      <c r="D35" s="1420">
        <v>42</v>
      </c>
      <c r="E35" s="1397">
        <f>SportCatchMaster!AI36</f>
        <v>1233</v>
      </c>
      <c r="F35" s="1400"/>
      <c r="G35" s="1400">
        <v>1233</v>
      </c>
      <c r="H35" s="1397">
        <f>SportCatchMaster!AJ38</f>
        <v>0</v>
      </c>
      <c r="I35" s="1406">
        <f>SportRelMort!AI36+SportRelMort!J45</f>
        <v>13.925728955765836</v>
      </c>
      <c r="J35" s="1407"/>
      <c r="K35" s="1421">
        <v>0</v>
      </c>
      <c r="L35" s="1422"/>
      <c r="M35" s="1423">
        <f>TreatyCatch!AV$296</f>
        <v>9.7272727272727266</v>
      </c>
      <c r="N35" s="1365">
        <f>TreatyCatch!AV298</f>
        <v>868.26169108669103</v>
      </c>
      <c r="O35" s="1366">
        <f>TreatyCatch!AW300</f>
        <v>438.01103618603622</v>
      </c>
      <c r="P35" s="1603">
        <f t="shared" si="0"/>
        <v>9.9218181818181819</v>
      </c>
      <c r="Q35" s="1603">
        <f t="shared" si="1"/>
        <v>885.62692490842483</v>
      </c>
      <c r="R35" s="1366">
        <f t="shared" si="2"/>
        <v>446.77125690975697</v>
      </c>
      <c r="S35" s="1424">
        <f>'Test Fishery'!AV56</f>
        <v>18</v>
      </c>
      <c r="T35" s="1436">
        <f>'Test Fishery'!AV58</f>
        <v>0</v>
      </c>
      <c r="U35" s="1304">
        <f>'Test Fishery'!AW60</f>
        <v>19</v>
      </c>
      <c r="V35" s="1476">
        <f t="shared" si="3"/>
        <v>18.36</v>
      </c>
      <c r="W35" s="1476">
        <f t="shared" si="4"/>
        <v>0</v>
      </c>
      <c r="X35" s="1475">
        <f t="shared" si="5"/>
        <v>19.38</v>
      </c>
      <c r="Y35" s="1285"/>
      <c r="Z35" s="1285"/>
      <c r="AA35" s="1285"/>
      <c r="AB35" s="1437"/>
      <c r="AC35" s="1285">
        <f>280+27</f>
        <v>307</v>
      </c>
      <c r="AD35" s="1285">
        <v>4113</v>
      </c>
      <c r="AE35" s="1431">
        <f>4+6+2</f>
        <v>12</v>
      </c>
      <c r="AF35" s="1285">
        <f>59+2+36+1+2+4</f>
        <v>104</v>
      </c>
      <c r="AG35" s="1304">
        <v>0</v>
      </c>
      <c r="AH35" s="1412">
        <f t="shared" si="30"/>
        <v>82.281818181818181</v>
      </c>
      <c r="AI35" s="1428">
        <f t="shared" si="31"/>
        <v>2529.6269249084248</v>
      </c>
      <c r="AJ35" s="1304">
        <f t="shared" si="32"/>
        <v>4593.0769858655231</v>
      </c>
      <c r="AK35" s="1308">
        <v>2007</v>
      </c>
      <c r="AL35" s="1285"/>
      <c r="AM35" s="1358">
        <v>511560</v>
      </c>
      <c r="AN35" s="1311" t="s">
        <v>15</v>
      </c>
      <c r="AO35" s="1433" t="s">
        <v>421</v>
      </c>
      <c r="AP35" s="1313">
        <f t="shared" si="8"/>
        <v>69.72727272727272</v>
      </c>
      <c r="AQ35" s="1313">
        <f t="shared" si="9"/>
        <v>2101.2616910866909</v>
      </c>
      <c r="AR35" s="1314">
        <f t="shared" si="10"/>
        <v>470.93676514180208</v>
      </c>
      <c r="AS35" s="1315">
        <f t="shared" si="29"/>
        <v>0.83066070747280607</v>
      </c>
      <c r="AT35" s="1316">
        <f t="shared" si="33"/>
        <v>0.10253186841654002</v>
      </c>
      <c r="AU35" s="1317">
        <f t="shared" si="13"/>
        <v>0.34323705307577046</v>
      </c>
      <c r="AV35" s="1318">
        <f t="shared" si="34"/>
        <v>0.10452186787699939</v>
      </c>
      <c r="AW35" s="1319">
        <f t="shared" si="35"/>
        <v>0.10030247419828708</v>
      </c>
    </row>
    <row r="36" spans="1:50" ht="15" x14ac:dyDescent="0.25">
      <c r="A36" s="1430" t="s">
        <v>422</v>
      </c>
      <c r="B36" s="1418">
        <f>SportCatchMaster!AK34</f>
        <v>69</v>
      </c>
      <c r="C36" s="1419" t="s">
        <v>324</v>
      </c>
      <c r="D36" s="1420">
        <v>69</v>
      </c>
      <c r="E36" s="1397">
        <f>SportCatchMaster!AK36</f>
        <v>1373</v>
      </c>
      <c r="F36" s="1400"/>
      <c r="G36" s="1400">
        <v>1373</v>
      </c>
      <c r="H36" s="1397">
        <f>SportCatchMaster!AL38</f>
        <v>0</v>
      </c>
      <c r="I36" s="1406">
        <f>SportRelMort!AJ36+SportRelMort!J46</f>
        <v>15.38254133954146</v>
      </c>
      <c r="J36" s="1407"/>
      <c r="K36" s="1421">
        <v>0</v>
      </c>
      <c r="L36" s="1422"/>
      <c r="M36" s="1423">
        <f>TreatyCatch!AX296</f>
        <v>1.6666666666666667</v>
      </c>
      <c r="N36" s="1365">
        <f>TreatyCatch!AX298</f>
        <v>347.39333333333332</v>
      </c>
      <c r="O36" s="1366">
        <f>TreatyCatch!AY300</f>
        <v>296.88569999999999</v>
      </c>
      <c r="P36" s="1603">
        <f t="shared" si="0"/>
        <v>1.7000000000000002</v>
      </c>
      <c r="Q36" s="1603">
        <f t="shared" si="1"/>
        <v>354.34120000000001</v>
      </c>
      <c r="R36" s="1366">
        <f t="shared" si="2"/>
        <v>302.82341400000001</v>
      </c>
      <c r="S36" s="1424">
        <f>'Test Fishery'!AX56</f>
        <v>1</v>
      </c>
      <c r="T36" s="1436">
        <f>'Test Fishery'!AX58</f>
        <v>0</v>
      </c>
      <c r="U36" s="1304">
        <f>'Test Fishery'!AY60</f>
        <v>3</v>
      </c>
      <c r="V36" s="1476">
        <f t="shared" si="3"/>
        <v>1.02</v>
      </c>
      <c r="W36" s="1476">
        <f t="shared" si="4"/>
        <v>0</v>
      </c>
      <c r="X36" s="1475">
        <f t="shared" si="5"/>
        <v>3.06</v>
      </c>
      <c r="Y36" s="1285"/>
      <c r="Z36" s="1285"/>
      <c r="AA36" s="1308">
        <f>98*0.1</f>
        <v>9.8000000000000007</v>
      </c>
      <c r="AB36" s="1437"/>
      <c r="AC36" s="1285">
        <v>159</v>
      </c>
      <c r="AD36" s="1304">
        <v>4887</v>
      </c>
      <c r="AE36" s="1304">
        <v>1</v>
      </c>
      <c r="AF36" s="1285">
        <f>17+66+3</f>
        <v>86</v>
      </c>
      <c r="AG36" s="1304">
        <v>0</v>
      </c>
      <c r="AH36" s="1412">
        <f t="shared" si="30"/>
        <v>72.72</v>
      </c>
      <c r="AI36" s="1428">
        <f t="shared" si="31"/>
        <v>1972.3412000000001</v>
      </c>
      <c r="AJ36" s="1304">
        <f t="shared" si="32"/>
        <v>5218.0659553395417</v>
      </c>
      <c r="AK36" s="1308">
        <v>2008</v>
      </c>
      <c r="AL36" s="1285"/>
      <c r="AM36" s="1358">
        <v>235010</v>
      </c>
      <c r="AN36" s="1311" t="s">
        <v>16</v>
      </c>
      <c r="AO36" s="1433" t="s">
        <v>422</v>
      </c>
      <c r="AP36" s="1313">
        <f t="shared" si="8"/>
        <v>71.666666666666671</v>
      </c>
      <c r="AQ36" s="1313">
        <f t="shared" si="9"/>
        <v>1720.3933333333334</v>
      </c>
      <c r="AR36" s="1314">
        <f t="shared" si="10"/>
        <v>325.06824133954143</v>
      </c>
      <c r="AS36" s="1315">
        <f t="shared" si="29"/>
        <v>0.87225949208652809</v>
      </c>
      <c r="AT36" s="1316">
        <f t="shared" si="33"/>
        <v>6.2296690789602926E-2</v>
      </c>
      <c r="AU36" s="1317">
        <f t="shared" si="13"/>
        <v>0.17613247309001775</v>
      </c>
      <c r="AV36" s="1318">
        <f t="shared" si="34"/>
        <v>6.3446104011155385E-2</v>
      </c>
      <c r="AW36" s="1319">
        <f t="shared" si="35"/>
        <v>6.0981589359545695E-2</v>
      </c>
    </row>
    <row r="37" spans="1:50" ht="15" x14ac:dyDescent="0.25">
      <c r="A37" s="1430" t="s">
        <v>423</v>
      </c>
      <c r="B37" s="1418">
        <f>SportCatchMaster!AM34</f>
        <v>38</v>
      </c>
      <c r="C37" s="1419" t="s">
        <v>324</v>
      </c>
      <c r="D37" s="1420">
        <v>38</v>
      </c>
      <c r="E37" s="1397">
        <f>SportCatchMaster!AM36</f>
        <v>352</v>
      </c>
      <c r="F37" s="1400"/>
      <c r="G37" s="1400">
        <v>352</v>
      </c>
      <c r="H37" s="1397">
        <f>SportCatchMaster!AN38</f>
        <v>0</v>
      </c>
      <c r="I37" s="1406">
        <f>SportRelMort!AK36+SportRelMort!J47</f>
        <v>8.102548167925427</v>
      </c>
      <c r="J37" s="1407"/>
      <c r="K37" s="1421">
        <v>0</v>
      </c>
      <c r="L37" s="1422"/>
      <c r="M37" s="1423">
        <f>TreatyCatch!AZ296</f>
        <v>28.833333333333332</v>
      </c>
      <c r="N37" s="1365">
        <f>TreatyCatch!AZ298</f>
        <v>193.8524783634933</v>
      </c>
      <c r="O37" s="1366">
        <f>TreatyCatch!BA300</f>
        <v>123.79718830317337</v>
      </c>
      <c r="P37" s="1603">
        <f t="shared" si="0"/>
        <v>29.41</v>
      </c>
      <c r="Q37" s="1603">
        <f t="shared" si="1"/>
        <v>197.72952793076317</v>
      </c>
      <c r="R37" s="1366">
        <f t="shared" si="2"/>
        <v>126.27313206923684</v>
      </c>
      <c r="S37" s="1424">
        <f>'Test Fishery'!AZ56</f>
        <v>4</v>
      </c>
      <c r="T37" s="1436">
        <f>'Test Fishery'!AZ58</f>
        <v>0</v>
      </c>
      <c r="U37" s="1304">
        <f>'Test Fishery'!BA60</f>
        <v>1</v>
      </c>
      <c r="V37" s="1476">
        <f t="shared" si="3"/>
        <v>4.08</v>
      </c>
      <c r="W37" s="1476">
        <f t="shared" si="4"/>
        <v>0</v>
      </c>
      <c r="X37" s="1475">
        <f t="shared" si="5"/>
        <v>1.02</v>
      </c>
      <c r="Y37" s="1285"/>
      <c r="Z37" s="1285"/>
      <c r="AA37" s="1308">
        <f>85*0.1</f>
        <v>8.5</v>
      </c>
      <c r="AB37" s="1437"/>
      <c r="AC37" s="1285">
        <v>122</v>
      </c>
      <c r="AD37" s="1304">
        <v>2502</v>
      </c>
      <c r="AE37" s="1304">
        <f>1+1+1+1</f>
        <v>4</v>
      </c>
      <c r="AF37" s="1285">
        <f>7+16+5</f>
        <v>28</v>
      </c>
      <c r="AG37" s="1304">
        <v>0</v>
      </c>
      <c r="AH37" s="1412">
        <f t="shared" si="30"/>
        <v>75.489999999999995</v>
      </c>
      <c r="AI37" s="1428">
        <f t="shared" si="31"/>
        <v>699.7295279307632</v>
      </c>
      <c r="AJ37" s="1304">
        <f t="shared" si="32"/>
        <v>2645.8956802371622</v>
      </c>
      <c r="AK37" s="1308">
        <v>2009</v>
      </c>
      <c r="AL37" s="1285"/>
      <c r="AM37" s="1358">
        <v>174000</v>
      </c>
      <c r="AN37" s="1311" t="s">
        <v>17</v>
      </c>
      <c r="AO37" s="1433" t="s">
        <v>423</v>
      </c>
      <c r="AP37" s="1313">
        <f t="shared" si="8"/>
        <v>70.833333333333329</v>
      </c>
      <c r="AQ37" s="1313">
        <f t="shared" si="9"/>
        <v>545.85247836349333</v>
      </c>
      <c r="AR37" s="1314">
        <f t="shared" si="10"/>
        <v>141.39973647109881</v>
      </c>
      <c r="AS37" s="1315">
        <f t="shared" si="29"/>
        <v>0.78009067300287538</v>
      </c>
      <c r="AT37" s="1316">
        <f t="shared" si="33"/>
        <v>5.3441160786212319E-2</v>
      </c>
      <c r="AU37" s="1317">
        <f t="shared" si="13"/>
        <v>0.27703915673925172</v>
      </c>
      <c r="AV37" s="1318">
        <f t="shared" si="34"/>
        <v>5.4384487382459587E-2</v>
      </c>
      <c r="AW37" s="1319">
        <f t="shared" si="35"/>
        <v>5.0786461930773338E-2</v>
      </c>
    </row>
    <row r="38" spans="1:50" ht="15" x14ac:dyDescent="0.25">
      <c r="A38" s="1430" t="s">
        <v>424</v>
      </c>
      <c r="B38" s="1418">
        <f>SportCatchMaster!AO34</f>
        <v>44</v>
      </c>
      <c r="C38" s="1419" t="s">
        <v>324</v>
      </c>
      <c r="D38" s="1420">
        <v>44</v>
      </c>
      <c r="E38" s="1397">
        <f>SportCatchMaster!AO36</f>
        <v>280</v>
      </c>
      <c r="F38" s="1400"/>
      <c r="G38" s="1400">
        <v>280</v>
      </c>
      <c r="H38" s="1397">
        <f>SportCatchMaster!AP38</f>
        <v>0</v>
      </c>
      <c r="I38" s="1406">
        <f>SportRelMort!AL36+SportRelMort!J48</f>
        <v>14.189537219012289</v>
      </c>
      <c r="J38" s="1407"/>
      <c r="K38" s="1421">
        <v>0</v>
      </c>
      <c r="L38" s="1422"/>
      <c r="M38" s="1423">
        <f>TreatyCatch!BB296</f>
        <v>19.25</v>
      </c>
      <c r="N38" s="1365">
        <f>TreatyCatch!BB298</f>
        <v>295.00546558704451</v>
      </c>
      <c r="O38" s="1366">
        <f>TreatyCatch!BC300</f>
        <v>123.02172981295547</v>
      </c>
      <c r="P38" s="1603">
        <f t="shared" si="0"/>
        <v>19.635000000000002</v>
      </c>
      <c r="Q38" s="1603">
        <f t="shared" si="1"/>
        <v>300.9055748987854</v>
      </c>
      <c r="R38" s="1366">
        <f t="shared" si="2"/>
        <v>125.48216440921458</v>
      </c>
      <c r="S38" s="1424">
        <f>'Test Fishery'!BB56</f>
        <v>3</v>
      </c>
      <c r="T38" s="1438">
        <f>'Test Fishery'!BB58</f>
        <v>0</v>
      </c>
      <c r="U38" s="1439">
        <f>'Test Fishery'!BC60</f>
        <v>0.13220000000000001</v>
      </c>
      <c r="V38" s="1476">
        <f t="shared" si="3"/>
        <v>3.06</v>
      </c>
      <c r="W38" s="1476">
        <f t="shared" si="4"/>
        <v>0</v>
      </c>
      <c r="X38" s="1475">
        <f t="shared" si="5"/>
        <v>0.13484400000000002</v>
      </c>
      <c r="Y38" s="1440"/>
      <c r="Z38" s="1440"/>
      <c r="AA38" s="1441">
        <f>152*0.1</f>
        <v>15.200000000000001</v>
      </c>
      <c r="AB38" s="1282"/>
      <c r="AC38" s="1442">
        <f>283+10</f>
        <v>293</v>
      </c>
      <c r="AD38" s="1314">
        <v>3981</v>
      </c>
      <c r="AE38" s="1304">
        <f>2+1+6+3+2</f>
        <v>14</v>
      </c>
      <c r="AF38" s="1313">
        <f>2+6+6</f>
        <v>14</v>
      </c>
      <c r="AG38" s="1304">
        <v>0</v>
      </c>
      <c r="AH38" s="1412">
        <f t="shared" si="30"/>
        <v>80.695000000000007</v>
      </c>
      <c r="AI38" s="1428">
        <f t="shared" si="31"/>
        <v>887.9055748987854</v>
      </c>
      <c r="AJ38" s="1304">
        <f t="shared" si="32"/>
        <v>4136.0065456282264</v>
      </c>
      <c r="AK38" s="1308">
        <v>2010</v>
      </c>
      <c r="AM38" s="1358">
        <v>231500</v>
      </c>
      <c r="AN38" s="1443"/>
      <c r="AO38" s="1433" t="s">
        <v>424</v>
      </c>
      <c r="AP38" s="1313">
        <f t="shared" si="8"/>
        <v>66.25</v>
      </c>
      <c r="AQ38" s="1313">
        <f t="shared" si="9"/>
        <v>575.00546558704445</v>
      </c>
      <c r="AR38" s="1314">
        <f t="shared" si="10"/>
        <v>152.54346703196777</v>
      </c>
      <c r="AS38" s="1315">
        <f t="shared" si="29"/>
        <v>0.64759753947100829</v>
      </c>
      <c r="AT38" s="1316">
        <f t="shared" si="33"/>
        <v>3.688182437554572E-2</v>
      </c>
      <c r="AU38" s="1317">
        <f t="shared" si="13"/>
        <v>0.33224869167047738</v>
      </c>
      <c r="AV38" s="1318">
        <f t="shared" si="34"/>
        <v>3.7477345337392984E-2</v>
      </c>
      <c r="AW38" s="1319">
        <f t="shared" si="35"/>
        <v>3.3769700334700954E-2</v>
      </c>
    </row>
    <row r="39" spans="1:50" ht="11.25" customHeight="1" x14ac:dyDescent="0.25">
      <c r="A39" s="1430" t="s">
        <v>425</v>
      </c>
      <c r="B39" s="1418">
        <f>SportCatchMaster!AQ34</f>
        <v>90</v>
      </c>
      <c r="C39" s="1419" t="s">
        <v>324</v>
      </c>
      <c r="D39" s="1420">
        <v>90</v>
      </c>
      <c r="E39" s="1397">
        <f>SportCatchMaster!AQ36</f>
        <v>675</v>
      </c>
      <c r="F39" s="1400"/>
      <c r="G39" s="1400">
        <v>675</v>
      </c>
      <c r="H39" s="1444">
        <f>SportCatchMaster!AR38</f>
        <v>0</v>
      </c>
      <c r="I39" s="1445">
        <f>SportRelMort!AM36+SportRelMort!J49</f>
        <v>18.886583616369741</v>
      </c>
      <c r="J39" s="1446"/>
      <c r="K39" s="1447">
        <v>0</v>
      </c>
      <c r="L39" s="1448"/>
      <c r="M39" s="1423">
        <f>TreatyCatch!BD296</f>
        <v>10</v>
      </c>
      <c r="N39" s="1365">
        <f>TreatyCatch!BD298</f>
        <v>188.43414781297136</v>
      </c>
      <c r="O39" s="1366">
        <f>TreatyCatch!BE300</f>
        <v>178.19825218702869</v>
      </c>
      <c r="P39" s="1603">
        <f t="shared" si="0"/>
        <v>10.199999999999999</v>
      </c>
      <c r="Q39" s="1603">
        <f t="shared" si="1"/>
        <v>192.20283076923079</v>
      </c>
      <c r="R39" s="1366">
        <f t="shared" si="2"/>
        <v>181.76221723076927</v>
      </c>
      <c r="S39" s="1424">
        <f>'Test Fishery'!BD56</f>
        <v>3</v>
      </c>
      <c r="T39" s="1438">
        <f>'Test Fishery'!BD58</f>
        <v>0</v>
      </c>
      <c r="U39" s="1439">
        <f>'Test Fishery'!BE60</f>
        <v>3.6610000000000005</v>
      </c>
      <c r="V39" s="1476">
        <f t="shared" si="3"/>
        <v>3.06</v>
      </c>
      <c r="W39" s="1476">
        <f t="shared" si="4"/>
        <v>0</v>
      </c>
      <c r="X39" s="1475">
        <f t="shared" si="5"/>
        <v>3.7342200000000005</v>
      </c>
      <c r="Y39" s="1440"/>
      <c r="Z39" s="1440"/>
      <c r="AA39" s="1449">
        <f>253*0.1</f>
        <v>25.3</v>
      </c>
      <c r="AB39" s="1442"/>
      <c r="AC39" s="1442">
        <v>266</v>
      </c>
      <c r="AD39" s="1304">
        <v>5462</v>
      </c>
      <c r="AE39" s="1314">
        <f>3+2+1</f>
        <v>6</v>
      </c>
      <c r="AF39" s="1442">
        <f>6+1+7+1</f>
        <v>15</v>
      </c>
      <c r="AG39" s="1304">
        <v>0</v>
      </c>
      <c r="AH39" s="1412">
        <f t="shared" si="30"/>
        <v>109.26</v>
      </c>
      <c r="AI39" s="1428">
        <f t="shared" si="31"/>
        <v>1148.2028307692308</v>
      </c>
      <c r="AJ39" s="1304">
        <f t="shared" si="32"/>
        <v>5691.6830208471392</v>
      </c>
      <c r="AK39" s="1441">
        <v>2011</v>
      </c>
      <c r="AM39" s="1358">
        <v>240000</v>
      </c>
      <c r="AN39" s="1443"/>
      <c r="AO39" s="1450" t="s">
        <v>425</v>
      </c>
      <c r="AP39" s="1313">
        <f t="shared" si="8"/>
        <v>103</v>
      </c>
      <c r="AQ39" s="1313">
        <f t="shared" si="9"/>
        <v>863.43414781297133</v>
      </c>
      <c r="AR39" s="1314">
        <f t="shared" si="10"/>
        <v>226.04583580339843</v>
      </c>
      <c r="AS39" s="1315">
        <f t="shared" si="29"/>
        <v>0.75198747527431142</v>
      </c>
      <c r="AT39" s="1316">
        <f t="shared" si="33"/>
        <v>3.9715113258319543E-2</v>
      </c>
      <c r="AU39" s="1317">
        <f t="shared" si="13"/>
        <v>0.16411224808314676</v>
      </c>
      <c r="AV39" s="1318">
        <f t="shared" si="34"/>
        <v>4.0354148325876624E-2</v>
      </c>
      <c r="AW39" s="1319">
        <f t="shared" si="35"/>
        <v>3.525298230983967E-2</v>
      </c>
    </row>
    <row r="40" spans="1:50" ht="11.25" customHeight="1" x14ac:dyDescent="0.2">
      <c r="A40" s="1430" t="s">
        <v>426</v>
      </c>
      <c r="B40" s="1418">
        <f>SportCatchMaster!AS34</f>
        <v>46</v>
      </c>
      <c r="C40" s="1419" t="s">
        <v>324</v>
      </c>
      <c r="D40" s="1420">
        <v>46</v>
      </c>
      <c r="E40" s="1397">
        <f>SportCatchMaster!AS36</f>
        <v>1156</v>
      </c>
      <c r="F40" s="1400"/>
      <c r="G40" s="1400">
        <v>1156</v>
      </c>
      <c r="H40" s="1451">
        <f>SportCatchMaster!AT38</f>
        <v>0</v>
      </c>
      <c r="I40" s="1452">
        <f>SportRelMort!AN36+SportRelMort!J50+SportRelMort!AN61</f>
        <v>21.147960974291188</v>
      </c>
      <c r="J40" s="1453"/>
      <c r="K40" s="1454">
        <v>0</v>
      </c>
      <c r="L40" s="1455"/>
      <c r="M40" s="1423">
        <f>TreatyCatch!BF296</f>
        <v>2.2111999999999998</v>
      </c>
      <c r="N40" s="1365">
        <f>TreatyCatch!BF298</f>
        <v>187.57902697921276</v>
      </c>
      <c r="O40" s="1366">
        <f>TreatyCatch!BG300</f>
        <v>153.50899010412058</v>
      </c>
      <c r="P40" s="1603">
        <f t="shared" si="0"/>
        <v>2.2554239999999997</v>
      </c>
      <c r="Q40" s="1603">
        <f t="shared" si="1"/>
        <v>191.33060751879702</v>
      </c>
      <c r="R40" s="1366">
        <f t="shared" si="2"/>
        <v>156.57916990620299</v>
      </c>
      <c r="S40" s="1424">
        <f>'Test Fishery'!BF56</f>
        <v>2</v>
      </c>
      <c r="T40" s="1438">
        <f>'Test Fishery'!BF58</f>
        <v>1</v>
      </c>
      <c r="U40" s="1439">
        <f>'Test Fishery'!BG60</f>
        <v>6.5949</v>
      </c>
      <c r="V40" s="1476">
        <f t="shared" si="3"/>
        <v>2.04</v>
      </c>
      <c r="W40" s="1476">
        <f t="shared" si="4"/>
        <v>1.02</v>
      </c>
      <c r="X40" s="1475">
        <f t="shared" si="5"/>
        <v>6.7267980000000005</v>
      </c>
      <c r="Y40" s="1440"/>
      <c r="Z40" s="1440"/>
      <c r="AA40" s="1449">
        <f>217*0.1</f>
        <v>21.700000000000003</v>
      </c>
      <c r="AB40" s="1442"/>
      <c r="AC40" s="1442">
        <v>264</v>
      </c>
      <c r="AD40" s="1314">
        <v>6185</v>
      </c>
      <c r="AE40" s="1456">
        <v>9</v>
      </c>
      <c r="AF40" s="1313">
        <v>54</v>
      </c>
      <c r="AG40" s="1314">
        <v>0</v>
      </c>
      <c r="AH40" s="1412">
        <f t="shared" si="30"/>
        <v>59.295423999999997</v>
      </c>
      <c r="AI40" s="1428">
        <f t="shared" si="31"/>
        <v>1666.350607518797</v>
      </c>
      <c r="AJ40" s="1304">
        <f t="shared" si="32"/>
        <v>6391.1539288804943</v>
      </c>
      <c r="AK40" s="1441">
        <v>2012</v>
      </c>
      <c r="AM40" s="1358">
        <v>226050</v>
      </c>
      <c r="AN40" s="1443"/>
      <c r="AO40" s="1457" t="s">
        <v>246</v>
      </c>
      <c r="AP40" s="1313">
        <f t="shared" si="8"/>
        <v>50.211199999999998</v>
      </c>
      <c r="AQ40" s="1313">
        <f t="shared" si="9"/>
        <v>1344.5790269792128</v>
      </c>
      <c r="AR40" s="1314">
        <f t="shared" si="10"/>
        <v>202.95185107841178</v>
      </c>
      <c r="AS40" s="1315">
        <f t="shared" si="29"/>
        <v>0.80690043314551707</v>
      </c>
      <c r="AT40" s="1316">
        <f t="shared" si="33"/>
        <v>3.1755118611884507E-2</v>
      </c>
      <c r="AU40" s="1317">
        <f t="shared" si="13"/>
        <v>0.11256876321995568</v>
      </c>
      <c r="AV40" s="1318">
        <f t="shared" si="34"/>
        <v>3.2256135773685725E-2</v>
      </c>
      <c r="AW40" s="1319">
        <f t="shared" si="35"/>
        <v>2.7808300794849691E-2</v>
      </c>
    </row>
    <row r="41" spans="1:50" ht="11.25" customHeight="1" x14ac:dyDescent="0.2">
      <c r="A41" s="1320" t="s">
        <v>427</v>
      </c>
      <c r="B41" s="1418">
        <f>SportCatchMaster!AU34</f>
        <v>35</v>
      </c>
      <c r="C41" s="1419" t="s">
        <v>324</v>
      </c>
      <c r="D41" s="1420">
        <v>35</v>
      </c>
      <c r="E41" s="1406">
        <f>SportCatchMaster!AU36</f>
        <v>466</v>
      </c>
      <c r="F41" s="1458"/>
      <c r="G41" s="1420">
        <v>466</v>
      </c>
      <c r="H41" s="1459">
        <f>SportCatchMaster!AV38</f>
        <v>0</v>
      </c>
      <c r="I41" s="1460">
        <f>SportRelMort!AO36+SportRelMort!J51</f>
        <v>28.819896034865316</v>
      </c>
      <c r="J41" s="1461"/>
      <c r="K41" s="1462">
        <v>0</v>
      </c>
      <c r="L41" s="1463"/>
      <c r="M41" s="1423">
        <f>TreatyCatch!BL296</f>
        <v>27.363476190476192</v>
      </c>
      <c r="N41" s="1365">
        <f>TreatyCatch!BL298</f>
        <v>164.81314135873023</v>
      </c>
      <c r="O41" s="1366">
        <f>TreatyCatch!BM300</f>
        <v>168.49524439255907</v>
      </c>
      <c r="P41" s="1603">
        <f t="shared" si="0"/>
        <v>27.910745714285717</v>
      </c>
      <c r="Q41" s="1603">
        <f t="shared" si="1"/>
        <v>168.10940418590485</v>
      </c>
      <c r="R41" s="1366">
        <f t="shared" si="2"/>
        <v>171.86514928041026</v>
      </c>
      <c r="S41" s="1464">
        <f>'Test Fishery'!BL56</f>
        <v>4.2595000000000001</v>
      </c>
      <c r="T41" s="1438">
        <f>'Test Fishery'!BL58</f>
        <v>0</v>
      </c>
      <c r="U41" s="1439">
        <f>'Test Fishery'!BM60</f>
        <v>3.1858411764705883</v>
      </c>
      <c r="V41" s="1476">
        <f t="shared" si="3"/>
        <v>4.3446899999999999</v>
      </c>
      <c r="W41" s="1476">
        <f t="shared" si="4"/>
        <v>0</v>
      </c>
      <c r="X41" s="1475">
        <f t="shared" si="5"/>
        <v>3.2495579999999999</v>
      </c>
      <c r="Y41" s="1440"/>
      <c r="Z41" s="1440"/>
      <c r="AA41" s="1449">
        <f>44*0.1</f>
        <v>4.4000000000000004</v>
      </c>
      <c r="AB41" s="1442"/>
      <c r="AC41" s="1442">
        <v>197</v>
      </c>
      <c r="AD41" s="1314">
        <v>8727</v>
      </c>
      <c r="AE41" s="1465">
        <v>13</v>
      </c>
      <c r="AF41" s="1442">
        <v>6</v>
      </c>
      <c r="AG41" s="1314">
        <v>0</v>
      </c>
      <c r="AH41" s="1412">
        <f t="shared" si="30"/>
        <v>80.25543571428571</v>
      </c>
      <c r="AI41" s="1428">
        <f t="shared" si="31"/>
        <v>837.10940418590485</v>
      </c>
      <c r="AJ41" s="1304">
        <f t="shared" si="32"/>
        <v>8935.3346033152757</v>
      </c>
      <c r="AK41" s="1441">
        <v>2013</v>
      </c>
      <c r="AM41" s="1358">
        <v>235000</v>
      </c>
      <c r="AN41" s="1443"/>
      <c r="AO41" s="1301" t="s">
        <v>256</v>
      </c>
      <c r="AP41" s="1313">
        <f t="shared" si="8"/>
        <v>66.622976190476194</v>
      </c>
      <c r="AQ41" s="1313">
        <f t="shared" si="9"/>
        <v>630.81314135873026</v>
      </c>
      <c r="AR41" s="1314">
        <f t="shared" si="10"/>
        <v>204.90098160389496</v>
      </c>
      <c r="AS41" s="1315">
        <f t="shared" si="29"/>
        <v>0.75356116919054417</v>
      </c>
      <c r="AT41" s="1316">
        <f t="shared" si="33"/>
        <v>2.2931539858380971E-2</v>
      </c>
      <c r="AU41" s="1317">
        <f t="shared" si="13"/>
        <v>0.19688363376948589</v>
      </c>
      <c r="AV41" s="1318">
        <f t="shared" si="34"/>
        <v>2.3315814411468957E-2</v>
      </c>
      <c r="AW41" s="1319">
        <f t="shared" si="35"/>
        <v>2.245971239183538E-2</v>
      </c>
    </row>
    <row r="42" spans="1:50" ht="11.25" customHeight="1" thickBot="1" x14ac:dyDescent="0.25">
      <c r="A42" s="1320" t="s">
        <v>288</v>
      </c>
      <c r="B42" s="1418">
        <f>SportCatchMaster!AW34</f>
        <v>0</v>
      </c>
      <c r="C42" s="1466" t="s">
        <v>324</v>
      </c>
      <c r="D42" s="1467"/>
      <c r="E42" s="1406">
        <f>SportCatchMaster!AW36</f>
        <v>260</v>
      </c>
      <c r="F42" s="1468"/>
      <c r="G42" s="1467">
        <v>260</v>
      </c>
      <c r="H42" s="1459">
        <f>SportCatchMaster!AX38</f>
        <v>0</v>
      </c>
      <c r="I42" s="1460">
        <f>SportRelMort!AP36+SportRelMort!J52+SportRelMort!AP61</f>
        <v>30.950293008155327</v>
      </c>
      <c r="J42" s="1469"/>
      <c r="K42" s="1470"/>
      <c r="L42" s="1471"/>
      <c r="M42" s="1423">
        <f>TreatyCatch!BR296</f>
        <v>5.3225792249484059</v>
      </c>
      <c r="N42" s="1365">
        <f>TreatyCatch!BR298</f>
        <v>42.732690574712649</v>
      </c>
      <c r="O42" s="1366">
        <f>TreatyCatch!BS300</f>
        <v>208.18053908759904</v>
      </c>
      <c r="P42" s="1603">
        <f t="shared" si="0"/>
        <v>5.429030809447374</v>
      </c>
      <c r="Q42" s="1603">
        <f t="shared" si="1"/>
        <v>43.587344386206901</v>
      </c>
      <c r="R42" s="1366">
        <f t="shared" si="2"/>
        <v>212.34414986935104</v>
      </c>
      <c r="S42" s="1464">
        <f>'Test Fishery'!BR56</f>
        <v>1</v>
      </c>
      <c r="T42" s="1438">
        <f>'Test Fishery'!BR58</f>
        <v>0</v>
      </c>
      <c r="U42" s="1439">
        <f>'Test Fishery'!BS60</f>
        <v>7.5280000000000005</v>
      </c>
      <c r="V42" s="1476">
        <f t="shared" si="3"/>
        <v>1.02</v>
      </c>
      <c r="W42" s="1476">
        <f t="shared" si="4"/>
        <v>0</v>
      </c>
      <c r="X42" s="1475">
        <f t="shared" si="5"/>
        <v>7.6785600000000009</v>
      </c>
      <c r="Y42" s="1440"/>
      <c r="Z42" s="1440"/>
      <c r="AA42" s="1449">
        <f>32*0.1</f>
        <v>3.2</v>
      </c>
      <c r="AB42" s="1442"/>
      <c r="AC42" s="1442">
        <v>74</v>
      </c>
      <c r="AD42" s="1314">
        <v>9084</v>
      </c>
      <c r="AE42" s="1472">
        <v>2</v>
      </c>
      <c r="AF42" s="1442">
        <v>15</v>
      </c>
      <c r="AG42" s="1314">
        <v>0</v>
      </c>
      <c r="AH42" s="1412">
        <f t="shared" si="30"/>
        <v>8.4490308094473736</v>
      </c>
      <c r="AI42" s="1428">
        <f t="shared" si="31"/>
        <v>392.58734438620689</v>
      </c>
      <c r="AJ42" s="1304">
        <f t="shared" si="32"/>
        <v>9338.1730028775055</v>
      </c>
      <c r="AK42" s="1441">
        <v>2014</v>
      </c>
      <c r="AM42" s="1380">
        <v>5100</v>
      </c>
      <c r="AN42" s="1443"/>
      <c r="AO42" s="1301" t="s">
        <v>288</v>
      </c>
      <c r="AP42" s="1313">
        <f t="shared" si="8"/>
        <v>6.3225792249484059</v>
      </c>
      <c r="AQ42" s="1313">
        <f t="shared" si="9"/>
        <v>302.73269057471265</v>
      </c>
      <c r="AR42" s="1314">
        <f t="shared" si="10"/>
        <v>249.85883209575437</v>
      </c>
      <c r="AS42" s="1315">
        <f t="shared" si="29"/>
        <v>0.77112187874528137</v>
      </c>
      <c r="AT42" s="1316">
        <f t="shared" si="33"/>
        <v>2.6756714832629657E-2</v>
      </c>
      <c r="AU42" s="1317">
        <f t="shared" si="13"/>
        <v>0.1088488744881049</v>
      </c>
      <c r="AV42" s="1318">
        <f t="shared" si="34"/>
        <v>2.7218707856363804E-2</v>
      </c>
      <c r="AW42" s="1319">
        <f t="shared" si="35"/>
        <v>2.6053751927977403E-2</v>
      </c>
    </row>
    <row r="43" spans="1:50" ht="11.25" customHeight="1" x14ac:dyDescent="0.2">
      <c r="A43" s="1300" t="s">
        <v>334</v>
      </c>
      <c r="B43" s="1418">
        <f>SportCatchMaster!AY34</f>
        <v>13</v>
      </c>
      <c r="C43" s="1473"/>
      <c r="D43" s="1418"/>
      <c r="E43" s="1406">
        <f>SportCatchMaster!AY36</f>
        <v>393</v>
      </c>
      <c r="F43" s="1418"/>
      <c r="G43" s="1418"/>
      <c r="H43" s="1459">
        <f>SportCatchMaster!AZ38</f>
        <v>0</v>
      </c>
      <c r="I43" s="1460">
        <f>SportRelMort!AQ36+SportRelMort!J53+SportRelMort!AQ61</f>
        <v>30.070789141650636</v>
      </c>
      <c r="J43" s="1459"/>
      <c r="K43" s="1459"/>
      <c r="L43" s="1459"/>
      <c r="M43" s="1423">
        <f>TreatyCatch!BX296</f>
        <v>14.020133333333334</v>
      </c>
      <c r="N43" s="1365">
        <f>TreatyCatch!BX298</f>
        <v>77.624406722689073</v>
      </c>
      <c r="O43" s="1366">
        <f>TreatyCatch!BY300</f>
        <v>73.116105277310936</v>
      </c>
      <c r="P43" s="1603">
        <f t="shared" si="0"/>
        <v>14.300536000000001</v>
      </c>
      <c r="Q43" s="1603">
        <f t="shared" si="1"/>
        <v>79.176894857142855</v>
      </c>
      <c r="R43" s="1366">
        <f t="shared" si="2"/>
        <v>74.578427382857157</v>
      </c>
      <c r="S43" s="1464">
        <f>'Test Fishery'!BX56</f>
        <v>5</v>
      </c>
      <c r="T43" s="1474">
        <f>'Test Fishery'!BX58</f>
        <v>0</v>
      </c>
      <c r="U43" s="1475">
        <f>'Test Fishery'!BY60</f>
        <v>1.4339999999999999</v>
      </c>
      <c r="V43" s="1476">
        <f t="shared" si="3"/>
        <v>5.0999999999999996</v>
      </c>
      <c r="W43" s="1476">
        <f t="shared" si="4"/>
        <v>0</v>
      </c>
      <c r="X43" s="1475">
        <f t="shared" si="5"/>
        <v>1.46268</v>
      </c>
      <c r="Y43" s="1476"/>
      <c r="Z43" s="1476"/>
      <c r="AA43" s="1477">
        <f>156*0.1</f>
        <v>15.600000000000001</v>
      </c>
      <c r="AB43" s="1442"/>
      <c r="AC43" s="1442">
        <v>45</v>
      </c>
      <c r="AD43" s="1314">
        <v>8644</v>
      </c>
      <c r="AE43" s="1478">
        <v>5</v>
      </c>
      <c r="AF43" s="1479">
        <v>15</v>
      </c>
      <c r="AG43" s="1366">
        <v>0</v>
      </c>
      <c r="AH43" s="1412">
        <f t="shared" si="30"/>
        <v>37.400536000000002</v>
      </c>
      <c r="AI43" s="1428">
        <f t="shared" si="31"/>
        <v>532.17689485714288</v>
      </c>
      <c r="AJ43" s="1304">
        <f t="shared" si="32"/>
        <v>8765.7118965245081</v>
      </c>
      <c r="AK43" s="1441">
        <v>2015</v>
      </c>
      <c r="AM43" s="1380">
        <v>0</v>
      </c>
      <c r="AN43" s="1443"/>
      <c r="AO43" s="1301" t="s">
        <v>334</v>
      </c>
      <c r="AP43" s="1313">
        <f t="shared" si="8"/>
        <v>32.020133333333334</v>
      </c>
      <c r="AQ43" s="1313">
        <f t="shared" si="9"/>
        <v>470.62440672268906</v>
      </c>
      <c r="AR43" s="1314">
        <f t="shared" si="10"/>
        <v>120.22089441896156</v>
      </c>
      <c r="AS43" s="1315">
        <f t="shared" ref="AS43" si="36">AQ43/AI43</f>
        <v>0.88433829290732935</v>
      </c>
      <c r="AT43" s="1316">
        <f t="shared" ref="AT43" si="37">AR43/AJ43</f>
        <v>1.3714903688156532E-2</v>
      </c>
      <c r="AU43" s="1317">
        <f t="shared" si="13"/>
        <v>0.14586203849290846</v>
      </c>
      <c r="AV43" s="1318">
        <f t="shared" si="34"/>
        <v>1.3884998498840121E-2</v>
      </c>
      <c r="AW43" s="1319">
        <f t="shared" si="35"/>
        <v>1.1938473196455369E-2</v>
      </c>
    </row>
    <row r="44" spans="1:50" ht="11.25" customHeight="1" x14ac:dyDescent="0.2">
      <c r="A44" s="1300" t="s">
        <v>362</v>
      </c>
      <c r="B44" s="1418">
        <f>SportCatchMaster!BA34</f>
        <v>11</v>
      </c>
      <c r="C44" s="1473"/>
      <c r="D44" s="1418"/>
      <c r="E44" s="1406">
        <f>SportCatchMaster!BA36</f>
        <v>121</v>
      </c>
      <c r="F44" s="1418"/>
      <c r="G44" s="1418"/>
      <c r="H44" s="1459">
        <f>SportCatchMaster!BB38</f>
        <v>0</v>
      </c>
      <c r="I44" s="1460">
        <f>SportRelMort!AR36+SportRelMort!J54+SportRelMort!AR61</f>
        <v>25.399660120104155</v>
      </c>
      <c r="J44" s="1459"/>
      <c r="K44" s="1459"/>
      <c r="L44" s="1459"/>
      <c r="M44" s="1423">
        <f>TreatyCatch!CD296</f>
        <v>14.342500000000001</v>
      </c>
      <c r="N44" s="1365">
        <f>TreatyCatch!CD298</f>
        <v>2</v>
      </c>
      <c r="O44" s="1366">
        <f>TreatyCatch!CE300</f>
        <v>40.492467500000011</v>
      </c>
      <c r="P44" s="1603">
        <f t="shared" si="0"/>
        <v>14.629350000000002</v>
      </c>
      <c r="Q44" s="1603">
        <f t="shared" si="1"/>
        <v>2.04</v>
      </c>
      <c r="R44" s="1366">
        <f t="shared" si="2"/>
        <v>41.302316850000011</v>
      </c>
      <c r="S44" s="1464">
        <f>'Test Fishery'!CD56</f>
        <v>1</v>
      </c>
      <c r="T44" s="1474">
        <f>'Test Fishery'!CD58</f>
        <v>1</v>
      </c>
      <c r="U44" s="1475">
        <f>'Test Fishery'!CE60</f>
        <v>6.5309999999999988</v>
      </c>
      <c r="V44" s="1476">
        <f t="shared" si="3"/>
        <v>1.02</v>
      </c>
      <c r="W44" s="1476">
        <f t="shared" si="4"/>
        <v>1.02</v>
      </c>
      <c r="X44" s="1475">
        <f t="shared" si="5"/>
        <v>6.6616199999999992</v>
      </c>
      <c r="Y44" s="1476"/>
      <c r="Z44" s="1476"/>
      <c r="AA44" s="1477">
        <f>183*0.1</f>
        <v>18.3</v>
      </c>
      <c r="AB44" s="1442"/>
      <c r="AC44" s="1442">
        <v>0</v>
      </c>
      <c r="AD44" s="1366">
        <v>7926</v>
      </c>
      <c r="AE44" s="1478">
        <v>2</v>
      </c>
      <c r="AF44" s="1479">
        <v>0</v>
      </c>
      <c r="AG44" s="1366">
        <v>0</v>
      </c>
      <c r="AH44" s="1412">
        <f t="shared" si="30"/>
        <v>28.649350000000002</v>
      </c>
      <c r="AI44" s="1428">
        <f t="shared" si="31"/>
        <v>124.06</v>
      </c>
      <c r="AJ44" s="1304">
        <f t="shared" si="32"/>
        <v>8017.6635969701038</v>
      </c>
      <c r="AK44" s="1441">
        <v>2016</v>
      </c>
      <c r="AM44" s="1380">
        <v>0</v>
      </c>
      <c r="AN44" s="1443"/>
      <c r="AO44" s="1301" t="s">
        <v>362</v>
      </c>
      <c r="AP44" s="1313">
        <f t="shared" si="8"/>
        <v>26.342500000000001</v>
      </c>
      <c r="AQ44" s="1313">
        <f t="shared" si="9"/>
        <v>124</v>
      </c>
      <c r="AR44" s="1314">
        <f t="shared" si="10"/>
        <v>90.723127620104165</v>
      </c>
      <c r="AS44" s="1315">
        <f t="shared" ref="AS44" si="38">AQ44/AI44</f>
        <v>0.99951636305013702</v>
      </c>
      <c r="AT44" s="1316">
        <f t="shared" ref="AT44" si="39">AR44/AJ44</f>
        <v>1.1315407103684005E-2</v>
      </c>
      <c r="AU44" s="1317">
        <f t="shared" si="13"/>
        <v>1.6121231662098983E-2</v>
      </c>
      <c r="AV44" s="1480">
        <f>(SUM(H44,I44,AA44) + (SUM(O44,U44)-19)*1.02+19)/AJ44</f>
        <v>1.1385311427209353E-2</v>
      </c>
      <c r="AW44" s="1481">
        <f>(SUM(H44,I44) + ((O44-19)*1.02)+19)/AJ44</f>
        <v>8.2719829995321105E-3</v>
      </c>
      <c r="AX44" s="93" t="s">
        <v>428</v>
      </c>
    </row>
    <row r="45" spans="1:50" ht="11.25" customHeight="1" x14ac:dyDescent="0.2">
      <c r="A45" s="1300" t="s">
        <v>383</v>
      </c>
      <c r="B45" s="1418">
        <f>SportCatchMaster!BC34</f>
        <v>19</v>
      </c>
      <c r="C45" s="1473"/>
      <c r="D45" s="1418"/>
      <c r="E45" s="1397">
        <f>SportCatchMaster!BC36</f>
        <v>23</v>
      </c>
      <c r="F45" s="1418"/>
      <c r="G45" s="1418"/>
      <c r="H45" s="1459">
        <f>SportCatchMaster!BD38</f>
        <v>0</v>
      </c>
      <c r="I45" s="1460">
        <f>SportRelMort!AS36+SportRelMort!J56+SportRelMort!AS61</f>
        <v>21.458809032224075</v>
      </c>
      <c r="J45" s="1459"/>
      <c r="K45" s="1459"/>
      <c r="L45" s="1459"/>
      <c r="M45" s="1423">
        <f>TreatyCatch!CJ296</f>
        <v>0</v>
      </c>
      <c r="N45" s="1365">
        <f>TreatyCatch!CJ298</f>
        <v>0</v>
      </c>
      <c r="O45" s="1366">
        <f>TreatyCatch!CK300</f>
        <v>7.9281800000000002</v>
      </c>
      <c r="P45" s="1603">
        <f t="shared" si="0"/>
        <v>0</v>
      </c>
      <c r="Q45" s="1603">
        <f t="shared" si="1"/>
        <v>0</v>
      </c>
      <c r="R45" s="1366">
        <f t="shared" si="2"/>
        <v>8.0867436000000001</v>
      </c>
      <c r="S45" s="1464">
        <f>'Test Fishery'!CJ56</f>
        <v>2</v>
      </c>
      <c r="T45" s="1474">
        <f>'Test Fishery'!CJ58</f>
        <v>2.0878000000000001</v>
      </c>
      <c r="U45" s="1475">
        <f>'Test Fishery'!CK60</f>
        <v>81.103518000000008</v>
      </c>
      <c r="V45" s="1476">
        <f t="shared" si="3"/>
        <v>2.04</v>
      </c>
      <c r="W45" s="1476">
        <f t="shared" si="4"/>
        <v>2.129556</v>
      </c>
      <c r="X45" s="1475">
        <f t="shared" si="5"/>
        <v>82.725588360000003</v>
      </c>
      <c r="Y45" s="1476"/>
      <c r="Z45" s="1476"/>
      <c r="AA45" s="1477">
        <v>0</v>
      </c>
      <c r="AB45" s="1442"/>
      <c r="AC45" s="1442">
        <v>0</v>
      </c>
      <c r="AD45" s="1366">
        <v>6380</v>
      </c>
      <c r="AE45" s="1256">
        <v>4</v>
      </c>
      <c r="AF45" s="1479">
        <v>0</v>
      </c>
      <c r="AG45" s="1366">
        <v>0</v>
      </c>
      <c r="AH45" s="1412">
        <f t="shared" si="30"/>
        <v>25.04</v>
      </c>
      <c r="AI45" s="1428">
        <f t="shared" si="31"/>
        <v>25.129556000000001</v>
      </c>
      <c r="AJ45" s="1304">
        <f t="shared" si="32"/>
        <v>6492.271140992224</v>
      </c>
      <c r="AK45" s="1441">
        <v>2017</v>
      </c>
      <c r="AM45" s="1380">
        <v>0</v>
      </c>
      <c r="AN45" s="1443"/>
      <c r="AO45" s="1301" t="s">
        <v>383</v>
      </c>
      <c r="AP45" s="1313">
        <f t="shared" si="8"/>
        <v>21</v>
      </c>
      <c r="AQ45" s="1313">
        <f t="shared" si="9"/>
        <v>25.087800000000001</v>
      </c>
      <c r="AR45" s="1314">
        <f t="shared" si="10"/>
        <v>110.49050703222409</v>
      </c>
      <c r="AS45" s="1315">
        <f t="shared" ref="AS45" si="40">AQ45/AI45</f>
        <v>0.99833837096047384</v>
      </c>
      <c r="AT45" s="1316">
        <f t="shared" ref="AT45" si="41">AR45/AJ45</f>
        <v>1.7018775807835045E-2</v>
      </c>
      <c r="AU45" s="1317">
        <f t="shared" si="13"/>
        <v>0</v>
      </c>
      <c r="AV45" s="1480">
        <f>(SUM(H45,I45,AA45) + (SUM(O45,U45)-SUM('Test Fishery'!CO8:CO21))*1.02+SUM('Test Fishery'!CO8:CO21))/AJ45</f>
        <v>1.7053522908672476E-2</v>
      </c>
      <c r="AW45" s="1319">
        <f t="shared" ref="AW45:AW50" si="42">(SUM(H45,I45) + (O45*1.02))/AJ45</f>
        <v>4.5508808844524906E-3</v>
      </c>
      <c r="AX45" s="93" t="s">
        <v>445</v>
      </c>
    </row>
    <row r="46" spans="1:50" ht="11.25" customHeight="1" x14ac:dyDescent="0.2">
      <c r="A46" s="1570" t="s">
        <v>448</v>
      </c>
      <c r="B46" s="1418">
        <f>SportCatchMaster!BE34</f>
        <v>0</v>
      </c>
      <c r="C46" s="1473"/>
      <c r="D46" s="1418"/>
      <c r="E46" s="1397">
        <f>SportCatchMaster!BE36</f>
        <v>28</v>
      </c>
      <c r="F46" s="1418"/>
      <c r="G46" s="1418"/>
      <c r="H46" s="1459">
        <f>SportCatchMaster!BF38+SportRelMort!AT107</f>
        <v>0</v>
      </c>
      <c r="I46" s="1460">
        <f>SportRelMort!AT36+SportRelMort!J57+SportRelMort!AT61+SportRelMort!AT110</f>
        <v>75.518970837998495</v>
      </c>
      <c r="J46" s="1459"/>
      <c r="K46" s="1459"/>
      <c r="L46" s="1459"/>
      <c r="M46" s="1423">
        <f>TreatyCatch!CP296</f>
        <v>0</v>
      </c>
      <c r="N46" s="1365">
        <f>TreatyCatch!CP298</f>
        <v>1</v>
      </c>
      <c r="O46" s="1366">
        <f>TreatyCatch!CQ300</f>
        <v>37.448546666666665</v>
      </c>
      <c r="P46" s="1603">
        <f t="shared" si="0"/>
        <v>0</v>
      </c>
      <c r="Q46" s="1603">
        <f t="shared" si="1"/>
        <v>1.02</v>
      </c>
      <c r="R46" s="1366">
        <f t="shared" si="2"/>
        <v>38.197517599999998</v>
      </c>
      <c r="S46" s="1464">
        <f>'Test Fishery'!CP56</f>
        <v>6.0877999999999997</v>
      </c>
      <c r="T46" s="1474">
        <f>'Test Fishery'!CP58</f>
        <v>0</v>
      </c>
      <c r="U46" s="1475">
        <f>'Test Fishery'!CQ60</f>
        <v>1.8679999999999999</v>
      </c>
      <c r="V46" s="1476">
        <f t="shared" si="3"/>
        <v>6.2095560000000001</v>
      </c>
      <c r="W46" s="1476">
        <f t="shared" si="4"/>
        <v>0</v>
      </c>
      <c r="X46" s="1475">
        <f t="shared" si="5"/>
        <v>1.9053599999999999</v>
      </c>
      <c r="Y46" s="1476"/>
      <c r="Z46" s="1476"/>
      <c r="AA46" s="1477">
        <v>0</v>
      </c>
      <c r="AB46" s="1442"/>
      <c r="AC46" s="1442">
        <v>0</v>
      </c>
      <c r="AD46" s="1366">
        <v>6084</v>
      </c>
      <c r="AE46" s="1256">
        <v>2</v>
      </c>
      <c r="AF46" s="1479">
        <v>0</v>
      </c>
      <c r="AG46" s="1366">
        <v>0</v>
      </c>
      <c r="AH46" s="1412">
        <f t="shared" si="30"/>
        <v>8.2095559999999992</v>
      </c>
      <c r="AI46" s="1428">
        <f t="shared" si="31"/>
        <v>29.02</v>
      </c>
      <c r="AJ46" s="1304">
        <f t="shared" si="32"/>
        <v>6199.6218484379988</v>
      </c>
      <c r="AK46" s="1441">
        <v>2018</v>
      </c>
      <c r="AM46" s="1380">
        <v>0</v>
      </c>
      <c r="AN46" s="1443"/>
      <c r="AO46" s="1680" t="s">
        <v>448</v>
      </c>
      <c r="AP46" s="1313">
        <f t="shared" si="8"/>
        <v>6.0877999999999997</v>
      </c>
      <c r="AQ46" s="1313">
        <f t="shared" si="9"/>
        <v>29</v>
      </c>
      <c r="AR46" s="1314">
        <f t="shared" si="10"/>
        <v>114.83551750466515</v>
      </c>
      <c r="AS46" s="1315">
        <f t="shared" ref="AS46" si="43">AQ46/AI46</f>
        <v>0.99931082012405237</v>
      </c>
      <c r="AT46" s="1316">
        <f t="shared" ref="AT46" si="44">AR46/AJ46</f>
        <v>1.8522987419563031E-2</v>
      </c>
      <c r="AU46" s="1317">
        <f t="shared" si="13"/>
        <v>3.445899379738112E-2</v>
      </c>
      <c r="AV46" s="1318">
        <f t="shared" ref="AV46:AV51" si="45">(SUM(H46,I46,AA46) + SUM(O46,U46)*1.02)/AJ46</f>
        <v>1.864982272541825E-2</v>
      </c>
      <c r="AW46" s="1319">
        <f t="shared" si="42"/>
        <v>1.8342487851359755E-2</v>
      </c>
      <c r="AX46" s="93"/>
    </row>
    <row r="47" spans="1:50" ht="11.25" customHeight="1" x14ac:dyDescent="0.2">
      <c r="A47" s="1570" t="s">
        <v>466</v>
      </c>
      <c r="B47" s="1418">
        <f>SportCatchMaster!BG34</f>
        <v>15</v>
      </c>
      <c r="C47" s="1473"/>
      <c r="D47" s="1418"/>
      <c r="E47" s="1397">
        <f>SportCatchMaster!BG36</f>
        <v>25</v>
      </c>
      <c r="F47" s="1418"/>
      <c r="G47" s="1418"/>
      <c r="H47" s="1459">
        <f>SportCatchMaster!BH38+SportRelMort!AU107</f>
        <v>0</v>
      </c>
      <c r="I47" s="1460">
        <f>SportRelMort!AU36+SportRelMort!J58+SportRelMort!AU61+SportRelMort!AU110+SportRelMort!AU15</f>
        <v>128.89902749643474</v>
      </c>
      <c r="J47" s="1459"/>
      <c r="K47" s="1459"/>
      <c r="L47" s="1459"/>
      <c r="M47" s="1423">
        <f>TreatyCatch!CV296</f>
        <v>16.933333333333334</v>
      </c>
      <c r="N47" s="1365">
        <f>TreatyCatch!CV298</f>
        <v>0</v>
      </c>
      <c r="O47" s="1366">
        <f>TreatyCatch!CW300</f>
        <v>154.68114000000003</v>
      </c>
      <c r="P47" s="1603">
        <f t="shared" si="0"/>
        <v>17.272000000000002</v>
      </c>
      <c r="Q47" s="1603">
        <f t="shared" si="1"/>
        <v>0</v>
      </c>
      <c r="R47" s="1366">
        <f t="shared" si="2"/>
        <v>157.77476280000002</v>
      </c>
      <c r="S47" s="1464">
        <f>'Test Fishery'!CV56</f>
        <v>3</v>
      </c>
      <c r="T47" s="1474">
        <f>'Test Fishery'!CV58</f>
        <v>0</v>
      </c>
      <c r="U47" s="1475">
        <f>'Test Fishery'!CW60</f>
        <v>37.064746</v>
      </c>
      <c r="V47" s="1476">
        <f t="shared" si="3"/>
        <v>3.06</v>
      </c>
      <c r="W47" s="1476">
        <f t="shared" si="4"/>
        <v>0</v>
      </c>
      <c r="X47" s="1475">
        <f t="shared" si="5"/>
        <v>37.806040920000001</v>
      </c>
      <c r="Y47" s="1476"/>
      <c r="Z47" s="1476"/>
      <c r="AA47" s="1477">
        <v>0</v>
      </c>
      <c r="AB47" s="1442"/>
      <c r="AC47" s="1442">
        <v>0</v>
      </c>
      <c r="AD47" s="1366">
        <v>4314</v>
      </c>
      <c r="AE47" s="1478">
        <v>2</v>
      </c>
      <c r="AF47" s="1479">
        <v>2</v>
      </c>
      <c r="AG47" s="1366">
        <v>0</v>
      </c>
      <c r="AH47" s="1412">
        <f t="shared" si="30"/>
        <v>37.332000000000008</v>
      </c>
      <c r="AI47" s="1428">
        <f t="shared" si="31"/>
        <v>27</v>
      </c>
      <c r="AJ47" s="1304">
        <f t="shared" si="32"/>
        <v>4638.4798312164348</v>
      </c>
      <c r="AK47" s="1441">
        <v>2019</v>
      </c>
      <c r="AM47" s="1380">
        <v>0</v>
      </c>
      <c r="AN47" s="1443"/>
      <c r="AO47" s="1680" t="s">
        <v>466</v>
      </c>
      <c r="AP47" s="1313">
        <f t="shared" si="8"/>
        <v>34.933333333333337</v>
      </c>
      <c r="AQ47" s="1313">
        <f t="shared" si="9"/>
        <v>25</v>
      </c>
      <c r="AR47" s="1314">
        <f t="shared" si="10"/>
        <v>320.64491349643481</v>
      </c>
      <c r="AS47" s="1315">
        <f>AQ47/AI47</f>
        <v>0.92592592592592593</v>
      </c>
      <c r="AT47" s="1316">
        <f t="shared" ref="AT47" si="46">AR47/AJ47</f>
        <v>6.9127154836058899E-2</v>
      </c>
      <c r="AU47" s="1317">
        <f t="shared" si="13"/>
        <v>0</v>
      </c>
      <c r="AV47" s="1318">
        <f t="shared" si="45"/>
        <v>6.9953916589810927E-2</v>
      </c>
      <c r="AW47" s="1319">
        <f t="shared" si="42"/>
        <v>6.1803392647555168E-2</v>
      </c>
      <c r="AX47" s="93"/>
    </row>
    <row r="48" spans="1:50" ht="11.25" customHeight="1" x14ac:dyDescent="0.2">
      <c r="A48" s="1570" t="s">
        <v>480</v>
      </c>
      <c r="B48" s="1418">
        <f>SportCatchMaster!BI34</f>
        <v>0</v>
      </c>
      <c r="C48" s="1473"/>
      <c r="D48" s="1418"/>
      <c r="E48" s="1397">
        <f>SportCatchMaster!BI36</f>
        <v>22</v>
      </c>
      <c r="F48" s="1418"/>
      <c r="G48" s="1418"/>
      <c r="H48" s="1459">
        <f>SportCatchMaster!BJ38+SportRelMort!AV107</f>
        <v>0</v>
      </c>
      <c r="I48" s="1460">
        <f>SportRelMort!AV36+SportRelMort!J59+SportRelMort!AV61+SportRelMort!AV110+SportRelMort!AV15</f>
        <v>10.99186143345433</v>
      </c>
      <c r="J48" s="1459"/>
      <c r="K48" s="1459"/>
      <c r="L48" s="1459"/>
      <c r="M48" s="1423">
        <f>TreatyCatch!DB296</f>
        <v>5.2159799999999992</v>
      </c>
      <c r="N48" s="1365">
        <f>TreatyCatch!DB298</f>
        <v>0</v>
      </c>
      <c r="O48" s="1366">
        <f>TreatyCatch!DC300</f>
        <v>41.826760000000007</v>
      </c>
      <c r="P48" s="1603">
        <f t="shared" ref="P48:R49" si="47">M48*1.02</f>
        <v>5.3202995999999994</v>
      </c>
      <c r="Q48" s="1603">
        <f t="shared" si="47"/>
        <v>0</v>
      </c>
      <c r="R48" s="1366">
        <f t="shared" si="47"/>
        <v>42.663295200000007</v>
      </c>
      <c r="S48" s="1464">
        <f>'Test Fishery'!DB56</f>
        <v>0</v>
      </c>
      <c r="T48" s="1474">
        <f>'Test Fishery'!DB58</f>
        <v>1</v>
      </c>
      <c r="U48" s="1475">
        <f>'Test Fishery'!DC60</f>
        <v>17.641199</v>
      </c>
      <c r="V48" s="1476">
        <f>S48*1.02</f>
        <v>0</v>
      </c>
      <c r="W48" s="1476">
        <f t="shared" ref="W48:X48" si="48">T48*1.02</f>
        <v>1.02</v>
      </c>
      <c r="X48" s="1475">
        <f t="shared" si="48"/>
        <v>17.99402298</v>
      </c>
      <c r="Y48" s="1476"/>
      <c r="Z48" s="1476"/>
      <c r="AA48" s="1477">
        <v>0</v>
      </c>
      <c r="AB48" s="1442"/>
      <c r="AC48" s="1442">
        <v>0</v>
      </c>
      <c r="AD48" s="1366">
        <v>3020</v>
      </c>
      <c r="AE48" s="1478">
        <v>1</v>
      </c>
      <c r="AF48" s="1479">
        <v>1</v>
      </c>
      <c r="AG48" s="1366">
        <v>0</v>
      </c>
      <c r="AH48" s="1412">
        <f>SUM(B48,P48,V48,Y48,AE48)</f>
        <v>6.3202995999999994</v>
      </c>
      <c r="AI48" s="1428">
        <f>SUM(E48,Q48,W48,Z48,AC48,AF48)</f>
        <v>24.02</v>
      </c>
      <c r="AJ48" s="1304">
        <f>SUM(H48,I48,R48,X48,AA48,AD48,AG48)</f>
        <v>3091.6491796134542</v>
      </c>
      <c r="AK48" s="1441">
        <v>2020</v>
      </c>
      <c r="AM48" s="1380">
        <v>0</v>
      </c>
      <c r="AN48" s="1443"/>
      <c r="AO48" s="1680" t="s">
        <v>480</v>
      </c>
      <c r="AP48" s="1313">
        <f t="shared" si="8"/>
        <v>5.2159799999999992</v>
      </c>
      <c r="AQ48" s="1313">
        <f t="shared" si="9"/>
        <v>23</v>
      </c>
      <c r="AR48" s="1314">
        <f t="shared" si="10"/>
        <v>70.45982043345434</v>
      </c>
      <c r="AS48" s="1315">
        <f>AQ48/AI48</f>
        <v>0.9575353871773522</v>
      </c>
      <c r="AT48" s="1316">
        <f t="shared" ref="AT48" si="49">AR48/AJ48</f>
        <v>2.27903673217748E-2</v>
      </c>
      <c r="AU48" s="1317">
        <f t="shared" si="13"/>
        <v>0</v>
      </c>
      <c r="AV48" s="1318">
        <f t="shared" si="45"/>
        <v>2.3175067884776163E-2</v>
      </c>
      <c r="AW48" s="1319">
        <f t="shared" si="42"/>
        <v>1.735486580665753E-2</v>
      </c>
      <c r="AX48" s="93"/>
    </row>
    <row r="49" spans="1:50" ht="11.25" customHeight="1" x14ac:dyDescent="0.2">
      <c r="A49" s="1570" t="s">
        <v>486</v>
      </c>
      <c r="B49" s="1418">
        <f>SportCatchMaster!BK34</f>
        <v>16</v>
      </c>
      <c r="C49" s="1473"/>
      <c r="D49" s="1418"/>
      <c r="E49" s="1397">
        <f>SportCatchMaster!BK36</f>
        <v>6</v>
      </c>
      <c r="F49" s="1418"/>
      <c r="G49" s="1418"/>
      <c r="H49" s="1459">
        <f>SportCatchMaster!BL38+SportRelMort!AW107</f>
        <v>0</v>
      </c>
      <c r="I49" s="1460">
        <f>SportRelMort!AW36+SportRelMort!J60+SportRelMort!AW61+SportRelMort!AW110+SportRelMort!AW15</f>
        <v>87.933763924100489</v>
      </c>
      <c r="J49" s="1459"/>
      <c r="K49" s="1459"/>
      <c r="L49" s="1459"/>
      <c r="M49" s="1423">
        <f>TreatyCatch!DH296</f>
        <v>1</v>
      </c>
      <c r="N49" s="1365">
        <f>TreatyCatch!DH298</f>
        <v>0</v>
      </c>
      <c r="O49" s="1366">
        <f>TreatyCatch!DI300</f>
        <v>107.61766</v>
      </c>
      <c r="P49" s="1603">
        <f t="shared" si="47"/>
        <v>1.02</v>
      </c>
      <c r="Q49" s="1603">
        <f t="shared" si="47"/>
        <v>0</v>
      </c>
      <c r="R49" s="1366">
        <f t="shared" si="47"/>
        <v>109.77001320000001</v>
      </c>
      <c r="S49" s="1464">
        <f>'Test Fishery'!DH56</f>
        <v>1</v>
      </c>
      <c r="T49" s="1474">
        <f>'Test Fishery'!DH58</f>
        <v>0</v>
      </c>
      <c r="U49" s="1475">
        <f>'Test Fishery'!DI60</f>
        <v>3</v>
      </c>
      <c r="V49" s="1476">
        <f>S49*1.02</f>
        <v>1.02</v>
      </c>
      <c r="W49" s="1476">
        <f t="shared" ref="W49" si="50">T49*1.02</f>
        <v>0</v>
      </c>
      <c r="X49" s="1475">
        <f t="shared" ref="X49" si="51">U49*1.02</f>
        <v>3.06</v>
      </c>
      <c r="Y49" s="1476"/>
      <c r="Z49" s="1476"/>
      <c r="AA49" s="1477">
        <v>0</v>
      </c>
      <c r="AB49" s="1442"/>
      <c r="AC49" s="1442">
        <v>0</v>
      </c>
      <c r="AD49" s="1366">
        <v>3369</v>
      </c>
      <c r="AE49" s="1478">
        <v>0</v>
      </c>
      <c r="AF49" s="1479">
        <v>0</v>
      </c>
      <c r="AG49" s="1366">
        <v>0</v>
      </c>
      <c r="AH49" s="1412">
        <f>SUM(B49,P49,V49,Y49,AE49)</f>
        <v>18.04</v>
      </c>
      <c r="AI49" s="1428">
        <f>SUM(E49,Q49,W49,Z49,AC49,AF49)</f>
        <v>6</v>
      </c>
      <c r="AJ49" s="1304">
        <f>SUM(H49,I49,R49,X49,AA49,AD49,AG49)</f>
        <v>3569.7637771241007</v>
      </c>
      <c r="AK49" s="1441">
        <v>2021</v>
      </c>
      <c r="AM49" s="1380">
        <v>0</v>
      </c>
      <c r="AN49" s="1443"/>
      <c r="AO49" s="1680" t="s">
        <v>486</v>
      </c>
      <c r="AP49" s="1313">
        <f t="shared" ref="AP49" si="52">SUM(B49,M49,S49)</f>
        <v>18</v>
      </c>
      <c r="AQ49" s="1313">
        <f t="shared" ref="AQ49" si="53">SUM(E49,N49,T49)</f>
        <v>6</v>
      </c>
      <c r="AR49" s="1314">
        <f t="shared" ref="AR49" si="54">SUM(H49,I49,O49,U49,AA49)</f>
        <v>198.5514239241005</v>
      </c>
      <c r="AS49" s="1315">
        <f>AQ49/AI49</f>
        <v>1</v>
      </c>
      <c r="AT49" s="1316">
        <f t="shared" ref="AT49" si="55">AR49/AJ49</f>
        <v>5.5620325691146701E-2</v>
      </c>
      <c r="AU49" s="1317">
        <f t="shared" ref="AU49" si="56">N49/AI49</f>
        <v>0</v>
      </c>
      <c r="AV49" s="1318">
        <f t="shared" si="45"/>
        <v>5.6240073477870654E-2</v>
      </c>
      <c r="AW49" s="1319">
        <f t="shared" si="42"/>
        <v>5.5382873900798012E-2</v>
      </c>
      <c r="AX49" s="93"/>
    </row>
    <row r="50" spans="1:50" ht="11.25" customHeight="1" x14ac:dyDescent="0.2">
      <c r="A50" s="1570" t="s">
        <v>491</v>
      </c>
      <c r="B50" s="1418">
        <f>SportCatchMaster!BM34</f>
        <v>0</v>
      </c>
      <c r="C50" s="1473"/>
      <c r="D50" s="1418"/>
      <c r="E50" s="1397">
        <f>SportCatchMaster!BM36</f>
        <v>0</v>
      </c>
      <c r="F50" s="1418"/>
      <c r="G50" s="1418"/>
      <c r="H50" s="1459">
        <f>SportCatchMaster!BN38+SportRelMort!AX107</f>
        <v>0</v>
      </c>
      <c r="I50" s="1813">
        <f>SportRelMort!AX36+SportRelMort!J61+SportRelMort!AX61+SportRelMort!AX110+SportRelMort!AX15+SportRelMort!AX83</f>
        <v>22.081104268977469</v>
      </c>
      <c r="J50" s="1459"/>
      <c r="K50" s="1459"/>
      <c r="L50" s="1459"/>
      <c r="M50" s="1423">
        <f>TreatyCatch!DN296</f>
        <v>0</v>
      </c>
      <c r="N50" s="1365">
        <f>TreatyCatch!DN298</f>
        <v>0</v>
      </c>
      <c r="O50" s="1772">
        <f>TreatyCatch!DO300</f>
        <v>127.15010000000001</v>
      </c>
      <c r="P50" s="1603">
        <f t="shared" ref="P50" si="57">M50*1.02</f>
        <v>0</v>
      </c>
      <c r="Q50" s="1603">
        <f t="shared" ref="Q50" si="58">N50*1.02</f>
        <v>0</v>
      </c>
      <c r="R50" s="1366">
        <f t="shared" ref="R50" si="59">O50*1.02</f>
        <v>129.69310200000001</v>
      </c>
      <c r="S50" s="1464">
        <f>'Test Fishery'!DN56</f>
        <v>0</v>
      </c>
      <c r="T50" s="1474">
        <f>'Test Fishery'!DN58</f>
        <v>4</v>
      </c>
      <c r="U50" s="1773">
        <f>'Test Fishery'!DO60</f>
        <v>44.686655000000002</v>
      </c>
      <c r="V50" s="1476">
        <f>S50*1.02</f>
        <v>0</v>
      </c>
      <c r="W50" s="1476">
        <f t="shared" ref="W50" si="60">T50*1.02</f>
        <v>4.08</v>
      </c>
      <c r="X50" s="1475">
        <f t="shared" ref="X50" si="61">U50*1.02</f>
        <v>45.5803881</v>
      </c>
      <c r="Y50" s="1476"/>
      <c r="Z50" s="1476"/>
      <c r="AA50" s="1477">
        <v>0</v>
      </c>
      <c r="AB50" s="1442"/>
      <c r="AC50" s="1442">
        <v>0</v>
      </c>
      <c r="AD50" s="1772">
        <v>5601</v>
      </c>
      <c r="AE50" s="1256">
        <v>1</v>
      </c>
      <c r="AF50" s="1479">
        <v>0</v>
      </c>
      <c r="AG50" s="1366">
        <v>0</v>
      </c>
      <c r="AH50" s="1412">
        <f>SUM(B50,P50,V50,Y50,AE50)</f>
        <v>1</v>
      </c>
      <c r="AI50" s="1428">
        <f>SUM(E50,Q50,W50,Z50,AC50,AF50)</f>
        <v>4.08</v>
      </c>
      <c r="AJ50" s="1304">
        <f>SUM(H50,I50,R50,X50,AA50,AD50,AG50)</f>
        <v>5798.3545943689778</v>
      </c>
      <c r="AK50" s="1441">
        <v>2022</v>
      </c>
      <c r="AM50" s="1380">
        <v>0</v>
      </c>
      <c r="AN50" s="1443"/>
      <c r="AO50" s="1680" t="s">
        <v>491</v>
      </c>
      <c r="AP50" s="1313">
        <f t="shared" ref="AP50" si="62">SUM(B50,M50,S50)</f>
        <v>0</v>
      </c>
      <c r="AQ50" s="1313">
        <f t="shared" ref="AQ50:AQ51" si="63">SUM(E50,N50,T50)</f>
        <v>4</v>
      </c>
      <c r="AR50" s="1314">
        <f t="shared" ref="AR50:AR51" si="64">SUM(H50,I50,O50,U50,AA50)</f>
        <v>193.91785926897748</v>
      </c>
      <c r="AS50" s="1315">
        <f>AQ50/AI50</f>
        <v>0.98039215686274506</v>
      </c>
      <c r="AT50" s="1316">
        <f t="shared" ref="AT50:AT51" si="65">AR50/AJ50</f>
        <v>3.3443601303255778E-2</v>
      </c>
      <c r="AU50" s="1317">
        <f t="shared" ref="AU50:AU51" si="66">N50/AI50</f>
        <v>0</v>
      </c>
      <c r="AV50" s="1318">
        <f t="shared" si="45"/>
        <v>3.4036309983635132E-2</v>
      </c>
      <c r="AW50" s="1319">
        <f t="shared" si="42"/>
        <v>2.6175392311531223E-2</v>
      </c>
      <c r="AX50" s="93"/>
    </row>
    <row r="51" spans="1:50" ht="11.25" customHeight="1" x14ac:dyDescent="0.2">
      <c r="A51" s="1570" t="s">
        <v>528</v>
      </c>
      <c r="B51" s="1418">
        <f>SportCatchMaster!BO34</f>
        <v>12</v>
      </c>
      <c r="C51" s="1473"/>
      <c r="D51" s="1418"/>
      <c r="E51" s="1397">
        <f>SportCatchMaster!B36</f>
        <v>0</v>
      </c>
      <c r="F51" s="1418"/>
      <c r="G51" s="1418"/>
      <c r="H51" s="1459">
        <f>SportCatchMaster!BP38+SportRelMort!AY107</f>
        <v>0</v>
      </c>
      <c r="I51" s="1813">
        <f>SportRelMort!AY36+SportRelMort!J62+SportRelMort!AY61+SportRelMort!AY110+SportRelMort!AY15+SportRelMort!AY83</f>
        <v>211.65470498775522</v>
      </c>
      <c r="J51" s="1459"/>
      <c r="K51" s="1459"/>
      <c r="L51" s="1459"/>
      <c r="M51" s="1423">
        <f>TreatyCatch!DT296</f>
        <v>3.5</v>
      </c>
      <c r="N51" s="1365">
        <f>TreatyCatch!DT298</f>
        <v>0</v>
      </c>
      <c r="O51" s="1366">
        <f>TreatyCatch!DU300</f>
        <v>124.80207905348027</v>
      </c>
      <c r="P51" s="1603">
        <f t="shared" ref="P51" si="67">M51*1.02</f>
        <v>3.5700000000000003</v>
      </c>
      <c r="Q51" s="1603">
        <f t="shared" ref="Q51" si="68">N51*1.02</f>
        <v>0</v>
      </c>
      <c r="R51" s="1366">
        <f t="shared" ref="R51" si="69">O51*1.02</f>
        <v>127.29812063454987</v>
      </c>
      <c r="S51" s="1464">
        <f>'Test Fishery'!DT56</f>
        <v>0</v>
      </c>
      <c r="T51" s="1474">
        <f>'Test Fishery'!DT58</f>
        <v>3</v>
      </c>
      <c r="U51" s="1475">
        <f>'Test Fishery'!DU60</f>
        <v>35.243168000000004</v>
      </c>
      <c r="V51" s="1476">
        <f>S51*1.02</f>
        <v>0</v>
      </c>
      <c r="W51" s="1476">
        <f t="shared" ref="W51" si="70">T51*1.02</f>
        <v>3.06</v>
      </c>
      <c r="X51" s="1475">
        <f t="shared" ref="X51" si="71">U51*1.02</f>
        <v>35.948031360000002</v>
      </c>
      <c r="Y51" s="1476"/>
      <c r="Z51" s="1476"/>
      <c r="AA51" s="1477">
        <v>0</v>
      </c>
      <c r="AB51" s="1442"/>
      <c r="AC51" s="1442">
        <v>0</v>
      </c>
      <c r="AD51" s="1366">
        <v>4446</v>
      </c>
      <c r="AE51" s="1478">
        <v>0</v>
      </c>
      <c r="AF51" s="1479">
        <v>3</v>
      </c>
      <c r="AG51" s="1366">
        <v>0</v>
      </c>
      <c r="AH51" s="1412">
        <f>SUM(B51,P51,V51,Y51,AE51)</f>
        <v>15.57</v>
      </c>
      <c r="AI51" s="1428">
        <f>SUM(E51,Q51,W51,Z51,AC51,AF51)</f>
        <v>6.0600000000000005</v>
      </c>
      <c r="AJ51" s="1304">
        <f>SUM(H51,I51,R51,X51,AA51,AD51,AG51)</f>
        <v>4820.9008569823054</v>
      </c>
      <c r="AK51" s="1441">
        <v>2023</v>
      </c>
      <c r="AM51" s="1380">
        <v>0</v>
      </c>
      <c r="AN51" s="1443"/>
      <c r="AO51" s="1680" t="s">
        <v>536</v>
      </c>
      <c r="AP51" s="1313">
        <f>SUM(B51,M51,S51)</f>
        <v>15.5</v>
      </c>
      <c r="AQ51" s="1313">
        <f t="shared" si="63"/>
        <v>3</v>
      </c>
      <c r="AR51" s="1314">
        <f t="shared" si="64"/>
        <v>371.69995204123552</v>
      </c>
      <c r="AS51" s="1315">
        <f>AQ51/AI51</f>
        <v>0.49504950495049499</v>
      </c>
      <c r="AT51" s="1316">
        <f t="shared" si="65"/>
        <v>7.7101762319564712E-2</v>
      </c>
      <c r="AU51" s="1317">
        <f t="shared" si="66"/>
        <v>0</v>
      </c>
      <c r="AV51" s="1318">
        <f t="shared" si="45"/>
        <v>7.7765726386868336E-2</v>
      </c>
      <c r="AW51" s="1319">
        <f t="shared" ref="AW51" si="72">(SUM(H51,I51) + (O51*1.02))/AJ51</f>
        <v>7.0309022250765865E-2</v>
      </c>
      <c r="AX51" s="93"/>
    </row>
    <row r="52" spans="1:50" x14ac:dyDescent="0.2">
      <c r="AF52" s="1443"/>
      <c r="AM52" s="1568"/>
      <c r="AN52" s="1568"/>
      <c r="AO52" s="1568"/>
      <c r="AP52" s="1569"/>
    </row>
    <row r="53" spans="1:50" x14ac:dyDescent="0.2">
      <c r="B53" s="1484"/>
      <c r="C53" s="1484"/>
      <c r="D53" s="1484"/>
      <c r="H53" s="392"/>
      <c r="I53" s="797"/>
      <c r="J53" s="797"/>
      <c r="K53" s="797"/>
      <c r="L53" s="797"/>
      <c r="M53" s="797"/>
      <c r="N53" s="797"/>
      <c r="O53" s="797"/>
      <c r="P53" s="1634" t="s">
        <v>537</v>
      </c>
      <c r="Q53" s="1683"/>
      <c r="R53" s="797"/>
      <c r="S53" s="1684"/>
      <c r="T53" s="797"/>
      <c r="U53" s="1620"/>
      <c r="V53" s="1621"/>
      <c r="AM53" s="1681">
        <f>AVERAGE(AS6:AS46)</f>
        <v>0.79263079730529196</v>
      </c>
      <c r="AN53" s="1681">
        <f t="shared" ref="AN53:AO53" si="73">AVERAGE(AT6:AT46)</f>
        <v>9.7681477863626603E-2</v>
      </c>
      <c r="AO53" s="1681">
        <f t="shared" si="73"/>
        <v>0.29185851471741914</v>
      </c>
      <c r="AP53" s="795" t="s">
        <v>26</v>
      </c>
    </row>
    <row r="54" spans="1:50" x14ac:dyDescent="0.2">
      <c r="A54" s="1787"/>
      <c r="B54" s="1788"/>
      <c r="C54" s="1788"/>
      <c r="D54" s="1788"/>
      <c r="E54" s="1788"/>
      <c r="H54" s="1189" t="s">
        <v>253</v>
      </c>
      <c r="I54" s="1629"/>
      <c r="J54" s="1629"/>
      <c r="K54" s="1629"/>
      <c r="L54" s="1629"/>
      <c r="M54" s="1629"/>
      <c r="N54" s="587"/>
      <c r="O54" s="1629" t="s">
        <v>254</v>
      </c>
      <c r="P54" s="1629"/>
      <c r="Q54" s="1649"/>
      <c r="R54" s="1629" t="s">
        <v>255</v>
      </c>
      <c r="S54" s="1629"/>
      <c r="T54" s="1590"/>
      <c r="U54" s="85" t="s">
        <v>370</v>
      </c>
      <c r="V54" s="82"/>
      <c r="AM54" s="1682"/>
      <c r="AN54" s="1682"/>
      <c r="AO54" s="1682"/>
      <c r="AP54" s="795"/>
    </row>
    <row r="55" spans="1:50" ht="15" x14ac:dyDescent="0.25">
      <c r="A55" s="1787"/>
      <c r="B55" s="1858"/>
      <c r="C55" s="1788"/>
      <c r="D55" s="1788"/>
      <c r="E55" s="1789" t="s">
        <v>499</v>
      </c>
      <c r="H55" s="1857">
        <f>SportRelMort!AY36+SportRelMort!AY61+SportRelMort!AY15+SportRelMort!AY83</f>
        <v>17.246784000000002</v>
      </c>
      <c r="I55" s="5" t="s">
        <v>552</v>
      </c>
      <c r="J55" s="2"/>
      <c r="K55" s="1855"/>
      <c r="L55" s="1855"/>
      <c r="M55" s="2"/>
      <c r="N55" s="1856"/>
      <c r="O55" s="1630"/>
      <c r="P55" s="1631"/>
      <c r="Q55" s="1650"/>
      <c r="R55" s="1630"/>
      <c r="S55" s="1631"/>
      <c r="T55" s="1581"/>
      <c r="U55" s="1632">
        <f>AA51/0.1</f>
        <v>0</v>
      </c>
      <c r="V55" s="1633" t="s">
        <v>373</v>
      </c>
      <c r="AM55" s="1682">
        <f>AVERAGE(AS19:AS46)</f>
        <v>0.78142627773136364</v>
      </c>
      <c r="AN55" s="1682">
        <f t="shared" ref="AN55:AO55" si="74">AVERAGE(AT19:AT46)</f>
        <v>5.8293481143582127E-2</v>
      </c>
      <c r="AO55" s="1682">
        <f t="shared" si="74"/>
        <v>0.19163848116617263</v>
      </c>
      <c r="AP55" s="795" t="s">
        <v>450</v>
      </c>
    </row>
    <row r="56" spans="1:50" x14ac:dyDescent="0.2">
      <c r="A56" s="1787"/>
      <c r="B56" s="1788"/>
      <c r="C56" s="1788"/>
      <c r="D56" s="1788"/>
      <c r="E56" s="1788"/>
      <c r="H56" s="1636">
        <f>H55/AJ51</f>
        <v>3.5775023199286059E-3</v>
      </c>
      <c r="I56" s="1" t="s">
        <v>429</v>
      </c>
      <c r="J56" s="1"/>
      <c r="K56" s="1630"/>
      <c r="L56" s="1630"/>
      <c r="M56" s="1"/>
      <c r="N56" s="577"/>
      <c r="O56" s="1632">
        <f>O51</f>
        <v>124.80207905348027</v>
      </c>
      <c r="P56" s="1631" t="s">
        <v>312</v>
      </c>
      <c r="Q56" s="1650"/>
      <c r="R56" s="1632">
        <f>U51</f>
        <v>35.243168000000004</v>
      </c>
      <c r="S56" s="1631" t="s">
        <v>312</v>
      </c>
      <c r="T56" s="1581"/>
      <c r="U56" s="1632">
        <f>AA51</f>
        <v>0</v>
      </c>
      <c r="V56" s="1633" t="s">
        <v>372</v>
      </c>
      <c r="AM56" s="1682">
        <f>AVERAGE(AS28:AS46)</f>
        <v>0.80844483178034832</v>
      </c>
      <c r="AN56" s="1682">
        <f t="shared" ref="AN56:AO56" si="75">AVERAGE(AT28:AT46)</f>
        <v>3.8261492533967913E-2</v>
      </c>
      <c r="AO56" s="1682">
        <f t="shared" si="75"/>
        <v>0.14108101209645676</v>
      </c>
      <c r="AP56" s="795" t="s">
        <v>451</v>
      </c>
    </row>
    <row r="57" spans="1:50" x14ac:dyDescent="0.2">
      <c r="H57" s="1635">
        <f>SportRelMort!AY110</f>
        <v>179.60000000000002</v>
      </c>
      <c r="I57" s="1" t="s">
        <v>459</v>
      </c>
      <c r="J57" s="1"/>
      <c r="K57" s="1630"/>
      <c r="L57" s="1630"/>
      <c r="M57" s="1"/>
      <c r="N57" s="577"/>
      <c r="O57" s="148">
        <f>0.02*O56</f>
        <v>2.4960415810696053</v>
      </c>
      <c r="P57" s="1" t="s">
        <v>242</v>
      </c>
      <c r="Q57" s="1582"/>
      <c r="R57" s="148">
        <f>0.02*(U51)</f>
        <v>0.70486336000000005</v>
      </c>
      <c r="S57" s="1" t="s">
        <v>242</v>
      </c>
      <c r="T57" s="1580"/>
      <c r="U57" s="1630">
        <f>U56/AJ51</f>
        <v>0</v>
      </c>
      <c r="V57" s="1633" t="s">
        <v>239</v>
      </c>
      <c r="Y57" s="1484"/>
      <c r="Z57" s="1484"/>
      <c r="AA57" s="1484"/>
      <c r="AB57" s="1485"/>
      <c r="AM57" s="1682">
        <f>AVERAGE(AS34:AS46)</f>
        <v>0.82481720224693211</v>
      </c>
      <c r="AN57" s="1682">
        <f t="shared" ref="AN57:AO57" si="76">AVERAGE(AT34:AT46)</f>
        <v>3.6953242903926931E-2</v>
      </c>
      <c r="AO57" s="1682">
        <f t="shared" si="76"/>
        <v>0.15195949095489716</v>
      </c>
      <c r="AP57" s="795" t="s">
        <v>452</v>
      </c>
    </row>
    <row r="58" spans="1:50" x14ac:dyDescent="0.2">
      <c r="H58" s="1636">
        <f>H57/AJ51</f>
        <v>3.725444793992768E-2</v>
      </c>
      <c r="I58" s="1" t="s">
        <v>460</v>
      </c>
      <c r="J58" s="1"/>
      <c r="K58" s="1637"/>
      <c r="L58" s="1637"/>
      <c r="M58" s="1"/>
      <c r="N58" s="577"/>
      <c r="O58" s="1632">
        <f>O51+O57</f>
        <v>127.29812063454987</v>
      </c>
      <c r="P58" s="1" t="s">
        <v>281</v>
      </c>
      <c r="Q58" s="1582"/>
      <c r="R58" s="1632">
        <f>SUM(U51+R57)</f>
        <v>35.948031360000002</v>
      </c>
      <c r="S58" s="1" t="s">
        <v>282</v>
      </c>
      <c r="T58" s="577"/>
      <c r="U58" s="1"/>
      <c r="V58" s="1633"/>
      <c r="Y58" s="1486"/>
      <c r="Z58" s="1486"/>
      <c r="AA58" s="1486"/>
      <c r="AB58" s="1486"/>
      <c r="AQ58" s="93"/>
      <c r="AS58" s="93"/>
    </row>
    <row r="59" spans="1:50" x14ac:dyDescent="0.2">
      <c r="H59" s="1636">
        <f>H60/AJ51</f>
        <v>3.0716086945261106E-3</v>
      </c>
      <c r="I59" s="1" t="s">
        <v>430</v>
      </c>
      <c r="J59" s="1"/>
      <c r="K59" s="1630"/>
      <c r="L59" s="1630"/>
      <c r="M59" s="1"/>
      <c r="N59" s="577"/>
      <c r="O59" s="1630">
        <f>O58/AJ51</f>
        <v>2.6405463296383467E-2</v>
      </c>
      <c r="P59" s="1" t="s">
        <v>302</v>
      </c>
      <c r="Q59" s="1582"/>
      <c r="R59" s="1630">
        <f>R58/AJ51</f>
        <v>7.456704136102491E-3</v>
      </c>
      <c r="S59" s="1" t="s">
        <v>303</v>
      </c>
      <c r="T59" s="577"/>
      <c r="U59" s="1"/>
      <c r="V59" s="1633"/>
      <c r="AQ59" s="93"/>
      <c r="AR59" s="93"/>
      <c r="AS59" s="93"/>
      <c r="AT59" s="93"/>
    </row>
    <row r="60" spans="1:50" x14ac:dyDescent="0.2">
      <c r="H60" s="1635">
        <f>SportRelMort!J62</f>
        <v>14.807920987755228</v>
      </c>
      <c r="I60" s="1" t="s">
        <v>431</v>
      </c>
      <c r="J60" s="1"/>
      <c r="K60" s="1630"/>
      <c r="L60" s="1630"/>
      <c r="M60" s="1"/>
      <c r="N60" s="577"/>
      <c r="O60" s="577"/>
      <c r="P60" s="577"/>
      <c r="Q60" s="1582"/>
      <c r="R60" s="577"/>
      <c r="S60" s="1578"/>
      <c r="T60" s="577"/>
      <c r="U60" s="577"/>
      <c r="V60" s="1579"/>
      <c r="AP60" s="93"/>
      <c r="AQ60" s="1525"/>
      <c r="AR60" s="1486"/>
      <c r="AS60" s="1525"/>
      <c r="AT60" s="1486"/>
    </row>
    <row r="61" spans="1:50" x14ac:dyDescent="0.2">
      <c r="H61" s="1636"/>
      <c r="I61" s="1"/>
      <c r="J61" s="1"/>
      <c r="K61" s="1632"/>
      <c r="L61" s="1632"/>
      <c r="M61" s="1"/>
      <c r="N61" s="577"/>
      <c r="O61" s="577"/>
      <c r="P61" s="577"/>
      <c r="Q61" s="1582"/>
      <c r="R61" s="577"/>
      <c r="S61" s="1578"/>
      <c r="T61" s="577"/>
      <c r="U61" s="577"/>
      <c r="V61" s="1579"/>
      <c r="AN61" s="1525"/>
      <c r="AP61" s="93"/>
      <c r="AQ61" s="1525"/>
      <c r="AR61" s="1486"/>
      <c r="AS61" s="1525"/>
      <c r="AT61" s="1486"/>
    </row>
    <row r="62" spans="1:50" x14ac:dyDescent="0.2">
      <c r="H62" s="1636">
        <f>SUM(H56, H58,H59)</f>
        <v>4.3903558954382402E-2</v>
      </c>
      <c r="I62" s="1" t="s">
        <v>251</v>
      </c>
      <c r="J62" s="1"/>
      <c r="K62" s="1"/>
      <c r="L62" s="1"/>
      <c r="M62" s="1"/>
      <c r="N62" s="577"/>
      <c r="O62" s="577"/>
      <c r="P62" s="577"/>
      <c r="Q62" s="1582"/>
      <c r="R62" s="577"/>
      <c r="S62" s="1578"/>
      <c r="T62" s="577"/>
      <c r="U62" s="577"/>
      <c r="V62" s="1579"/>
      <c r="AN62" s="1525"/>
      <c r="AP62" s="93"/>
      <c r="AQ62" s="1525"/>
      <c r="AR62" s="1486"/>
      <c r="AS62" s="1525"/>
      <c r="AT62" s="1486"/>
    </row>
    <row r="63" spans="1:50" x14ac:dyDescent="0.2">
      <c r="H63" s="1635">
        <f>H62*AJ51</f>
        <v>211.65470498775528</v>
      </c>
      <c r="I63" s="1" t="s">
        <v>280</v>
      </c>
      <c r="J63" s="1"/>
      <c r="K63" s="1632"/>
      <c r="L63" s="1632"/>
      <c r="M63" s="1"/>
      <c r="N63" s="577"/>
      <c r="O63" s="577"/>
      <c r="P63" s="577"/>
      <c r="Q63" s="1582"/>
      <c r="R63" s="577"/>
      <c r="S63" s="1578"/>
      <c r="T63" s="577"/>
      <c r="U63" s="577"/>
      <c r="V63" s="1579"/>
      <c r="AN63" s="1525"/>
      <c r="AP63" s="93"/>
      <c r="AQ63" s="1525"/>
      <c r="AR63" s="1525"/>
      <c r="AS63" s="1525"/>
      <c r="AT63" s="1486"/>
    </row>
    <row r="64" spans="1:50" x14ac:dyDescent="0.2">
      <c r="H64" s="1584"/>
      <c r="I64" s="577"/>
      <c r="J64" s="577"/>
      <c r="K64" s="577"/>
      <c r="L64" s="577"/>
      <c r="M64" s="577"/>
      <c r="N64" s="577"/>
      <c r="O64" s="1"/>
      <c r="P64" s="1651" t="s">
        <v>171</v>
      </c>
      <c r="Q64" s="1652" t="s">
        <v>374</v>
      </c>
      <c r="R64" s="577"/>
      <c r="S64" s="1578"/>
      <c r="T64" s="577"/>
      <c r="U64" s="577"/>
      <c r="V64" s="1579"/>
      <c r="AP64" s="93"/>
    </row>
    <row r="65" spans="8:22" x14ac:dyDescent="0.2">
      <c r="H65" s="1583"/>
      <c r="I65" s="577"/>
      <c r="J65" s="577"/>
      <c r="K65" s="577"/>
      <c r="L65" s="577"/>
      <c r="M65" s="577"/>
      <c r="N65" s="577"/>
      <c r="O65" s="1651" t="s">
        <v>350</v>
      </c>
      <c r="P65" s="148">
        <f>SUM(H63,O58,R58,U56)</f>
        <v>374.90085698230519</v>
      </c>
      <c r="Q65" s="1653">
        <f>SUM(H63,O58)</f>
        <v>338.95282562230517</v>
      </c>
      <c r="R65" s="577"/>
      <c r="S65" s="1578"/>
      <c r="T65" s="577"/>
      <c r="U65" s="577"/>
      <c r="V65" s="1579"/>
    </row>
    <row r="66" spans="8:22" x14ac:dyDescent="0.2">
      <c r="H66" s="1584"/>
      <c r="I66" s="577"/>
      <c r="J66" s="577"/>
      <c r="K66" s="577"/>
      <c r="L66" s="577"/>
      <c r="M66" s="577"/>
      <c r="N66" s="577"/>
      <c r="O66" s="1651" t="s">
        <v>349</v>
      </c>
      <c r="P66" s="1630">
        <f>SUM(H62,O59,R59,U57)</f>
        <v>7.776572638686835E-2</v>
      </c>
      <c r="Q66" s="1654">
        <f>SUM(H62,O59)</f>
        <v>7.0309022250765865E-2</v>
      </c>
      <c r="R66" s="577"/>
      <c r="S66" s="1578"/>
      <c r="T66" s="577"/>
      <c r="U66" s="577"/>
      <c r="V66" s="1579"/>
    </row>
    <row r="67" spans="8:22" x14ac:dyDescent="0.2">
      <c r="H67" s="1584"/>
      <c r="I67" s="577"/>
      <c r="J67" s="577"/>
      <c r="K67" s="577"/>
      <c r="L67" s="577"/>
      <c r="M67" s="577"/>
      <c r="N67" s="577"/>
      <c r="O67" s="577"/>
      <c r="P67" s="577"/>
      <c r="Q67" s="1582"/>
      <c r="R67" s="577"/>
      <c r="S67" s="577"/>
      <c r="T67" s="1578"/>
      <c r="U67" s="577"/>
      <c r="V67" s="1579"/>
    </row>
    <row r="68" spans="8:22" x14ac:dyDescent="0.2">
      <c r="H68" s="1584"/>
      <c r="I68" s="577"/>
      <c r="J68" s="577"/>
      <c r="K68" s="577"/>
      <c r="L68" s="577"/>
      <c r="M68" s="577"/>
      <c r="N68" s="577"/>
      <c r="O68" s="1675"/>
      <c r="P68" s="1581"/>
      <c r="Q68" s="1676"/>
      <c r="R68" s="577"/>
      <c r="S68" s="577"/>
      <c r="T68" s="1578"/>
      <c r="U68" s="577"/>
      <c r="V68" s="1579"/>
    </row>
    <row r="69" spans="8:22" x14ac:dyDescent="0.2">
      <c r="H69" s="1585"/>
      <c r="I69" s="719"/>
      <c r="J69" s="719"/>
      <c r="K69" s="719"/>
      <c r="L69" s="719"/>
      <c r="M69" s="719"/>
      <c r="N69" s="719"/>
      <c r="O69" s="1677"/>
      <c r="P69" s="1678"/>
      <c r="Q69" s="1679"/>
      <c r="R69" s="719"/>
      <c r="S69" s="719"/>
      <c r="T69" s="614"/>
      <c r="U69" s="719"/>
      <c r="V69" s="1586"/>
    </row>
    <row r="70" spans="8:22" x14ac:dyDescent="0.2">
      <c r="H70" s="1590"/>
      <c r="I70" s="577"/>
    </row>
    <row r="71" spans="8:22" x14ac:dyDescent="0.2">
      <c r="H71" s="577"/>
      <c r="I71" s="577"/>
    </row>
  </sheetData>
  <mergeCells count="2">
    <mergeCell ref="AP3:AR3"/>
    <mergeCell ref="AS3:AT3"/>
  </mergeCells>
  <phoneticPr fontId="34" type="noConversion"/>
  <hyperlinks>
    <hyperlink ref="E55" location="SportRelMort!AF85" display="Incidental steelhead during fall salmon" xr:uid="{75CA30D3-9487-4958-BD39-567B400563B6}"/>
  </hyperlinks>
  <pageMargins left="0.22" right="0.17" top="0.4" bottom="0.75" header="0.3" footer="0.3"/>
  <pageSetup scale="51" orientation="landscape" r:id="rId1"/>
  <cellWatches>
    <cellWatch r="H62"/>
    <cellWatch r="P66"/>
    <cellWatch r="AJ50"/>
  </cellWatche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E111"/>
  <sheetViews>
    <sheetView topLeftCell="AD33" workbookViewId="0">
      <selection activeCell="J62" sqref="J62"/>
    </sheetView>
  </sheetViews>
  <sheetFormatPr defaultColWidth="9.140625" defaultRowHeight="12.75" x14ac:dyDescent="0.2"/>
  <cols>
    <col min="1" max="1" width="36.140625" style="439" customWidth="1"/>
    <col min="2" max="5" width="9.5703125" style="439" bestFit="1" customWidth="1"/>
    <col min="6" max="6" width="12.42578125" style="439" customWidth="1"/>
    <col min="7" max="7" width="21.42578125" style="439" customWidth="1"/>
    <col min="8" max="10" width="9.5703125" style="439" bestFit="1" customWidth="1"/>
    <col min="11" max="13" width="17.42578125" style="439" bestFit="1" customWidth="1"/>
    <col min="14" max="14" width="9.140625" style="439"/>
    <col min="15" max="15" width="21.5703125" style="439" customWidth="1"/>
    <col min="16" max="16" width="9.5703125" style="439" customWidth="1"/>
    <col min="17" max="18" width="9.5703125" style="439" bestFit="1" customWidth="1"/>
    <col min="19" max="20" width="9.5703125" style="439" customWidth="1"/>
    <col min="21" max="27" width="9.5703125" style="439" bestFit="1" customWidth="1"/>
    <col min="28" max="29" width="9.140625" style="439"/>
    <col min="30" max="30" width="14" style="439" customWidth="1"/>
    <col min="31" max="31" width="16.28515625" style="439" customWidth="1"/>
    <col min="32" max="32" width="52.140625" style="439" customWidth="1"/>
    <col min="33" max="33" width="11.140625" style="439" customWidth="1"/>
    <col min="34" max="34" width="12.42578125" style="439" customWidth="1"/>
    <col min="35" max="42" width="11.42578125" style="439" customWidth="1"/>
    <col min="43" max="43" width="17.5703125" style="439" customWidth="1"/>
    <col min="44" max="44" width="15.28515625" style="439" customWidth="1"/>
    <col min="45" max="45" width="9.140625" style="439" customWidth="1"/>
    <col min="46" max="49" width="13.85546875" style="439" customWidth="1"/>
    <col min="50" max="50" width="25.7109375" style="439" customWidth="1"/>
    <col min="51" max="51" width="29.140625" style="439" customWidth="1"/>
    <col min="52" max="52" width="9.5703125" style="439" bestFit="1" customWidth="1"/>
    <col min="53" max="53" width="28.5703125" style="439" customWidth="1"/>
    <col min="54" max="58" width="9.140625" style="439"/>
    <col min="59" max="59" width="11" style="439" customWidth="1"/>
    <col min="60" max="16384" width="9.140625" style="439"/>
  </cols>
  <sheetData>
    <row r="1" spans="1:57" ht="16.5" customHeight="1" x14ac:dyDescent="0.2">
      <c r="A1" s="439" t="s">
        <v>215</v>
      </c>
      <c r="AF1" s="439" t="s">
        <v>519</v>
      </c>
    </row>
    <row r="2" spans="1:57" ht="38.25" x14ac:dyDescent="0.2">
      <c r="O2" s="439" t="s">
        <v>175</v>
      </c>
      <c r="AB2" s="440" t="s">
        <v>176</v>
      </c>
      <c r="AF2" s="439" t="s">
        <v>513</v>
      </c>
    </row>
    <row r="3" spans="1:57" x14ac:dyDescent="0.2">
      <c r="A3" s="442" t="s">
        <v>177</v>
      </c>
      <c r="B3" s="443" t="s">
        <v>54</v>
      </c>
      <c r="C3" s="444" t="s">
        <v>55</v>
      </c>
      <c r="D3" s="444" t="s">
        <v>56</v>
      </c>
      <c r="E3" s="444" t="s">
        <v>57</v>
      </c>
      <c r="F3" s="444" t="s">
        <v>58</v>
      </c>
      <c r="G3" s="444" t="s">
        <v>59</v>
      </c>
      <c r="H3" s="444" t="s">
        <v>60</v>
      </c>
      <c r="I3" s="444" t="s">
        <v>61</v>
      </c>
      <c r="J3" s="444" t="s">
        <v>62</v>
      </c>
      <c r="K3" s="444" t="s">
        <v>63</v>
      </c>
      <c r="L3" s="444" t="s">
        <v>64</v>
      </c>
      <c r="M3" s="445" t="s">
        <v>65</v>
      </c>
      <c r="O3" s="446" t="str">
        <f>A3</f>
        <v>Month</v>
      </c>
      <c r="P3" s="447" t="str">
        <f>B3</f>
        <v>1992-1993</v>
      </c>
      <c r="Q3" s="448" t="str">
        <f t="shared" ref="Q3:AA3" si="0">C3</f>
        <v>1993-1994</v>
      </c>
      <c r="R3" s="448" t="str">
        <f t="shared" si="0"/>
        <v>1994-1995</v>
      </c>
      <c r="S3" s="448" t="str">
        <f t="shared" si="0"/>
        <v>1995-1996</v>
      </c>
      <c r="T3" s="448" t="str">
        <f t="shared" si="0"/>
        <v>1996-1997</v>
      </c>
      <c r="U3" s="448" t="str">
        <f t="shared" si="0"/>
        <v>1997-1998</v>
      </c>
      <c r="V3" s="448" t="str">
        <f t="shared" si="0"/>
        <v>1998-1999</v>
      </c>
      <c r="W3" s="448" t="str">
        <f t="shared" si="0"/>
        <v>1999-2000</v>
      </c>
      <c r="X3" s="448" t="str">
        <f t="shared" si="0"/>
        <v>2000-2001</v>
      </c>
      <c r="Y3" s="448" t="str">
        <f t="shared" si="0"/>
        <v>2001-2002</v>
      </c>
      <c r="Z3" s="448" t="str">
        <f t="shared" si="0"/>
        <v>2002-2003</v>
      </c>
      <c r="AA3" s="449" t="str">
        <f t="shared" si="0"/>
        <v>2003-2004</v>
      </c>
      <c r="AB3" s="450" t="s">
        <v>178</v>
      </c>
      <c r="AE3" s="1771">
        <f>AX15+AX36</f>
        <v>4.2354232000000005</v>
      </c>
      <c r="AF3" s="632" t="s">
        <v>179</v>
      </c>
      <c r="AG3" s="1753"/>
      <c r="AH3" s="1753"/>
      <c r="AI3" s="1753"/>
      <c r="AJ3" s="1753"/>
      <c r="AK3" s="1753"/>
      <c r="AL3" s="1753"/>
      <c r="AM3" s="1753"/>
      <c r="AN3" s="1753"/>
      <c r="AO3" s="1753"/>
      <c r="AP3" s="1753"/>
      <c r="AQ3" s="1753"/>
      <c r="AR3" s="1753"/>
      <c r="AS3" s="1753"/>
      <c r="AT3" s="1753"/>
      <c r="AU3" s="1753" t="s">
        <v>127</v>
      </c>
      <c r="AV3" s="1753" t="s">
        <v>128</v>
      </c>
      <c r="AW3" s="1753" t="s">
        <v>485</v>
      </c>
      <c r="AX3" s="1797" t="s">
        <v>495</v>
      </c>
      <c r="AY3" s="1753" t="s">
        <v>529</v>
      </c>
      <c r="BA3" s="1770"/>
    </row>
    <row r="4" spans="1:57" x14ac:dyDescent="0.2">
      <c r="A4" s="451" t="s">
        <v>180</v>
      </c>
      <c r="B4" s="452">
        <f>SportCatchMaster!F20</f>
        <v>2</v>
      </c>
      <c r="C4" s="452">
        <f>SportCatchMaster!H20</f>
        <v>15</v>
      </c>
      <c r="D4" s="452">
        <f>SportCatchMaster!J20</f>
        <v>9</v>
      </c>
      <c r="E4" s="452">
        <f>SportCatchMaster!L20</f>
        <v>0</v>
      </c>
      <c r="F4" s="452">
        <f>SportCatchMaster!N20</f>
        <v>0</v>
      </c>
      <c r="G4" s="452">
        <f>SportCatchMaster!P20</f>
        <v>7</v>
      </c>
      <c r="H4" s="452">
        <f>SportCatchMaster!R20</f>
        <v>7</v>
      </c>
      <c r="I4" s="452">
        <f>SportCatchMaster!T20</f>
        <v>4</v>
      </c>
      <c r="J4" s="452">
        <f>SportCatchMaster!V20</f>
        <v>0</v>
      </c>
      <c r="K4" s="452">
        <f>SportCatchMaster!X20</f>
        <v>0</v>
      </c>
      <c r="L4" s="452">
        <f>SportCatchMaster!Z20</f>
        <v>0</v>
      </c>
      <c r="M4" s="452">
        <f>SportCatchMaster!AB20</f>
        <v>0</v>
      </c>
      <c r="O4" s="453" t="str">
        <f t="shared" ref="O4:O17" si="1">A4</f>
        <v>July</v>
      </c>
      <c r="P4" s="454">
        <f>B4/B$20</f>
        <v>2.3953010651386002E-4</v>
      </c>
      <c r="Q4" s="455">
        <f t="shared" ref="Q4:R16" si="2">C4/C$20</f>
        <v>1.9705709961718499E-3</v>
      </c>
      <c r="R4" s="455">
        <f t="shared" si="2"/>
        <v>1.0498896736447904E-3</v>
      </c>
      <c r="S4" s="455"/>
      <c r="T4" s="455"/>
      <c r="U4" s="455">
        <f>G4/G$20</f>
        <v>9.2432913511843293E-4</v>
      </c>
      <c r="V4" s="455">
        <f t="shared" ref="V4:AA16" si="3">H4/H$20</f>
        <v>7.6964123340237669E-4</v>
      </c>
      <c r="W4" s="455">
        <f t="shared" si="3"/>
        <v>9.4380474753196332E-4</v>
      </c>
      <c r="X4" s="455">
        <f t="shared" si="3"/>
        <v>0</v>
      </c>
      <c r="Y4" s="455">
        <f t="shared" si="3"/>
        <v>0</v>
      </c>
      <c r="Z4" s="455">
        <f t="shared" si="3"/>
        <v>0</v>
      </c>
      <c r="AA4" s="456">
        <f t="shared" si="3"/>
        <v>0</v>
      </c>
      <c r="AB4" s="457">
        <f>AVERAGE(P4:W4)</f>
        <v>9.8296098206387896E-4</v>
      </c>
      <c r="AF4" s="637" t="s">
        <v>181</v>
      </c>
      <c r="AG4" s="1754"/>
      <c r="AH4" s="1754"/>
      <c r="AI4" s="1754"/>
      <c r="AJ4" s="1754"/>
      <c r="AK4" s="1754"/>
      <c r="AL4" s="1754"/>
      <c r="AM4" s="1754"/>
      <c r="AN4" s="1754"/>
      <c r="AO4" s="1754"/>
      <c r="AP4" s="1754"/>
      <c r="AQ4" s="1754"/>
      <c r="AR4" s="1754"/>
      <c r="AS4" s="1754"/>
      <c r="AT4" s="1754"/>
      <c r="AU4" s="1754">
        <v>2019</v>
      </c>
      <c r="AV4" s="1754">
        <v>2020</v>
      </c>
      <c r="AW4" s="1754">
        <v>2021</v>
      </c>
      <c r="AX4" s="1818">
        <v>2022</v>
      </c>
      <c r="AY4" s="1729">
        <v>2023</v>
      </c>
    </row>
    <row r="5" spans="1:57" x14ac:dyDescent="0.2">
      <c r="A5" s="451" t="s">
        <v>182</v>
      </c>
      <c r="B5" s="452">
        <f>SportCatchMaster!F22</f>
        <v>7</v>
      </c>
      <c r="C5" s="452">
        <f>SportCatchMaster!H22</f>
        <v>11</v>
      </c>
      <c r="D5" s="452">
        <f>SportCatchMaster!J22</f>
        <v>3</v>
      </c>
      <c r="E5" s="452">
        <f>SportCatchMaster!L22</f>
        <v>4</v>
      </c>
      <c r="F5" s="452">
        <f>SportCatchMaster!N22</f>
        <v>10</v>
      </c>
      <c r="G5" s="452">
        <f>SportCatchMaster!P22</f>
        <v>8</v>
      </c>
      <c r="H5" s="452">
        <f>SportCatchMaster!R22</f>
        <v>0</v>
      </c>
      <c r="I5" s="452">
        <f>SportCatchMaster!T22</f>
        <v>4</v>
      </c>
      <c r="J5" s="452">
        <f>SportCatchMaster!V22</f>
        <v>0</v>
      </c>
      <c r="K5" s="452">
        <f>SportCatchMaster!X22</f>
        <v>2</v>
      </c>
      <c r="L5" s="452">
        <f>SportCatchMaster!Z22</f>
        <v>0</v>
      </c>
      <c r="M5" s="452">
        <f>SportCatchMaster!AB22</f>
        <v>0</v>
      </c>
      <c r="O5" s="459" t="str">
        <f t="shared" si="1"/>
        <v>August</v>
      </c>
      <c r="P5" s="460">
        <f t="shared" ref="P5:P15" si="4">B5/B$20</f>
        <v>8.383553727985101E-4</v>
      </c>
      <c r="Q5" s="461">
        <f t="shared" si="2"/>
        <v>1.44508539719269E-3</v>
      </c>
      <c r="R5" s="461">
        <f t="shared" si="2"/>
        <v>3.4996322454826346E-4</v>
      </c>
      <c r="S5" s="461"/>
      <c r="T5" s="461"/>
      <c r="U5" s="461">
        <f t="shared" ref="U5:U16" si="5">G5/G$20</f>
        <v>1.0563761544210661E-3</v>
      </c>
      <c r="V5" s="461">
        <f t="shared" si="3"/>
        <v>0</v>
      </c>
      <c r="W5" s="461">
        <f t="shared" si="3"/>
        <v>9.4380474753196332E-4</v>
      </c>
      <c r="X5" s="461">
        <f t="shared" si="3"/>
        <v>0</v>
      </c>
      <c r="Y5" s="461">
        <f t="shared" si="3"/>
        <v>3.5135033143560563E-4</v>
      </c>
      <c r="Z5" s="461">
        <f t="shared" si="3"/>
        <v>0</v>
      </c>
      <c r="AA5" s="462">
        <f t="shared" si="3"/>
        <v>0</v>
      </c>
      <c r="AB5" s="457">
        <f t="shared" ref="AB5:AB9" si="6">AVERAGE(P5:W5)</f>
        <v>7.7226414941541542E-4</v>
      </c>
      <c r="AF5" s="635" t="s">
        <v>502</v>
      </c>
      <c r="AG5" s="1628"/>
      <c r="AH5" s="1628"/>
      <c r="AI5" s="1628"/>
      <c r="AJ5" s="1628"/>
      <c r="AK5" s="1628"/>
      <c r="AL5" s="1628"/>
      <c r="AM5" s="1628"/>
      <c r="AN5" s="1628"/>
      <c r="AO5" s="1628"/>
      <c r="AP5" s="1628"/>
      <c r="AQ5" s="1628"/>
      <c r="AR5" s="1628"/>
      <c r="AS5" s="1628"/>
      <c r="AT5" s="1628"/>
      <c r="AU5" s="1628"/>
      <c r="AV5" s="1628"/>
      <c r="AW5" s="1628"/>
      <c r="AX5" s="1819" t="s">
        <v>503</v>
      </c>
      <c r="AY5" s="1752" t="s">
        <v>538</v>
      </c>
    </row>
    <row r="6" spans="1:57" x14ac:dyDescent="0.2">
      <c r="A6" s="451" t="s">
        <v>185</v>
      </c>
      <c r="B6" s="452">
        <f>SportCatchMaster!F24</f>
        <v>5</v>
      </c>
      <c r="C6" s="452">
        <f>SportCatchMaster!H24</f>
        <v>3</v>
      </c>
      <c r="D6" s="452">
        <f>SportCatchMaster!J24</f>
        <v>0</v>
      </c>
      <c r="E6" s="452">
        <f>SportCatchMaster!L24</f>
        <v>0</v>
      </c>
      <c r="F6" s="452">
        <f>SportCatchMaster!N24</f>
        <v>0</v>
      </c>
      <c r="G6" s="452">
        <f>SportCatchMaster!P24</f>
        <v>0</v>
      </c>
      <c r="H6" s="452">
        <f>SportCatchMaster!R24</f>
        <v>0</v>
      </c>
      <c r="I6" s="452">
        <f>SportCatchMaster!T24</f>
        <v>0</v>
      </c>
      <c r="J6" s="452">
        <f>SportCatchMaster!V24</f>
        <v>7</v>
      </c>
      <c r="K6" s="452">
        <f>SportCatchMaster!X24</f>
        <v>0</v>
      </c>
      <c r="L6" s="452">
        <f>SportCatchMaster!Z24</f>
        <v>0</v>
      </c>
      <c r="M6" s="452">
        <f>SportCatchMaster!AB24</f>
        <v>0</v>
      </c>
      <c r="O6" s="459" t="str">
        <f t="shared" si="1"/>
        <v>September</v>
      </c>
      <c r="P6" s="460">
        <f t="shared" si="4"/>
        <v>5.9882526628465002E-4</v>
      </c>
      <c r="Q6" s="461">
        <f t="shared" si="2"/>
        <v>3.9411419923436998E-4</v>
      </c>
      <c r="R6" s="461">
        <f t="shared" si="2"/>
        <v>0</v>
      </c>
      <c r="S6" s="461"/>
      <c r="T6" s="461"/>
      <c r="U6" s="461">
        <f t="shared" si="5"/>
        <v>0</v>
      </c>
      <c r="V6" s="461">
        <f t="shared" si="3"/>
        <v>0</v>
      </c>
      <c r="W6" s="461">
        <f t="shared" si="3"/>
        <v>0</v>
      </c>
      <c r="X6" s="461">
        <f t="shared" si="3"/>
        <v>1.4832857045591094E-3</v>
      </c>
      <c r="Y6" s="461">
        <f t="shared" si="3"/>
        <v>0</v>
      </c>
      <c r="Z6" s="461">
        <f t="shared" si="3"/>
        <v>0</v>
      </c>
      <c r="AA6" s="462">
        <f t="shared" si="3"/>
        <v>0</v>
      </c>
      <c r="AB6" s="457">
        <f t="shared" si="6"/>
        <v>1.6548991091983666E-4</v>
      </c>
      <c r="AF6" s="635" t="s">
        <v>505</v>
      </c>
      <c r="AG6" s="1628"/>
      <c r="AH6" s="1628"/>
      <c r="AI6" s="1628"/>
      <c r="AJ6" s="1628"/>
      <c r="AK6" s="1628"/>
      <c r="AL6" s="1628"/>
      <c r="AM6" s="1628"/>
      <c r="AN6" s="1628"/>
      <c r="AO6" s="1628"/>
      <c r="AP6" s="1628"/>
      <c r="AQ6" s="1628"/>
      <c r="AR6" s="1628"/>
      <c r="AS6" s="1628"/>
      <c r="AT6" s="1628"/>
      <c r="AU6" s="1628"/>
      <c r="AV6" s="1628"/>
      <c r="AW6" s="1628"/>
      <c r="AX6" s="1819" t="s">
        <v>504</v>
      </c>
      <c r="AY6" s="1752" t="s">
        <v>504</v>
      </c>
    </row>
    <row r="7" spans="1:57" x14ac:dyDescent="0.2">
      <c r="A7" s="451" t="s">
        <v>187</v>
      </c>
      <c r="B7" s="452">
        <f>SportCatchMaster!F26</f>
        <v>2</v>
      </c>
      <c r="C7" s="452">
        <f>SportCatchMaster!H26</f>
        <v>0</v>
      </c>
      <c r="D7" s="452">
        <f>SportCatchMaster!J26</f>
        <v>6</v>
      </c>
      <c r="E7" s="452">
        <f>SportCatchMaster!L26</f>
        <v>0</v>
      </c>
      <c r="F7" s="452">
        <f>SportCatchMaster!N26</f>
        <v>13</v>
      </c>
      <c r="G7" s="452">
        <f>SportCatchMaster!P26</f>
        <v>7</v>
      </c>
      <c r="H7" s="452">
        <f>SportCatchMaster!R26</f>
        <v>3</v>
      </c>
      <c r="I7" s="452">
        <f>SportCatchMaster!T26</f>
        <v>0</v>
      </c>
      <c r="J7" s="452">
        <f>SportCatchMaster!V26</f>
        <v>0</v>
      </c>
      <c r="K7" s="452">
        <f>SportCatchMaster!X26</f>
        <v>2</v>
      </c>
      <c r="L7" s="452">
        <f>SportCatchMaster!Z26</f>
        <v>0</v>
      </c>
      <c r="M7" s="452">
        <f>SportCatchMaster!AB26</f>
        <v>0</v>
      </c>
      <c r="O7" s="459" t="str">
        <f t="shared" si="1"/>
        <v>October</v>
      </c>
      <c r="P7" s="460">
        <f t="shared" si="4"/>
        <v>2.3953010651386002E-4</v>
      </c>
      <c r="Q7" s="461">
        <f t="shared" si="2"/>
        <v>0</v>
      </c>
      <c r="R7" s="461">
        <f t="shared" si="2"/>
        <v>6.9992644909652691E-4</v>
      </c>
      <c r="S7" s="461"/>
      <c r="T7" s="461"/>
      <c r="U7" s="461">
        <f t="shared" si="5"/>
        <v>9.2432913511843293E-4</v>
      </c>
      <c r="V7" s="461">
        <f t="shared" si="3"/>
        <v>3.2984624288673287E-4</v>
      </c>
      <c r="W7" s="461">
        <f t="shared" si="3"/>
        <v>0</v>
      </c>
      <c r="X7" s="461">
        <f t="shared" si="3"/>
        <v>0</v>
      </c>
      <c r="Y7" s="461">
        <f t="shared" si="3"/>
        <v>3.5135033143560563E-4</v>
      </c>
      <c r="Z7" s="461">
        <f t="shared" si="3"/>
        <v>0</v>
      </c>
      <c r="AA7" s="462">
        <f t="shared" si="3"/>
        <v>0</v>
      </c>
      <c r="AB7" s="457">
        <f t="shared" si="6"/>
        <v>3.6560532226925877E-4</v>
      </c>
      <c r="AF7" s="635" t="s">
        <v>506</v>
      </c>
      <c r="AG7" s="1628"/>
      <c r="AH7" s="1628"/>
      <c r="AI7" s="1628"/>
      <c r="AJ7" s="1628"/>
      <c r="AK7" s="1628"/>
      <c r="AL7" s="1628"/>
      <c r="AM7" s="1628"/>
      <c r="AN7" s="1628"/>
      <c r="AO7" s="1628"/>
      <c r="AP7" s="1628"/>
      <c r="AQ7" s="1628"/>
      <c r="AR7" s="1628"/>
      <c r="AS7" s="1628"/>
      <c r="AT7" s="1628"/>
      <c r="AU7" s="1628"/>
      <c r="AV7" s="1628"/>
      <c r="AW7" s="1628"/>
      <c r="AX7" s="1819" t="s">
        <v>507</v>
      </c>
      <c r="AY7" s="1752" t="s">
        <v>507</v>
      </c>
    </row>
    <row r="8" spans="1:57" x14ac:dyDescent="0.2">
      <c r="A8" s="451" t="s">
        <v>189</v>
      </c>
      <c r="B8" s="452">
        <f>SportCatchMaster!F28</f>
        <v>7</v>
      </c>
      <c r="C8" s="452">
        <f>SportCatchMaster!H28</f>
        <v>5</v>
      </c>
      <c r="D8" s="452">
        <f>SportCatchMaster!J28</f>
        <v>14</v>
      </c>
      <c r="E8" s="452">
        <f>SportCatchMaster!L28</f>
        <v>3</v>
      </c>
      <c r="F8" s="452">
        <f>SportCatchMaster!N28</f>
        <v>14</v>
      </c>
      <c r="G8" s="452">
        <f>SportCatchMaster!P28</f>
        <v>0</v>
      </c>
      <c r="H8" s="452">
        <f>SportCatchMaster!R28</f>
        <v>4</v>
      </c>
      <c r="I8" s="452">
        <f>SportCatchMaster!T28</f>
        <v>3</v>
      </c>
      <c r="J8" s="452">
        <f>SportCatchMaster!V28</f>
        <v>5</v>
      </c>
      <c r="K8" s="452">
        <f>SportCatchMaster!X28</f>
        <v>0</v>
      </c>
      <c r="L8" s="452">
        <f>SportCatchMaster!Z28</f>
        <v>0</v>
      </c>
      <c r="M8" s="452">
        <f>SportCatchMaster!AB28</f>
        <v>0</v>
      </c>
      <c r="O8" s="459" t="str">
        <f t="shared" si="1"/>
        <v>November</v>
      </c>
      <c r="P8" s="460">
        <f t="shared" si="4"/>
        <v>8.383553727985101E-4</v>
      </c>
      <c r="Q8" s="461">
        <f t="shared" si="2"/>
        <v>6.5685699872395004E-4</v>
      </c>
      <c r="R8" s="461">
        <f t="shared" si="2"/>
        <v>1.6331617145585629E-3</v>
      </c>
      <c r="S8" s="461"/>
      <c r="T8" s="461"/>
      <c r="U8" s="461">
        <f t="shared" si="5"/>
        <v>0</v>
      </c>
      <c r="V8" s="461">
        <f t="shared" si="3"/>
        <v>4.3979499051564381E-4</v>
      </c>
      <c r="W8" s="461">
        <f t="shared" si="3"/>
        <v>7.0785356064897249E-4</v>
      </c>
      <c r="X8" s="461">
        <f t="shared" si="3"/>
        <v>1.0594897889707924E-3</v>
      </c>
      <c r="Y8" s="461">
        <f t="shared" si="3"/>
        <v>0</v>
      </c>
      <c r="Z8" s="461">
        <f t="shared" si="3"/>
        <v>0</v>
      </c>
      <c r="AA8" s="462">
        <f t="shared" si="3"/>
        <v>0</v>
      </c>
      <c r="AB8" s="457">
        <f t="shared" si="6"/>
        <v>7.1267043954093988E-4</v>
      </c>
      <c r="AE8" s="1648"/>
      <c r="AF8" s="950" t="s">
        <v>508</v>
      </c>
      <c r="AG8" s="1671"/>
      <c r="AH8" s="1671"/>
      <c r="AI8" s="1671"/>
      <c r="AJ8" s="1671"/>
      <c r="AK8" s="1671"/>
      <c r="AL8" s="1671"/>
      <c r="AM8" s="1671"/>
      <c r="AN8" s="1671"/>
      <c r="AO8" s="1671"/>
      <c r="AP8" s="1671"/>
      <c r="AQ8" s="1671"/>
      <c r="AR8" s="1671"/>
      <c r="AS8" s="1671"/>
      <c r="AT8" s="1671"/>
      <c r="AU8" s="1671"/>
      <c r="AV8" s="1671"/>
      <c r="AW8" s="1671"/>
      <c r="AX8" s="1819" t="s">
        <v>184</v>
      </c>
      <c r="AY8" s="1752" t="s">
        <v>184</v>
      </c>
      <c r="AZ8" s="1648"/>
      <c r="BA8" s="1648"/>
      <c r="BB8" s="1648"/>
      <c r="BC8" s="1648"/>
      <c r="BD8" s="1648"/>
      <c r="BE8" s="1648"/>
    </row>
    <row r="9" spans="1:57" x14ac:dyDescent="0.2">
      <c r="A9" s="451" t="s">
        <v>190</v>
      </c>
      <c r="B9" s="469">
        <f>SportCatchMaster!F30</f>
        <v>43</v>
      </c>
      <c r="C9" s="470">
        <f>SportCatchMaster!H30</f>
        <v>13</v>
      </c>
      <c r="D9" s="470">
        <f>SportCatchMaster!J30</f>
        <v>50</v>
      </c>
      <c r="E9" s="470">
        <f>SportCatchMaster!L30</f>
        <v>6</v>
      </c>
      <c r="F9" s="470">
        <f>SportCatchMaster!N30</f>
        <v>55</v>
      </c>
      <c r="G9" s="470">
        <f>SportCatchMaster!P30</f>
        <v>18</v>
      </c>
      <c r="H9" s="470">
        <f>SportCatchMaster!R30</f>
        <v>49</v>
      </c>
      <c r="I9" s="470">
        <f>SportCatchMaster!T30</f>
        <v>13</v>
      </c>
      <c r="J9" s="470">
        <f>SportCatchMaster!V30</f>
        <v>11</v>
      </c>
      <c r="K9" s="470">
        <f>SportCatchMaster!X30</f>
        <v>53</v>
      </c>
      <c r="L9" s="470">
        <f>SportCatchMaster!Z30</f>
        <v>0</v>
      </c>
      <c r="M9" s="470">
        <f>SportCatchMaster!AB30</f>
        <v>0</v>
      </c>
      <c r="O9" s="459" t="str">
        <f t="shared" si="1"/>
        <v>December</v>
      </c>
      <c r="P9" s="460">
        <f t="shared" si="4"/>
        <v>5.1498972900479905E-3</v>
      </c>
      <c r="Q9" s="461">
        <f t="shared" si="2"/>
        <v>1.7078281966822701E-3</v>
      </c>
      <c r="R9" s="461">
        <f t="shared" si="2"/>
        <v>5.832720409137725E-3</v>
      </c>
      <c r="S9" s="461"/>
      <c r="T9" s="461"/>
      <c r="U9" s="461">
        <f t="shared" si="5"/>
        <v>2.3768463474473991E-3</v>
      </c>
      <c r="V9" s="461">
        <f t="shared" si="3"/>
        <v>5.3874886338166365E-3</v>
      </c>
      <c r="W9" s="461">
        <f t="shared" si="3"/>
        <v>3.0673654294788807E-3</v>
      </c>
      <c r="X9" s="461">
        <f t="shared" si="3"/>
        <v>2.3308775357357434E-3</v>
      </c>
      <c r="Y9" s="461">
        <f t="shared" si="3"/>
        <v>9.3107837830435497E-3</v>
      </c>
      <c r="Z9" s="461">
        <f t="shared" si="3"/>
        <v>0</v>
      </c>
      <c r="AA9" s="462">
        <f t="shared" si="3"/>
        <v>0</v>
      </c>
      <c r="AB9" s="457">
        <f t="shared" si="6"/>
        <v>3.9203577177684837E-3</v>
      </c>
      <c r="AF9" s="635" t="s">
        <v>471</v>
      </c>
      <c r="AG9" s="1628"/>
      <c r="AH9" s="1628"/>
      <c r="AI9" s="1628"/>
      <c r="AJ9" s="1628"/>
      <c r="AK9" s="1628"/>
      <c r="AL9" s="1628"/>
      <c r="AM9" s="1628"/>
      <c r="AN9" s="1628"/>
      <c r="AO9" s="1628"/>
      <c r="AP9" s="1628"/>
      <c r="AQ9" s="1628"/>
      <c r="AR9" s="1628"/>
      <c r="AS9" s="1628"/>
      <c r="AT9" s="1628"/>
      <c r="AU9" s="1628">
        <v>21.1</v>
      </c>
      <c r="AV9" s="1628">
        <v>10.3</v>
      </c>
      <c r="AW9" s="1628">
        <v>6</v>
      </c>
      <c r="AX9" s="1820">
        <v>36.24</v>
      </c>
      <c r="AY9" s="1732">
        <v>7</v>
      </c>
    </row>
    <row r="10" spans="1:57" x14ac:dyDescent="0.2">
      <c r="A10" s="471" t="s">
        <v>191</v>
      </c>
      <c r="B10" s="472">
        <f>SportCatchMaster!H8</f>
        <v>188</v>
      </c>
      <c r="C10" s="472">
        <f>SportCatchMaster!J8</f>
        <v>135</v>
      </c>
      <c r="D10" s="472">
        <f>SportCatchMaster!L8</f>
        <v>131</v>
      </c>
      <c r="E10" s="472">
        <f>SportCatchMaster!N8</f>
        <v>121</v>
      </c>
      <c r="F10" s="472">
        <f>SportCatchMaster!P8</f>
        <v>232</v>
      </c>
      <c r="G10" s="472">
        <f>SportCatchMaster!R8</f>
        <v>20</v>
      </c>
      <c r="H10" s="472">
        <f>SportCatchMaster!T8</f>
        <v>175</v>
      </c>
      <c r="I10" s="472">
        <f>SportCatchMaster!V8</f>
        <v>156</v>
      </c>
      <c r="J10" s="472">
        <f>SportCatchMaster!X8</f>
        <v>5</v>
      </c>
      <c r="K10" s="472">
        <f>SportCatchMaster!Z8</f>
        <v>23</v>
      </c>
      <c r="L10" s="472">
        <f>SportCatchMaster!AB8</f>
        <v>0</v>
      </c>
      <c r="M10" s="472">
        <f>SportCatchMaster!AD8</f>
        <v>0</v>
      </c>
      <c r="O10" s="459" t="str">
        <f t="shared" si="1"/>
        <v>January</v>
      </c>
      <c r="P10" s="460">
        <f t="shared" si="4"/>
        <v>2.2515830012302843E-2</v>
      </c>
      <c r="Q10" s="461">
        <f t="shared" si="2"/>
        <v>1.7735138965546651E-2</v>
      </c>
      <c r="R10" s="461">
        <f t="shared" si="2"/>
        <v>1.5281727471940839E-2</v>
      </c>
      <c r="S10" s="461"/>
      <c r="T10" s="461"/>
      <c r="U10" s="461">
        <f t="shared" si="5"/>
        <v>2.6409403860526656E-3</v>
      </c>
      <c r="V10" s="461">
        <f t="shared" si="3"/>
        <v>1.9241030835059417E-2</v>
      </c>
      <c r="W10" s="461">
        <f t="shared" si="3"/>
        <v>3.680838515374657E-2</v>
      </c>
      <c r="X10" s="461">
        <f t="shared" si="3"/>
        <v>1.0594897889707924E-3</v>
      </c>
      <c r="Y10" s="461">
        <f t="shared" si="3"/>
        <v>4.0405288115094654E-3</v>
      </c>
      <c r="Z10" s="461">
        <f t="shared" si="3"/>
        <v>0</v>
      </c>
      <c r="AA10" s="462">
        <f t="shared" si="3"/>
        <v>0</v>
      </c>
      <c r="AB10" s="457">
        <f t="shared" ref="AB10:AB15" si="7">AVERAGE(P10:W10)</f>
        <v>1.9037175470774829E-2</v>
      </c>
      <c r="AF10" s="635" t="s">
        <v>472</v>
      </c>
      <c r="AG10" s="1628"/>
      <c r="AH10" s="1628"/>
      <c r="AI10" s="1628"/>
      <c r="AJ10" s="1628"/>
      <c r="AK10" s="1628"/>
      <c r="AL10" s="1628"/>
      <c r="AM10" s="1628"/>
      <c r="AN10" s="1628"/>
      <c r="AO10" s="1628"/>
      <c r="AP10" s="1628"/>
      <c r="AQ10" s="1628"/>
      <c r="AR10" s="1628"/>
      <c r="AS10" s="1628"/>
      <c r="AT10" s="1628"/>
      <c r="AU10" s="1628">
        <v>0</v>
      </c>
      <c r="AV10" s="1628">
        <v>4.5</v>
      </c>
      <c r="AW10" s="1628">
        <v>6</v>
      </c>
      <c r="AX10" s="1820"/>
      <c r="AY10" s="1732"/>
    </row>
    <row r="11" spans="1:57" x14ac:dyDescent="0.2">
      <c r="A11" s="473" t="s">
        <v>192</v>
      </c>
      <c r="B11" s="472">
        <f>SportCatchMaster!H10</f>
        <v>353</v>
      </c>
      <c r="C11" s="472">
        <f>SportCatchMaster!J10</f>
        <v>246</v>
      </c>
      <c r="D11" s="472">
        <f>SportCatchMaster!L10</f>
        <v>355</v>
      </c>
      <c r="E11" s="472">
        <f>SportCatchMaster!N10</f>
        <v>310</v>
      </c>
      <c r="F11" s="472">
        <f>SportCatchMaster!P10</f>
        <v>1240</v>
      </c>
      <c r="G11" s="472">
        <f>SportCatchMaster!R10</f>
        <v>0</v>
      </c>
      <c r="H11" s="472">
        <f>SportCatchMaster!T10</f>
        <v>770</v>
      </c>
      <c r="I11" s="472">
        <f>SportCatchMaster!V10</f>
        <v>180</v>
      </c>
      <c r="J11" s="472">
        <f>SportCatchMaster!X10</f>
        <v>32</v>
      </c>
      <c r="K11" s="472">
        <f>SportCatchMaster!Z10</f>
        <v>20</v>
      </c>
      <c r="L11" s="472">
        <f>SportCatchMaster!AB10</f>
        <v>0</v>
      </c>
      <c r="M11" s="472">
        <f>SportCatchMaster!AD10</f>
        <v>0</v>
      </c>
      <c r="O11" s="459" t="str">
        <f t="shared" si="1"/>
        <v>February</v>
      </c>
      <c r="P11" s="460">
        <f t="shared" si="4"/>
        <v>4.2277063799696292E-2</v>
      </c>
      <c r="Q11" s="461">
        <f t="shared" si="2"/>
        <v>3.2317364337218338E-2</v>
      </c>
      <c r="R11" s="461">
        <f t="shared" si="2"/>
        <v>4.1412314904877845E-2</v>
      </c>
      <c r="S11" s="461"/>
      <c r="T11" s="461"/>
      <c r="U11" s="461">
        <f t="shared" si="5"/>
        <v>0</v>
      </c>
      <c r="V11" s="461">
        <f t="shared" si="3"/>
        <v>8.4660535674261433E-2</v>
      </c>
      <c r="W11" s="461">
        <f t="shared" si="3"/>
        <v>4.2471213638938347E-2</v>
      </c>
      <c r="X11" s="461">
        <f t="shared" si="3"/>
        <v>6.780734649413072E-3</v>
      </c>
      <c r="Y11" s="461">
        <f t="shared" si="3"/>
        <v>3.5135033143560567E-3</v>
      </c>
      <c r="Z11" s="461">
        <f t="shared" si="3"/>
        <v>0</v>
      </c>
      <c r="AA11" s="462">
        <f t="shared" si="3"/>
        <v>0</v>
      </c>
      <c r="AB11" s="457">
        <f t="shared" si="7"/>
        <v>4.0523082059165376E-2</v>
      </c>
      <c r="AF11" s="635" t="s">
        <v>473</v>
      </c>
      <c r="AG11" s="1628"/>
      <c r="AH11" s="1628"/>
      <c r="AI11" s="1628"/>
      <c r="AJ11" s="1628"/>
      <c r="AK11" s="1628"/>
      <c r="AL11" s="1628"/>
      <c r="AM11" s="1628"/>
      <c r="AN11" s="1628"/>
      <c r="AO11" s="1628"/>
      <c r="AP11" s="1628"/>
      <c r="AQ11" s="1628"/>
      <c r="AR11" s="1628"/>
      <c r="AS11" s="1628"/>
      <c r="AT11" s="1628"/>
      <c r="AU11" s="1628">
        <v>4.5</v>
      </c>
      <c r="AV11" s="1628">
        <v>0</v>
      </c>
      <c r="AW11" s="1688" t="s">
        <v>489</v>
      </c>
      <c r="AX11" s="1821">
        <v>0</v>
      </c>
      <c r="AY11" s="1728">
        <v>0</v>
      </c>
    </row>
    <row r="12" spans="1:57" x14ac:dyDescent="0.2">
      <c r="A12" s="473" t="s">
        <v>193</v>
      </c>
      <c r="B12" s="472">
        <f>SportCatchMaster!H12</f>
        <v>725</v>
      </c>
      <c r="C12" s="472">
        <f>SportCatchMaster!J12</f>
        <v>653</v>
      </c>
      <c r="D12" s="472">
        <f>SportCatchMaster!L12</f>
        <v>11</v>
      </c>
      <c r="E12" s="472">
        <f>SportCatchMaster!N12</f>
        <v>18</v>
      </c>
      <c r="F12" s="472">
        <f>SportCatchMaster!P12</f>
        <v>68</v>
      </c>
      <c r="G12" s="472">
        <f>SportCatchMaster!R12</f>
        <v>11</v>
      </c>
      <c r="H12" s="472">
        <f>SportCatchMaster!T12</f>
        <v>28</v>
      </c>
      <c r="I12" s="472">
        <f>SportCatchMaster!V12</f>
        <v>9</v>
      </c>
      <c r="J12" s="472">
        <f>SportCatchMaster!X12</f>
        <v>0</v>
      </c>
      <c r="K12" s="472">
        <f>SportCatchMaster!Z12</f>
        <v>32</v>
      </c>
      <c r="L12" s="472">
        <f>SportCatchMaster!AB12</f>
        <v>0</v>
      </c>
      <c r="M12" s="472">
        <f>SportCatchMaster!AD12</f>
        <v>0</v>
      </c>
      <c r="O12" s="459" t="str">
        <f t="shared" si="1"/>
        <v>March</v>
      </c>
      <c r="P12" s="460">
        <f t="shared" si="4"/>
        <v>8.6829663611274255E-2</v>
      </c>
      <c r="Q12" s="461">
        <f t="shared" si="2"/>
        <v>8.5785524033347868E-2</v>
      </c>
      <c r="R12" s="461">
        <f t="shared" si="2"/>
        <v>1.2831984900102994E-3</v>
      </c>
      <c r="S12" s="461"/>
      <c r="T12" s="461"/>
      <c r="U12" s="461">
        <f t="shared" si="5"/>
        <v>1.452517212328966E-3</v>
      </c>
      <c r="V12" s="461">
        <f t="shared" si="3"/>
        <v>3.0785649336095068E-3</v>
      </c>
      <c r="W12" s="461">
        <f t="shared" si="3"/>
        <v>2.1235606819469174E-3</v>
      </c>
      <c r="X12" s="461">
        <f t="shared" si="3"/>
        <v>0</v>
      </c>
      <c r="Y12" s="461">
        <f t="shared" si="3"/>
        <v>5.6216053029696901E-3</v>
      </c>
      <c r="Z12" s="461">
        <f t="shared" si="3"/>
        <v>0</v>
      </c>
      <c r="AA12" s="462">
        <f t="shared" si="3"/>
        <v>0</v>
      </c>
      <c r="AB12" s="457">
        <f t="shared" si="7"/>
        <v>3.009217149375297E-2</v>
      </c>
      <c r="AF12" s="635" t="s">
        <v>474</v>
      </c>
      <c r="AG12" s="1628"/>
      <c r="AH12" s="1628"/>
      <c r="AI12" s="1628"/>
      <c r="AJ12" s="1628"/>
      <c r="AK12" s="1628"/>
      <c r="AL12" s="1628"/>
      <c r="AM12" s="1628"/>
      <c r="AN12" s="1628"/>
      <c r="AO12" s="1628"/>
      <c r="AP12" s="1628"/>
      <c r="AQ12" s="1628"/>
      <c r="AR12" s="1628"/>
      <c r="AS12" s="1628"/>
      <c r="AT12" s="1628"/>
      <c r="AU12" s="1628">
        <v>0</v>
      </c>
      <c r="AV12" s="1628">
        <v>0</v>
      </c>
      <c r="AW12" s="1688" t="s">
        <v>489</v>
      </c>
      <c r="AX12" s="1821">
        <v>0</v>
      </c>
      <c r="AY12" s="1728">
        <v>0</v>
      </c>
    </row>
    <row r="13" spans="1:57" x14ac:dyDescent="0.2">
      <c r="A13" s="473" t="s">
        <v>194</v>
      </c>
      <c r="B13" s="472">
        <f>SportCatchMaster!H14</f>
        <v>2</v>
      </c>
      <c r="C13" s="472">
        <f>SportCatchMaster!J14</f>
        <v>0</v>
      </c>
      <c r="D13" s="472">
        <f>SportCatchMaster!L14</f>
        <v>0</v>
      </c>
      <c r="E13" s="472">
        <f>SportCatchMaster!N14</f>
        <v>12</v>
      </c>
      <c r="F13" s="472">
        <f>SportCatchMaster!P14</f>
        <v>0</v>
      </c>
      <c r="G13" s="472">
        <f>SportCatchMaster!R14</f>
        <v>0</v>
      </c>
      <c r="H13" s="472">
        <f>SportCatchMaster!T14</f>
        <v>4</v>
      </c>
      <c r="I13" s="472">
        <f>SportCatchMaster!V14</f>
        <v>0</v>
      </c>
      <c r="J13" s="472">
        <f>SportCatchMaster!X14</f>
        <v>0</v>
      </c>
      <c r="K13" s="472">
        <f>SportCatchMaster!Z14</f>
        <v>0</v>
      </c>
      <c r="L13" s="472">
        <f>SportCatchMaster!AB14</f>
        <v>0</v>
      </c>
      <c r="M13" s="472">
        <f>SportCatchMaster!AD14</f>
        <v>0</v>
      </c>
      <c r="O13" s="459" t="str">
        <f t="shared" si="1"/>
        <v>April</v>
      </c>
      <c r="P13" s="460">
        <f t="shared" si="4"/>
        <v>2.3953010651386002E-4</v>
      </c>
      <c r="Q13" s="461">
        <f t="shared" si="2"/>
        <v>0</v>
      </c>
      <c r="R13" s="461">
        <f t="shared" si="2"/>
        <v>0</v>
      </c>
      <c r="S13" s="461"/>
      <c r="T13" s="461"/>
      <c r="U13" s="461">
        <f t="shared" si="5"/>
        <v>0</v>
      </c>
      <c r="V13" s="461">
        <f t="shared" si="3"/>
        <v>4.3979499051564381E-4</v>
      </c>
      <c r="W13" s="461">
        <f t="shared" si="3"/>
        <v>0</v>
      </c>
      <c r="X13" s="461">
        <f t="shared" si="3"/>
        <v>0</v>
      </c>
      <c r="Y13" s="461">
        <f t="shared" si="3"/>
        <v>0</v>
      </c>
      <c r="Z13" s="461">
        <f t="shared" si="3"/>
        <v>0</v>
      </c>
      <c r="AA13" s="462">
        <f t="shared" si="3"/>
        <v>0</v>
      </c>
      <c r="AB13" s="457">
        <f t="shared" si="7"/>
        <v>1.132208495049173E-4</v>
      </c>
      <c r="AF13" s="635" t="s">
        <v>475</v>
      </c>
      <c r="AG13" s="1628"/>
      <c r="AH13" s="1628"/>
      <c r="AI13" s="1628"/>
      <c r="AJ13" s="1628"/>
      <c r="AK13" s="1628"/>
      <c r="AL13" s="1628"/>
      <c r="AM13" s="1628"/>
      <c r="AN13" s="1628"/>
      <c r="AO13" s="1628"/>
      <c r="AP13" s="1628"/>
      <c r="AQ13" s="1628"/>
      <c r="AR13" s="1628"/>
      <c r="AS13" s="1628"/>
      <c r="AT13" s="1628"/>
      <c r="AU13" s="1628">
        <f t="shared" ref="AU13:AY14" si="8">AU9*0.1</f>
        <v>2.1100000000000003</v>
      </c>
      <c r="AV13" s="1628">
        <f t="shared" si="8"/>
        <v>1.03</v>
      </c>
      <c r="AW13" s="1628">
        <f t="shared" si="8"/>
        <v>0.60000000000000009</v>
      </c>
      <c r="AX13" s="1822">
        <f t="shared" si="8"/>
        <v>3.6240000000000006</v>
      </c>
      <c r="AY13" s="1798">
        <f t="shared" si="8"/>
        <v>0.70000000000000007</v>
      </c>
    </row>
    <row r="14" spans="1:57" x14ac:dyDescent="0.2">
      <c r="A14" s="473" t="s">
        <v>195</v>
      </c>
      <c r="B14" s="472">
        <f>SportCatchMaster!H16</f>
        <v>0</v>
      </c>
      <c r="C14" s="472">
        <f>SportCatchMaster!J16</f>
        <v>0</v>
      </c>
      <c r="D14" s="472">
        <f>SportCatchMaster!L16</f>
        <v>0</v>
      </c>
      <c r="E14" s="472">
        <f>SportCatchMaster!N16</f>
        <v>0</v>
      </c>
      <c r="F14" s="472">
        <f>SportCatchMaster!P16</f>
        <v>0</v>
      </c>
      <c r="G14" s="472">
        <f>SportCatchMaster!R16</f>
        <v>0</v>
      </c>
      <c r="H14" s="472">
        <f>SportCatchMaster!T16</f>
        <v>0</v>
      </c>
      <c r="I14" s="472">
        <f>SportCatchMaster!V16</f>
        <v>0</v>
      </c>
      <c r="J14" s="472">
        <f>SportCatchMaster!X16</f>
        <v>0</v>
      </c>
      <c r="K14" s="472">
        <f>SportCatchMaster!Z16</f>
        <v>0</v>
      </c>
      <c r="L14" s="472">
        <f>SportCatchMaster!AB16</f>
        <v>0</v>
      </c>
      <c r="M14" s="472">
        <f>SportCatchMaster!AD16</f>
        <v>0</v>
      </c>
      <c r="O14" s="459" t="str">
        <f t="shared" si="1"/>
        <v>May</v>
      </c>
      <c r="P14" s="460">
        <f t="shared" si="4"/>
        <v>0</v>
      </c>
      <c r="Q14" s="461">
        <f t="shared" si="2"/>
        <v>0</v>
      </c>
      <c r="R14" s="461">
        <f t="shared" si="2"/>
        <v>0</v>
      </c>
      <c r="S14" s="461"/>
      <c r="T14" s="461"/>
      <c r="U14" s="461">
        <f t="shared" si="5"/>
        <v>0</v>
      </c>
      <c r="V14" s="461">
        <f t="shared" si="3"/>
        <v>0</v>
      </c>
      <c r="W14" s="461">
        <f t="shared" si="3"/>
        <v>0</v>
      </c>
      <c r="X14" s="461">
        <f t="shared" si="3"/>
        <v>0</v>
      </c>
      <c r="Y14" s="461">
        <f t="shared" si="3"/>
        <v>0</v>
      </c>
      <c r="Z14" s="461">
        <f t="shared" si="3"/>
        <v>0</v>
      </c>
      <c r="AA14" s="462">
        <f t="shared" si="3"/>
        <v>0</v>
      </c>
      <c r="AB14" s="457">
        <f t="shared" si="7"/>
        <v>0</v>
      </c>
      <c r="AF14" s="635" t="s">
        <v>476</v>
      </c>
      <c r="AG14" s="1628"/>
      <c r="AH14" s="1628"/>
      <c r="AI14" s="1628"/>
      <c r="AJ14" s="1628"/>
      <c r="AK14" s="1628"/>
      <c r="AL14" s="1628"/>
      <c r="AM14" s="1628"/>
      <c r="AN14" s="1628"/>
      <c r="AO14" s="1628"/>
      <c r="AP14" s="1628"/>
      <c r="AQ14" s="1628"/>
      <c r="AR14" s="1628"/>
      <c r="AS14" s="1628"/>
      <c r="AT14" s="1628"/>
      <c r="AU14" s="1628">
        <f t="shared" si="8"/>
        <v>0</v>
      </c>
      <c r="AV14" s="1628">
        <f t="shared" si="8"/>
        <v>0.45</v>
      </c>
      <c r="AW14" s="1628">
        <f t="shared" si="8"/>
        <v>0.60000000000000009</v>
      </c>
      <c r="AX14" s="1822">
        <f t="shared" si="8"/>
        <v>0</v>
      </c>
      <c r="AY14" s="1798">
        <f t="shared" si="8"/>
        <v>0</v>
      </c>
    </row>
    <row r="15" spans="1:57" x14ac:dyDescent="0.2">
      <c r="A15" s="546" t="s">
        <v>196</v>
      </c>
      <c r="B15" s="547">
        <f>SportCatchMaster!H18</f>
        <v>6</v>
      </c>
      <c r="C15" s="547">
        <f>SportCatchMaster!J18</f>
        <v>3</v>
      </c>
      <c r="D15" s="547">
        <f>SportCatchMaster!L18</f>
        <v>9</v>
      </c>
      <c r="E15" s="547">
        <f>SportCatchMaster!N18</f>
        <v>10</v>
      </c>
      <c r="F15" s="547">
        <f>SportCatchMaster!P18</f>
        <v>0</v>
      </c>
      <c r="G15" s="547">
        <f>SportCatchMaster!R18</f>
        <v>0</v>
      </c>
      <c r="H15" s="547">
        <f>SportCatchMaster!T18</f>
        <v>4</v>
      </c>
      <c r="I15" s="547">
        <f>SportCatchMaster!V18</f>
        <v>7</v>
      </c>
      <c r="J15" s="547">
        <f>SportCatchMaster!X18</f>
        <v>2</v>
      </c>
      <c r="K15" s="547">
        <f>SportCatchMaster!Z18</f>
        <v>0</v>
      </c>
      <c r="L15" s="547">
        <f>SportCatchMaster!AB18</f>
        <v>0</v>
      </c>
      <c r="M15" s="547">
        <f>SportCatchMaster!AD18</f>
        <v>0</v>
      </c>
      <c r="O15" s="548" t="str">
        <f t="shared" si="1"/>
        <v>June</v>
      </c>
      <c r="P15" s="549">
        <f t="shared" si="4"/>
        <v>7.1859031954158012E-4</v>
      </c>
      <c r="Q15" s="550">
        <f t="shared" si="2"/>
        <v>3.9411419923436998E-4</v>
      </c>
      <c r="R15" s="550">
        <f t="shared" si="2"/>
        <v>1.0498896736447904E-3</v>
      </c>
      <c r="S15" s="550"/>
      <c r="T15" s="550"/>
      <c r="U15" s="550">
        <f t="shared" si="5"/>
        <v>0</v>
      </c>
      <c r="V15" s="550">
        <f t="shared" si="3"/>
        <v>4.3979499051564381E-4</v>
      </c>
      <c r="W15" s="550">
        <f t="shared" si="3"/>
        <v>1.6516583081809357E-3</v>
      </c>
      <c r="X15" s="550">
        <f t="shared" si="3"/>
        <v>4.23795915588317E-4</v>
      </c>
      <c r="Y15" s="550">
        <f t="shared" si="3"/>
        <v>0</v>
      </c>
      <c r="Z15" s="550">
        <f t="shared" si="3"/>
        <v>0</v>
      </c>
      <c r="AA15" s="551">
        <f t="shared" si="3"/>
        <v>0</v>
      </c>
      <c r="AB15" s="457">
        <f t="shared" si="7"/>
        <v>7.0900791518621999E-4</v>
      </c>
      <c r="AF15" s="635" t="s">
        <v>483</v>
      </c>
      <c r="AG15" s="1628"/>
      <c r="AH15" s="1628"/>
      <c r="AI15" s="1628"/>
      <c r="AJ15" s="1628"/>
      <c r="AK15" s="1628"/>
      <c r="AL15" s="1628"/>
      <c r="AM15" s="1628"/>
      <c r="AN15" s="1628"/>
      <c r="AO15" s="1628"/>
      <c r="AP15" s="1628"/>
      <c r="AQ15" s="1628"/>
      <c r="AR15" s="1628"/>
      <c r="AS15" s="1628"/>
      <c r="AT15" s="1628"/>
      <c r="AU15" s="1628">
        <f>AU13+AU14*TreatyCatch!DD303</f>
        <v>2.1100000000000003</v>
      </c>
      <c r="AV15" s="1628">
        <f>AV13+AV14*TreatyCatch!DE303</f>
        <v>1.06843</v>
      </c>
      <c r="AW15" s="1740">
        <f>AW13+AW14*TreatyCatch!DK303</f>
        <v>0.65124000000000004</v>
      </c>
      <c r="AX15" s="1823">
        <f>AX13+AX14*[1]TreatyCatch!DQ303</f>
        <v>3.6240000000000006</v>
      </c>
      <c r="AY15" s="1799">
        <f>AY13+AY14*TreatyCatch!DW303</f>
        <v>0.70000000000000007</v>
      </c>
    </row>
    <row r="16" spans="1:57" x14ac:dyDescent="0.2">
      <c r="A16" s="543" t="s">
        <v>243</v>
      </c>
      <c r="B16" s="544">
        <f>(B15/2)*0.25</f>
        <v>0.75</v>
      </c>
      <c r="C16" s="544">
        <f t="shared" ref="C16:M16" si="9">(C15/2)*0.25</f>
        <v>0.375</v>
      </c>
      <c r="D16" s="544">
        <f t="shared" si="9"/>
        <v>1.125</v>
      </c>
      <c r="E16" s="544">
        <f t="shared" si="9"/>
        <v>1.25</v>
      </c>
      <c r="F16" s="544">
        <f t="shared" si="9"/>
        <v>0</v>
      </c>
      <c r="G16" s="544">
        <f t="shared" si="9"/>
        <v>0</v>
      </c>
      <c r="H16" s="544">
        <f t="shared" si="9"/>
        <v>0.5</v>
      </c>
      <c r="I16" s="544">
        <f t="shared" si="9"/>
        <v>0.875</v>
      </c>
      <c r="J16" s="544">
        <f t="shared" si="9"/>
        <v>0.25</v>
      </c>
      <c r="K16" s="544">
        <f t="shared" si="9"/>
        <v>0</v>
      </c>
      <c r="L16" s="544">
        <f t="shared" si="9"/>
        <v>0</v>
      </c>
      <c r="M16" s="545">
        <f t="shared" si="9"/>
        <v>0</v>
      </c>
      <c r="O16" s="534" t="str">
        <f t="shared" si="1"/>
        <v>June adjusted 2 weeks and just 78D2 open</v>
      </c>
      <c r="P16" s="535">
        <f>B16/B$20</f>
        <v>8.9823789942697514E-5</v>
      </c>
      <c r="Q16" s="536">
        <f t="shared" si="2"/>
        <v>4.9264274904296248E-5</v>
      </c>
      <c r="R16" s="536">
        <f t="shared" si="2"/>
        <v>1.312362092055988E-4</v>
      </c>
      <c r="S16" s="536"/>
      <c r="T16" s="536"/>
      <c r="U16" s="536">
        <f t="shared" si="5"/>
        <v>0</v>
      </c>
      <c r="V16" s="536">
        <f t="shared" si="3"/>
        <v>5.4974373814455477E-5</v>
      </c>
      <c r="W16" s="536">
        <f t="shared" si="3"/>
        <v>2.0645728852261696E-4</v>
      </c>
      <c r="X16" s="536">
        <f t="shared" si="3"/>
        <v>5.2974489448539625E-5</v>
      </c>
      <c r="Y16" s="536">
        <f t="shared" si="3"/>
        <v>0</v>
      </c>
      <c r="Z16" s="536">
        <f t="shared" si="3"/>
        <v>0</v>
      </c>
      <c r="AA16" s="536">
        <f t="shared" si="3"/>
        <v>0</v>
      </c>
      <c r="AB16" s="555">
        <f>AVERAGE(P16:W16)</f>
        <v>8.8625989398277499E-5</v>
      </c>
      <c r="AC16" s="980"/>
      <c r="AD16" s="483"/>
      <c r="AF16" s="1626"/>
      <c r="AG16" s="1627"/>
      <c r="AH16" s="1627"/>
      <c r="AI16" s="1627"/>
      <c r="AJ16" s="1627"/>
      <c r="AK16" s="1627"/>
      <c r="AL16" s="1627"/>
      <c r="AM16" s="1627"/>
      <c r="AN16" s="1627"/>
      <c r="AO16" s="1627"/>
      <c r="AP16" s="1627"/>
      <c r="AQ16" s="1627"/>
      <c r="AR16" s="1627"/>
      <c r="AS16" s="1627"/>
      <c r="AT16" s="1627"/>
      <c r="AU16" s="1627"/>
      <c r="AV16" s="1627"/>
      <c r="AW16" s="1627"/>
      <c r="AX16" s="1824"/>
      <c r="AY16" s="1767"/>
    </row>
    <row r="17" spans="1:54" ht="13.5" thickBot="1" x14ac:dyDescent="0.25">
      <c r="A17" s="537" t="s">
        <v>197</v>
      </c>
      <c r="B17" s="538">
        <f>SUM(B4:B15)</f>
        <v>1340</v>
      </c>
      <c r="C17" s="539">
        <f t="shared" ref="C17:M17" si="10">SUM(C4:C15)</f>
        <v>1084</v>
      </c>
      <c r="D17" s="539">
        <f t="shared" si="10"/>
        <v>588</v>
      </c>
      <c r="E17" s="539">
        <f t="shared" si="10"/>
        <v>484</v>
      </c>
      <c r="F17" s="539">
        <f t="shared" si="10"/>
        <v>1632</v>
      </c>
      <c r="G17" s="539">
        <f t="shared" si="10"/>
        <v>71</v>
      </c>
      <c r="H17" s="539">
        <f t="shared" si="10"/>
        <v>1044</v>
      </c>
      <c r="I17" s="540">
        <f t="shared" si="10"/>
        <v>376</v>
      </c>
      <c r="J17" s="541">
        <f t="shared" si="10"/>
        <v>62</v>
      </c>
      <c r="K17" s="541">
        <f t="shared" si="10"/>
        <v>132</v>
      </c>
      <c r="L17" s="541">
        <f t="shared" si="10"/>
        <v>0</v>
      </c>
      <c r="M17" s="542">
        <f t="shared" si="10"/>
        <v>0</v>
      </c>
      <c r="O17" s="474" t="str">
        <f t="shared" si="1"/>
        <v>Total Sport</v>
      </c>
      <c r="P17" s="475">
        <f>SUM(P4:P15)</f>
        <v>0.16048517136428622</v>
      </c>
      <c r="Q17" s="475">
        <f t="shared" ref="Q17:R17" si="11">SUM(Q4:Q15)</f>
        <v>0.14240659732335237</v>
      </c>
      <c r="R17" s="475">
        <f t="shared" si="11"/>
        <v>6.8592792011459638E-2</v>
      </c>
      <c r="S17" s="475"/>
      <c r="T17" s="475"/>
      <c r="U17" s="475">
        <f t="shared" ref="U17:AA17" si="12">SUM(U4:U15)</f>
        <v>9.3753383704869627E-3</v>
      </c>
      <c r="V17" s="475">
        <f t="shared" si="12"/>
        <v>0.11478649252458303</v>
      </c>
      <c r="W17" s="475">
        <f t="shared" si="12"/>
        <v>8.8717646268004546E-2</v>
      </c>
      <c r="X17" s="475">
        <f t="shared" si="12"/>
        <v>1.3137673383237826E-2</v>
      </c>
      <c r="Y17" s="475">
        <f t="shared" si="12"/>
        <v>2.3189121874749974E-2</v>
      </c>
      <c r="Z17" s="475">
        <f t="shared" si="12"/>
        <v>0</v>
      </c>
      <c r="AA17" s="475">
        <f t="shared" si="12"/>
        <v>0</v>
      </c>
      <c r="AB17" s="476">
        <f>AVERAGE(P17:W17)</f>
        <v>9.7394006310362144E-2</v>
      </c>
      <c r="AC17" s="980"/>
      <c r="AD17" s="629"/>
      <c r="AF17" s="483"/>
      <c r="AU17" s="483"/>
      <c r="AV17" s="483"/>
      <c r="AW17" s="483"/>
      <c r="AX17" s="1751"/>
    </row>
    <row r="18" spans="1:54" ht="12.75" customHeight="1" x14ac:dyDescent="0.2">
      <c r="A18" s="477" t="s">
        <v>198</v>
      </c>
      <c r="B18" s="484">
        <f>TerminalRR!$O21</f>
        <v>58.040280857354027</v>
      </c>
      <c r="C18" s="485">
        <f>TerminalRR!$O22</f>
        <v>62.477343090346181</v>
      </c>
      <c r="D18" s="485">
        <f>TerminalRR!$O23</f>
        <v>296.98949938949937</v>
      </c>
      <c r="E18" s="485">
        <f>TerminalRR!$O24</f>
        <v>46.177655677655672</v>
      </c>
      <c r="F18" s="485">
        <f>TerminalRR!$O25</f>
        <v>62.808333333333337</v>
      </c>
      <c r="G18" s="485">
        <f>TerminalRR!$O26</f>
        <v>48</v>
      </c>
      <c r="H18" s="485">
        <f>TerminalRR!$O27</f>
        <v>101.04588091646916</v>
      </c>
      <c r="I18" s="485">
        <f>TerminalRR!$O28</f>
        <v>50.141899431837508</v>
      </c>
      <c r="J18" s="485">
        <f>TerminalRR!$O29</f>
        <v>40.791575091575091</v>
      </c>
      <c r="K18" s="485">
        <f>TerminalRR!$O30</f>
        <v>106.91524216524218</v>
      </c>
      <c r="L18" s="485">
        <f>TerminalRR!$O31</f>
        <v>40.436507936507937</v>
      </c>
      <c r="M18" s="486">
        <f>TerminalRR!$O32</f>
        <v>200.42105263157896</v>
      </c>
      <c r="O18" s="527"/>
      <c r="P18" s="478"/>
      <c r="Q18" s="478"/>
      <c r="R18" s="478"/>
      <c r="S18" s="478"/>
      <c r="T18" s="478"/>
      <c r="U18" s="478"/>
      <c r="V18" s="478"/>
      <c r="W18" s="478"/>
      <c r="X18" s="478"/>
      <c r="Y18" s="478"/>
      <c r="Z18" s="478"/>
      <c r="AA18" s="478"/>
      <c r="AB18" s="478"/>
      <c r="AF18" s="483"/>
      <c r="AU18" s="483"/>
      <c r="AV18" s="483"/>
      <c r="AW18" s="483"/>
      <c r="AX18" s="1751"/>
    </row>
    <row r="19" spans="1:54" ht="12.75" customHeight="1" x14ac:dyDescent="0.2">
      <c r="A19" s="522" t="s">
        <v>199</v>
      </c>
      <c r="B19" s="479">
        <f>TerminalRR!AD21</f>
        <v>6900</v>
      </c>
      <c r="C19" s="479">
        <f>TerminalRR!AD22</f>
        <v>6412</v>
      </c>
      <c r="D19" s="479">
        <f>TerminalRR!AD23</f>
        <v>7656</v>
      </c>
      <c r="E19" s="480" t="s">
        <v>184</v>
      </c>
      <c r="F19" s="480" t="s">
        <v>184</v>
      </c>
      <c r="G19" s="479">
        <f>TerminalRR!AD26</f>
        <v>7448</v>
      </c>
      <c r="H19" s="479">
        <f>TerminalRR!AD27</f>
        <v>7870</v>
      </c>
      <c r="I19" s="479">
        <f>TerminalRR!AD28</f>
        <v>3780</v>
      </c>
      <c r="J19" s="479">
        <f>TerminalRR!AD29</f>
        <v>4584</v>
      </c>
      <c r="K19" s="479">
        <f>TerminalRR!AD30</f>
        <v>5394</v>
      </c>
      <c r="L19" s="479">
        <f>TerminalRR!AD31</f>
        <v>6818</v>
      </c>
      <c r="M19" s="479">
        <f>TerminalRR!AD32</f>
        <v>7332</v>
      </c>
      <c r="O19" s="526"/>
      <c r="AF19" s="483"/>
      <c r="AU19" s="483"/>
      <c r="AV19" s="483"/>
      <c r="AW19" s="483"/>
      <c r="AX19" s="1751"/>
    </row>
    <row r="20" spans="1:54" ht="12.75" customHeight="1" x14ac:dyDescent="0.2">
      <c r="A20" s="523" t="s">
        <v>200</v>
      </c>
      <c r="B20" s="479">
        <f>TerminalRR!AJ21</f>
        <v>8349.6810864745021</v>
      </c>
      <c r="C20" s="479">
        <f>TerminalRR!AJ22</f>
        <v>7612.006889952153</v>
      </c>
      <c r="D20" s="479">
        <f>TerminalRR!AJ23</f>
        <v>8572.3292893772887</v>
      </c>
      <c r="E20" s="480" t="s">
        <v>184</v>
      </c>
      <c r="F20" s="480" t="s">
        <v>184</v>
      </c>
      <c r="G20" s="479">
        <f>TerminalRR!AJ26</f>
        <v>7573.06</v>
      </c>
      <c r="H20" s="479">
        <f>TerminalRR!AJ27</f>
        <v>9095.146798534799</v>
      </c>
      <c r="I20" s="479">
        <f>TerminalRR!AJ28</f>
        <v>4238.164737420474</v>
      </c>
      <c r="J20" s="479">
        <f>TerminalRR!AJ29</f>
        <v>4719.2526554286951</v>
      </c>
      <c r="K20" s="479">
        <f>TerminalRR!AJ30</f>
        <v>5692.3242161977396</v>
      </c>
      <c r="L20" s="479">
        <f>TerminalRR!AJ31</f>
        <v>6878.815970458294</v>
      </c>
      <c r="M20" s="479">
        <f>TerminalRR!AJ32</f>
        <v>7567.1291207477034</v>
      </c>
      <c r="O20" s="526"/>
      <c r="AF20" s="439" t="s">
        <v>520</v>
      </c>
    </row>
    <row r="21" spans="1:54" ht="12.75" customHeight="1" x14ac:dyDescent="0.2">
      <c r="A21" s="524" t="s">
        <v>201</v>
      </c>
      <c r="B21" s="480">
        <f>B19+B17</f>
        <v>8240</v>
      </c>
      <c r="C21" s="480">
        <f t="shared" ref="C21:M21" si="13">C19+C17</f>
        <v>7496</v>
      </c>
      <c r="D21" s="480">
        <f t="shared" si="13"/>
        <v>8244</v>
      </c>
      <c r="E21" s="480" t="s">
        <v>184</v>
      </c>
      <c r="F21" s="480" t="s">
        <v>184</v>
      </c>
      <c r="G21" s="480">
        <f t="shared" si="13"/>
        <v>7519</v>
      </c>
      <c r="H21" s="480">
        <f t="shared" si="13"/>
        <v>8914</v>
      </c>
      <c r="I21" s="480">
        <f t="shared" si="13"/>
        <v>4156</v>
      </c>
      <c r="J21" s="480">
        <f t="shared" si="13"/>
        <v>4646</v>
      </c>
      <c r="K21" s="480">
        <f t="shared" si="13"/>
        <v>5526</v>
      </c>
      <c r="L21" s="480">
        <f t="shared" si="13"/>
        <v>6818</v>
      </c>
      <c r="M21" s="480">
        <f t="shared" si="13"/>
        <v>7332</v>
      </c>
      <c r="N21" s="480"/>
      <c r="P21" s="526"/>
      <c r="Q21" s="984"/>
      <c r="R21" s="984"/>
      <c r="S21" s="984"/>
      <c r="T21" s="984"/>
      <c r="U21" s="984"/>
      <c r="AC21" s="458"/>
      <c r="AF21" s="441" t="s">
        <v>514</v>
      </c>
      <c r="AK21" s="1713" t="s">
        <v>332</v>
      </c>
      <c r="AO21" s="1713" t="s">
        <v>332</v>
      </c>
      <c r="AP21" s="1713" t="s">
        <v>332</v>
      </c>
      <c r="AQ21" s="1713" t="s">
        <v>332</v>
      </c>
      <c r="AR21" s="1713" t="s">
        <v>332</v>
      </c>
      <c r="AS21" s="1713" t="s">
        <v>332</v>
      </c>
      <c r="AT21" s="1713" t="s">
        <v>332</v>
      </c>
      <c r="AU21" s="1713" t="s">
        <v>332</v>
      </c>
      <c r="AV21" s="1713" t="s">
        <v>332</v>
      </c>
      <c r="AW21" s="1691" t="s">
        <v>490</v>
      </c>
      <c r="AX21" s="1726" t="s">
        <v>496</v>
      </c>
      <c r="AY21" s="1726" t="s">
        <v>496</v>
      </c>
    </row>
    <row r="22" spans="1:54" x14ac:dyDescent="0.2">
      <c r="A22" s="525" t="s">
        <v>238</v>
      </c>
      <c r="B22" s="480">
        <f>AVERAGE(B17:I17)</f>
        <v>827.375</v>
      </c>
      <c r="C22" s="480"/>
      <c r="D22" s="480"/>
      <c r="E22" s="480"/>
      <c r="F22" s="480"/>
      <c r="G22" s="480"/>
      <c r="H22" s="480"/>
      <c r="I22" s="480"/>
      <c r="J22" s="480"/>
      <c r="K22" s="480"/>
      <c r="L22" s="480"/>
      <c r="M22" s="480"/>
      <c r="N22" s="480"/>
      <c r="O22" s="480"/>
      <c r="P22" s="480"/>
      <c r="Q22" s="480"/>
      <c r="R22" s="984"/>
      <c r="S22" s="984"/>
      <c r="T22" s="984"/>
      <c r="U22" s="984"/>
      <c r="AF22" s="632" t="s">
        <v>179</v>
      </c>
      <c r="AG22" s="463" t="s">
        <v>66</v>
      </c>
      <c r="AH22" s="464" t="s">
        <v>67</v>
      </c>
      <c r="AI22" s="633" t="s">
        <v>68</v>
      </c>
      <c r="AJ22" s="633" t="s">
        <v>69</v>
      </c>
      <c r="AK22" s="1714" t="s">
        <v>70</v>
      </c>
      <c r="AL22" s="633" t="s">
        <v>71</v>
      </c>
      <c r="AM22" s="633" t="s">
        <v>119</v>
      </c>
      <c r="AN22" s="633" t="s">
        <v>120</v>
      </c>
      <c r="AO22" s="1714" t="s">
        <v>121</v>
      </c>
      <c r="AP22" s="1714" t="s">
        <v>122</v>
      </c>
      <c r="AQ22" s="1714" t="s">
        <v>123</v>
      </c>
      <c r="AR22" s="1714" t="s">
        <v>124</v>
      </c>
      <c r="AS22" s="1714" t="s">
        <v>125</v>
      </c>
      <c r="AT22" s="1714" t="s">
        <v>126</v>
      </c>
      <c r="AU22" s="1714" t="s">
        <v>127</v>
      </c>
      <c r="AV22" s="1720" t="s">
        <v>128</v>
      </c>
      <c r="AW22" s="1689" t="s">
        <v>485</v>
      </c>
      <c r="AX22" s="1825" t="s">
        <v>495</v>
      </c>
      <c r="AY22" s="1825" t="s">
        <v>529</v>
      </c>
      <c r="AZ22" s="1132"/>
      <c r="BA22" s="633"/>
      <c r="BB22" s="634"/>
    </row>
    <row r="23" spans="1:54" x14ac:dyDescent="0.2">
      <c r="A23" s="525"/>
      <c r="B23" s="480"/>
      <c r="C23" s="480"/>
      <c r="D23" s="480"/>
      <c r="E23" s="480"/>
      <c r="F23" s="480"/>
      <c r="G23" s="480"/>
      <c r="H23" s="480"/>
      <c r="I23" s="480"/>
      <c r="J23" s="480"/>
      <c r="K23" s="480"/>
      <c r="L23" s="480"/>
      <c r="M23" s="480"/>
      <c r="N23" s="483"/>
      <c r="O23" s="483"/>
      <c r="P23" s="483"/>
      <c r="Q23" s="1093"/>
      <c r="R23" s="1169" t="s">
        <v>368</v>
      </c>
      <c r="S23" s="1170"/>
      <c r="T23" s="1170"/>
      <c r="U23" s="1093"/>
      <c r="V23" s="1093"/>
      <c r="AF23" s="635" t="s">
        <v>181</v>
      </c>
      <c r="AG23" s="640">
        <v>2005</v>
      </c>
      <c r="AH23" s="518">
        <v>2006</v>
      </c>
      <c r="AI23" s="518">
        <v>2007</v>
      </c>
      <c r="AJ23" s="518">
        <v>2008</v>
      </c>
      <c r="AK23" s="1715">
        <v>2009</v>
      </c>
      <c r="AL23" s="518">
        <v>2010</v>
      </c>
      <c r="AM23" s="518">
        <v>2011</v>
      </c>
      <c r="AN23" s="518">
        <v>2012</v>
      </c>
      <c r="AO23" s="1715">
        <v>2013</v>
      </c>
      <c r="AP23" s="1715">
        <v>2014</v>
      </c>
      <c r="AQ23" s="1715">
        <v>2015</v>
      </c>
      <c r="AR23" s="1715">
        <v>2016</v>
      </c>
      <c r="AS23" s="1715">
        <v>2017</v>
      </c>
      <c r="AT23" s="1715">
        <v>2018</v>
      </c>
      <c r="AU23" s="1715">
        <v>2019</v>
      </c>
      <c r="AV23" s="1721">
        <v>2020</v>
      </c>
      <c r="AW23" s="1690">
        <v>2021</v>
      </c>
      <c r="AX23" s="1826" t="s">
        <v>495</v>
      </c>
      <c r="AY23" s="1826" t="s">
        <v>529</v>
      </c>
      <c r="AZ23" s="1133" t="s">
        <v>26</v>
      </c>
      <c r="BA23" s="483"/>
      <c r="BB23" s="636"/>
    </row>
    <row r="24" spans="1:54" x14ac:dyDescent="0.2">
      <c r="M24" s="483"/>
      <c r="N24" s="483"/>
      <c r="O24" s="483"/>
      <c r="P24" s="483"/>
      <c r="Q24" s="1093"/>
      <c r="R24" s="1171" t="s">
        <v>306</v>
      </c>
      <c r="S24" s="1172" t="s">
        <v>239</v>
      </c>
      <c r="T24" s="1173" t="s">
        <v>305</v>
      </c>
      <c r="U24" s="1093"/>
      <c r="V24" s="1093"/>
      <c r="AF24" s="635" t="s">
        <v>502</v>
      </c>
      <c r="AG24" s="467"/>
      <c r="AH24" s="468"/>
      <c r="AI24" s="468"/>
      <c r="AJ24" s="468"/>
      <c r="AK24" s="1718"/>
      <c r="AL24" s="468"/>
      <c r="AM24" s="468"/>
      <c r="AN24" s="468"/>
      <c r="AO24" s="1718"/>
      <c r="AP24" s="1718"/>
      <c r="AQ24" s="1718"/>
      <c r="AR24" s="1718"/>
      <c r="AS24" s="1718"/>
      <c r="AT24" s="1718"/>
      <c r="AU24" s="1718"/>
      <c r="AV24" s="1755"/>
      <c r="AW24" s="1756"/>
      <c r="AX24" s="1832" t="s">
        <v>509</v>
      </c>
      <c r="AY24" s="1832" t="s">
        <v>540</v>
      </c>
      <c r="AZ24" s="1140"/>
      <c r="BA24" s="483"/>
      <c r="BB24" s="636"/>
    </row>
    <row r="25" spans="1:54" x14ac:dyDescent="0.2">
      <c r="B25" s="439" t="s">
        <v>202</v>
      </c>
      <c r="F25" s="481">
        <f>SUM(AB4:AB10,AB15)</f>
        <v>2.6665531907938862E-2</v>
      </c>
      <c r="H25" s="439" t="s">
        <v>204</v>
      </c>
      <c r="M25" s="483"/>
      <c r="N25" s="483"/>
      <c r="O25" s="483"/>
      <c r="P25" s="483"/>
      <c r="Q25" s="1094"/>
      <c r="R25" s="1174" t="s">
        <v>307</v>
      </c>
      <c r="S25" s="1175">
        <f>AZ37</f>
        <v>4.8859790738070596E-4</v>
      </c>
      <c r="T25" s="1176">
        <f>S25*R29</f>
        <v>4.6494976866347981</v>
      </c>
      <c r="U25" s="1093"/>
      <c r="V25" s="1093"/>
      <c r="AF25" s="635" t="s">
        <v>505</v>
      </c>
      <c r="AG25" s="467"/>
      <c r="AH25" s="468"/>
      <c r="AI25" s="468"/>
      <c r="AJ25" s="468"/>
      <c r="AK25" s="1718"/>
      <c r="AL25" s="468"/>
      <c r="AM25" s="468"/>
      <c r="AN25" s="468"/>
      <c r="AO25" s="1718"/>
      <c r="AP25" s="1718"/>
      <c r="AQ25" s="1718"/>
      <c r="AR25" s="1718"/>
      <c r="AS25" s="1718"/>
      <c r="AT25" s="1718"/>
      <c r="AU25" s="1718"/>
      <c r="AV25" s="1755"/>
      <c r="AW25" s="1756"/>
      <c r="AX25" s="1827" t="s">
        <v>507</v>
      </c>
      <c r="AY25" s="1827" t="s">
        <v>507</v>
      </c>
      <c r="AZ25" s="1140"/>
      <c r="BA25" s="483"/>
      <c r="BB25" s="636"/>
    </row>
    <row r="26" spans="1:54" x14ac:dyDescent="0.2">
      <c r="B26" s="439" t="s">
        <v>203</v>
      </c>
      <c r="F26" s="1743">
        <f>F25/10</f>
        <v>2.6665531907938862E-3</v>
      </c>
      <c r="M26" s="483"/>
      <c r="N26" s="483"/>
      <c r="O26" s="483"/>
      <c r="P26" s="483"/>
      <c r="Q26" s="1094"/>
      <c r="R26" s="1177" t="s">
        <v>308</v>
      </c>
      <c r="S26" s="1178">
        <f>AZ62</f>
        <v>1.1554164878642584E-4</v>
      </c>
      <c r="T26" s="1179">
        <f>S26*R29</f>
        <v>1.0994943298516282</v>
      </c>
      <c r="U26" s="1093"/>
      <c r="V26" s="1093"/>
      <c r="AF26" s="635" t="s">
        <v>506</v>
      </c>
      <c r="AG26" s="467"/>
      <c r="AH26" s="468"/>
      <c r="AI26" s="468"/>
      <c r="AJ26" s="468"/>
      <c r="AK26" s="1718"/>
      <c r="AL26" s="468"/>
      <c r="AM26" s="468"/>
      <c r="AN26" s="468"/>
      <c r="AO26" s="1718"/>
      <c r="AP26" s="1718"/>
      <c r="AQ26" s="1718"/>
      <c r="AR26" s="1718"/>
      <c r="AS26" s="1718"/>
      <c r="AT26" s="1718"/>
      <c r="AU26" s="1718"/>
      <c r="AV26" s="1755"/>
      <c r="AW26" s="1756"/>
      <c r="AX26" s="1827" t="s">
        <v>504</v>
      </c>
      <c r="AY26" s="1827" t="s">
        <v>504</v>
      </c>
      <c r="AZ26" s="1140"/>
      <c r="BA26" s="483"/>
      <c r="BB26" s="636"/>
    </row>
    <row r="27" spans="1:54" x14ac:dyDescent="0.2">
      <c r="B27" s="439" t="s">
        <v>205</v>
      </c>
      <c r="M27" s="483"/>
      <c r="N27" s="483"/>
      <c r="O27" s="483"/>
      <c r="P27" s="483"/>
      <c r="Q27" s="1094"/>
      <c r="R27" s="1180" t="s">
        <v>309</v>
      </c>
      <c r="S27" s="1181">
        <f>F38</f>
        <v>2.8535267973114312E-3</v>
      </c>
      <c r="T27" s="1182">
        <f>S27*R29</f>
        <v>27.154161003215577</v>
      </c>
      <c r="U27" s="1093"/>
      <c r="V27" s="1093"/>
      <c r="AF27" s="950" t="s">
        <v>508</v>
      </c>
      <c r="AG27" s="467"/>
      <c r="AH27" s="468"/>
      <c r="AI27" s="468"/>
      <c r="AJ27" s="468"/>
      <c r="AK27" s="1718"/>
      <c r="AL27" s="468"/>
      <c r="AM27" s="468"/>
      <c r="AN27" s="468"/>
      <c r="AO27" s="1718"/>
      <c r="AP27" s="1718"/>
      <c r="AQ27" s="1718"/>
      <c r="AR27" s="1718"/>
      <c r="AS27" s="1718"/>
      <c r="AT27" s="1718"/>
      <c r="AU27" s="1718"/>
      <c r="AV27" s="1755"/>
      <c r="AW27" s="1756"/>
      <c r="AX27" s="1827" t="s">
        <v>512</v>
      </c>
      <c r="AY27" s="1827" t="s">
        <v>539</v>
      </c>
      <c r="AZ27" s="1140"/>
      <c r="BA27" s="483"/>
      <c r="BB27" s="636"/>
    </row>
    <row r="28" spans="1:54" x14ac:dyDescent="0.2">
      <c r="B28" s="439" t="s">
        <v>206</v>
      </c>
      <c r="F28" s="481">
        <f>AB11/10</f>
        <v>4.0523082059165374E-3</v>
      </c>
      <c r="Q28" s="984"/>
      <c r="R28" s="1183" t="s">
        <v>171</v>
      </c>
      <c r="S28" s="1184">
        <f>SUM(S25:S27)</f>
        <v>3.4576663534785631E-3</v>
      </c>
      <c r="T28" s="1185">
        <f>S28*R29</f>
        <v>32.903153019702003</v>
      </c>
      <c r="U28" s="1093"/>
      <c r="V28" s="1093"/>
      <c r="AF28" s="1757" t="s">
        <v>510</v>
      </c>
      <c r="AG28" s="467"/>
      <c r="AH28" s="468"/>
      <c r="AI28" s="468"/>
      <c r="AJ28" s="468"/>
      <c r="AK28" s="1718"/>
      <c r="AL28" s="468"/>
      <c r="AM28" s="468"/>
      <c r="AN28" s="468"/>
      <c r="AO28" s="1718"/>
      <c r="AP28" s="1718"/>
      <c r="AQ28" s="1718"/>
      <c r="AR28" s="1718"/>
      <c r="AS28" s="1718"/>
      <c r="AT28" s="1718"/>
      <c r="AU28" s="1718"/>
      <c r="AV28" s="1755"/>
      <c r="AW28" s="1756"/>
      <c r="AX28" s="1827" t="s">
        <v>511</v>
      </c>
      <c r="AY28" s="1832" t="s">
        <v>541</v>
      </c>
      <c r="AZ28" s="1140"/>
      <c r="BA28" s="483"/>
      <c r="BB28" s="636"/>
    </row>
    <row r="29" spans="1:54" x14ac:dyDescent="0.2">
      <c r="B29" s="439" t="s">
        <v>207</v>
      </c>
      <c r="F29" s="481">
        <f>F28*(15/28)</f>
        <v>2.1708793960267163E-3</v>
      </c>
      <c r="I29" s="439" t="s">
        <v>331</v>
      </c>
      <c r="Q29" s="984"/>
      <c r="R29" s="1186">
        <f>HRProjectionSummary!B3</f>
        <v>9516</v>
      </c>
      <c r="S29" s="1170" t="s">
        <v>367</v>
      </c>
      <c r="T29" s="1170"/>
      <c r="U29" s="1093"/>
      <c r="V29" s="1093"/>
      <c r="AF29" s="635" t="s">
        <v>183</v>
      </c>
      <c r="AG29" s="463">
        <v>14</v>
      </c>
      <c r="AH29" s="464">
        <v>24</v>
      </c>
      <c r="AI29" s="464">
        <v>35</v>
      </c>
      <c r="AJ29" s="464">
        <v>23</v>
      </c>
      <c r="AK29" s="1716">
        <v>24</v>
      </c>
      <c r="AL29" s="464">
        <v>98</v>
      </c>
      <c r="AM29" s="468">
        <v>110</v>
      </c>
      <c r="AN29" s="627">
        <f>SUM('[2]Catch Sheet'!$CI$9:$CI$38)</f>
        <v>92.610263525076931</v>
      </c>
      <c r="AO29" s="1722">
        <f>AVERAGE(AJ29/AJ31,AK29/AK31,AL29/AL31,AM29/AM31, AN29/AN31)*AO31</f>
        <v>127.31319080481845</v>
      </c>
      <c r="AP29" s="1722">
        <f>AVERAGE(AJ29/AJ31,AK29/AK31,AL29/AL31,AM29/AM31, AN29/AN31)*AP31</f>
        <v>133.0506797896274</v>
      </c>
      <c r="AQ29" s="1722">
        <f>AVERAGE(AJ29/AJ31,AK29/AK31,AL29/AL31,AM29/AM31, AN29/AN31)*AQ31</f>
        <v>124.73606171757325</v>
      </c>
      <c r="AR29" s="1722">
        <v>12.3</v>
      </c>
      <c r="AS29" s="1722">
        <f>AVERAGE(AL29/AL31,AM29/AM31,AN29/AN31,)*AS31</f>
        <v>93.742744100628414</v>
      </c>
      <c r="AT29" s="1722">
        <f>AVERAGE(AL29/AL31,AM29/AM31,AN29/AN31,)*AT31</f>
        <v>88.732985534571284</v>
      </c>
      <c r="AU29" s="1722">
        <f>AVERAGE(AL29/AL31,AM29/AM31,AN29/AN31,)*AU31</f>
        <v>65.292767649344299</v>
      </c>
      <c r="AV29" s="1722">
        <f>AVERAGE($AL29/$AL31,$AM29/$AM31,$AN29/$AN31)*AV31</f>
        <v>59.499430584203331</v>
      </c>
      <c r="AW29" s="990">
        <f>AVERAGE($AL29/$AL31,$AM29/$AM31,$AN29/$AN31)*AW31</f>
        <v>67.230856815918571</v>
      </c>
      <c r="AX29" s="1828">
        <f>0+0+13.83+9.26</f>
        <v>23.09</v>
      </c>
      <c r="AY29" s="1727">
        <f>6+0+8+75</f>
        <v>89</v>
      </c>
      <c r="AZ29" s="1140">
        <f>AVERAGE(AL29:AN29)</f>
        <v>100.20342117502564</v>
      </c>
      <c r="BA29" s="483" t="s">
        <v>250</v>
      </c>
      <c r="BB29" s="636"/>
    </row>
    <row r="30" spans="1:54" x14ac:dyDescent="0.2">
      <c r="H30" s="525" t="s">
        <v>352</v>
      </c>
      <c r="I30" s="525" t="s">
        <v>342</v>
      </c>
      <c r="J30" s="525" t="s">
        <v>240</v>
      </c>
      <c r="Q30" s="984"/>
      <c r="R30" s="1187">
        <f>S28*R29</f>
        <v>32.903153019702003</v>
      </c>
      <c r="S30" s="1170" t="s">
        <v>310</v>
      </c>
      <c r="T30" s="1170"/>
      <c r="U30" s="1093"/>
      <c r="V30" s="1093"/>
      <c r="W30" s="483"/>
      <c r="AF30" s="635" t="s">
        <v>186</v>
      </c>
      <c r="AG30" s="465">
        <f>AG29+TerminalRR!AD33</f>
        <v>6396</v>
      </c>
      <c r="AH30" s="466">
        <f>AH29+TerminalRR!AD34</f>
        <v>6781</v>
      </c>
      <c r="AI30" s="466">
        <f>AI29+TerminalRR!AD35</f>
        <v>4148</v>
      </c>
      <c r="AJ30" s="466">
        <f>AJ29+TerminalRR!AD36</f>
        <v>4910</v>
      </c>
      <c r="AK30" s="1717">
        <f>AK29+TerminalRR!AD37</f>
        <v>2526</v>
      </c>
      <c r="AL30" s="466">
        <f>AL29+TerminalRR!AD38</f>
        <v>4079</v>
      </c>
      <c r="AM30" s="466">
        <f>AM29+TerminalRR!AD39</f>
        <v>5572</v>
      </c>
      <c r="AN30" s="466">
        <f>AN29+TerminalRR!AD40</f>
        <v>6277.6102635250772</v>
      </c>
      <c r="AO30" s="1717">
        <f>AO29+TerminalRR!AD41</f>
        <v>8854.3131908048181</v>
      </c>
      <c r="AP30" s="1717">
        <f>AP29+TerminalRR!AD42</f>
        <v>9217.0506797896269</v>
      </c>
      <c r="AQ30" s="1717">
        <f>AQ29+TerminalRR!AD43</f>
        <v>8768.7360617175727</v>
      </c>
      <c r="AR30" s="1717">
        <f>AR29+TerminalRR!AD44</f>
        <v>7938.3</v>
      </c>
      <c r="AS30" s="1717">
        <f>AS29+TerminalRR!AD45</f>
        <v>6473.7427441006284</v>
      </c>
      <c r="AT30" s="1717">
        <f>AT29+TerminalRR!AD46</f>
        <v>6172.7329855345715</v>
      </c>
      <c r="AU30" s="1717">
        <f>AU29+TerminalRR!AD47</f>
        <v>4379.2927676493446</v>
      </c>
      <c r="AV30" s="1717">
        <f>AV29+TerminalRR!AD48</f>
        <v>3079.4994305842033</v>
      </c>
      <c r="AW30" s="987">
        <f>AW29+TerminalRR!AD49</f>
        <v>3436.2308568159187</v>
      </c>
      <c r="AX30" s="480">
        <f>AX29+[1]TerminalRR!AD50</f>
        <v>5620.09</v>
      </c>
      <c r="AY30" s="480">
        <f>AY29+TerminalRR!AD51</f>
        <v>4535</v>
      </c>
      <c r="AZ30" s="1140">
        <f t="shared" ref="AZ30:AZ37" si="14">AVERAGE(AL30:AN30)</f>
        <v>5309.5367545083591</v>
      </c>
      <c r="BA30" s="483" t="s">
        <v>250</v>
      </c>
      <c r="BB30" s="636"/>
    </row>
    <row r="31" spans="1:54" x14ac:dyDescent="0.2">
      <c r="B31" s="482" t="s">
        <v>208</v>
      </c>
      <c r="C31" s="482"/>
      <c r="D31" s="482"/>
      <c r="E31" s="482"/>
      <c r="F31" s="482"/>
      <c r="H31" s="439">
        <v>1993</v>
      </c>
      <c r="I31" s="1008">
        <f>SUM(TerminalRR!H21,TerminalRR!O21,TerminalRR!U21,TerminalRR!AD21,TerminalRR!AG21)</f>
        <v>8348.0402808573544</v>
      </c>
      <c r="J31" s="1008">
        <f>B17</f>
        <v>1340</v>
      </c>
      <c r="K31" s="439" t="s">
        <v>241</v>
      </c>
      <c r="AF31" s="635" t="s">
        <v>340</v>
      </c>
      <c r="AG31" s="465">
        <f>I43</f>
        <v>6588.1212641095572</v>
      </c>
      <c r="AH31" s="466">
        <f>I44</f>
        <v>7043.9252613512244</v>
      </c>
      <c r="AI31" s="466">
        <f>I45</f>
        <v>4570.0110361860361</v>
      </c>
      <c r="AJ31" s="466">
        <f>I46</f>
        <v>5186.8856999999998</v>
      </c>
      <c r="AK31" s="1717">
        <f>I47</f>
        <v>2626.7971883031732</v>
      </c>
      <c r="AL31" s="466">
        <f>I48</f>
        <v>4104.1539298129555</v>
      </c>
      <c r="AM31" s="466">
        <f>I49</f>
        <v>5643.8592521870287</v>
      </c>
      <c r="AN31" s="466">
        <f>I50</f>
        <v>6345.1038901041202</v>
      </c>
      <c r="AO31" s="1717">
        <f>I51</f>
        <v>8898.6810855690292</v>
      </c>
      <c r="AP31" s="1717">
        <f>I52</f>
        <v>9299.7085390875982</v>
      </c>
      <c r="AQ31" s="1717">
        <f>I53</f>
        <v>8718.5501052773106</v>
      </c>
      <c r="AR31" s="1717">
        <f>I54</f>
        <v>7973.0234675000002</v>
      </c>
      <c r="AS31" s="1717">
        <f>I56</f>
        <v>6469.0316979999998</v>
      </c>
      <c r="AT31" s="1717">
        <f>I57</f>
        <v>6123.3165466666669</v>
      </c>
      <c r="AU31" s="1717">
        <f>I58</f>
        <v>4505.7458859999997</v>
      </c>
      <c r="AV31" s="1717">
        <f>I59</f>
        <v>3079.4679590000001</v>
      </c>
      <c r="AW31" s="987">
        <f>I60</f>
        <v>3479.6176599999999</v>
      </c>
      <c r="AX31" s="480">
        <f>I61</f>
        <v>5772.8367550000003</v>
      </c>
      <c r="AY31" s="1833">
        <f>I62</f>
        <v>4606.0452470534801</v>
      </c>
      <c r="AZ31" s="1739">
        <f t="shared" si="14"/>
        <v>5364.3723573680354</v>
      </c>
      <c r="BA31" s="483" t="s">
        <v>250</v>
      </c>
      <c r="BB31" s="636"/>
    </row>
    <row r="32" spans="1:54" x14ac:dyDescent="0.2">
      <c r="B32" s="439" t="s">
        <v>209</v>
      </c>
      <c r="F32" s="439">
        <f>SUM(94.3+31.9+5)</f>
        <v>131.19999999999999</v>
      </c>
      <c r="H32" s="439">
        <v>1994</v>
      </c>
      <c r="I32" s="1008">
        <f>SUM(TerminalRR!H22,TerminalRR!O22,TerminalRR!U22,TerminalRR!AD22,TerminalRR!AG22)</f>
        <v>7610.477343090346</v>
      </c>
      <c r="J32" s="1008">
        <f>C17</f>
        <v>1084</v>
      </c>
      <c r="K32" s="439" t="s">
        <v>241</v>
      </c>
      <c r="AF32" s="635" t="s">
        <v>188</v>
      </c>
      <c r="AG32" s="467">
        <f t="shared" ref="AG32:AN32" si="15">AG29*0.8</f>
        <v>11.200000000000001</v>
      </c>
      <c r="AH32" s="468">
        <f t="shared" si="15"/>
        <v>19.200000000000003</v>
      </c>
      <c r="AI32" s="468">
        <f t="shared" si="15"/>
        <v>28</v>
      </c>
      <c r="AJ32" s="468">
        <f t="shared" si="15"/>
        <v>18.400000000000002</v>
      </c>
      <c r="AK32" s="1718">
        <f t="shared" si="15"/>
        <v>19.200000000000003</v>
      </c>
      <c r="AL32" s="468">
        <f t="shared" si="15"/>
        <v>78.400000000000006</v>
      </c>
      <c r="AM32" s="468">
        <f t="shared" si="15"/>
        <v>88</v>
      </c>
      <c r="AN32" s="628">
        <f t="shared" si="15"/>
        <v>74.088210820061548</v>
      </c>
      <c r="AO32" s="1723">
        <f t="shared" ref="AO32:AP32" si="16">AO29*0.8</f>
        <v>101.85055264385477</v>
      </c>
      <c r="AP32" s="1723">
        <f t="shared" si="16"/>
        <v>106.44054383170192</v>
      </c>
      <c r="AQ32" s="1723">
        <f t="shared" ref="AQ32:AV32" si="17">AQ29*0.8</f>
        <v>99.7888493740586</v>
      </c>
      <c r="AR32" s="1723">
        <f t="shared" si="17"/>
        <v>9.8400000000000016</v>
      </c>
      <c r="AS32" s="1723">
        <f t="shared" si="17"/>
        <v>74.994195280502737</v>
      </c>
      <c r="AT32" s="1723">
        <f>AT29*0.8</f>
        <v>70.986388427657033</v>
      </c>
      <c r="AU32" s="1723">
        <f t="shared" si="17"/>
        <v>52.234214119475439</v>
      </c>
      <c r="AV32" s="1723">
        <f t="shared" si="17"/>
        <v>47.599544467362669</v>
      </c>
      <c r="AW32" s="991">
        <f>AW29*0.8</f>
        <v>53.784685452734863</v>
      </c>
      <c r="AX32" s="1829">
        <f>AX29*0.8</f>
        <v>18.472000000000001</v>
      </c>
      <c r="AY32" s="1829">
        <f>AY29*0.8</f>
        <v>71.2</v>
      </c>
      <c r="AZ32" s="1140">
        <f t="shared" si="14"/>
        <v>80.162736940020523</v>
      </c>
      <c r="BA32" s="483" t="s">
        <v>250</v>
      </c>
      <c r="BB32" s="636"/>
    </row>
    <row r="33" spans="2:54" x14ac:dyDescent="0.2">
      <c r="B33" s="439" t="s">
        <v>210</v>
      </c>
      <c r="F33" s="439">
        <f>SUM(10.4+0.9)</f>
        <v>11.3</v>
      </c>
      <c r="H33" s="439">
        <v>1995</v>
      </c>
      <c r="I33" s="1008">
        <f>SUM(TerminalRR!H23,TerminalRR!O23,TerminalRR!U23,TerminalRR!AD23,TerminalRR!AG23)</f>
        <v>8565.9894993894995</v>
      </c>
      <c r="J33" s="1008">
        <f>D17</f>
        <v>588</v>
      </c>
      <c r="K33" s="439" t="s">
        <v>241</v>
      </c>
      <c r="AF33" s="635" t="s">
        <v>174</v>
      </c>
      <c r="AG33" s="467">
        <f t="shared" ref="AG33:AN33" si="18">AG29*0.2</f>
        <v>2.8000000000000003</v>
      </c>
      <c r="AH33" s="468">
        <f t="shared" si="18"/>
        <v>4.8000000000000007</v>
      </c>
      <c r="AI33" s="468">
        <f t="shared" si="18"/>
        <v>7</v>
      </c>
      <c r="AJ33" s="468">
        <f t="shared" si="18"/>
        <v>4.6000000000000005</v>
      </c>
      <c r="AK33" s="1718">
        <f t="shared" si="18"/>
        <v>4.8000000000000007</v>
      </c>
      <c r="AL33" s="468">
        <f t="shared" si="18"/>
        <v>19.600000000000001</v>
      </c>
      <c r="AM33" s="468">
        <f t="shared" si="18"/>
        <v>22</v>
      </c>
      <c r="AN33" s="628">
        <f t="shared" si="18"/>
        <v>18.522052705015387</v>
      </c>
      <c r="AO33" s="1723">
        <f t="shared" ref="AO33:AP33" si="19">AO29*0.2</f>
        <v>25.462638160963692</v>
      </c>
      <c r="AP33" s="1723">
        <f t="shared" si="19"/>
        <v>26.610135957925479</v>
      </c>
      <c r="AQ33" s="1723">
        <f t="shared" ref="AQ33:AY33" si="20">AQ29*0.2</f>
        <v>24.94721234351465</v>
      </c>
      <c r="AR33" s="1723">
        <f t="shared" si="20"/>
        <v>2.4600000000000004</v>
      </c>
      <c r="AS33" s="1723">
        <f t="shared" si="20"/>
        <v>18.748548820125684</v>
      </c>
      <c r="AT33" s="1723">
        <f t="shared" si="20"/>
        <v>17.746597106914258</v>
      </c>
      <c r="AU33" s="1723">
        <f t="shared" si="20"/>
        <v>13.05855352986886</v>
      </c>
      <c r="AV33" s="1723">
        <f t="shared" si="20"/>
        <v>11.899886116840667</v>
      </c>
      <c r="AW33" s="991">
        <f t="shared" si="20"/>
        <v>13.446171363183716</v>
      </c>
      <c r="AX33" s="1829">
        <f t="shared" si="20"/>
        <v>4.6180000000000003</v>
      </c>
      <c r="AY33" s="1829">
        <f t="shared" si="20"/>
        <v>17.8</v>
      </c>
      <c r="AZ33" s="1140">
        <f t="shared" si="14"/>
        <v>20.040684235005131</v>
      </c>
      <c r="BA33" s="483" t="s">
        <v>250</v>
      </c>
      <c r="BB33" s="636"/>
    </row>
    <row r="34" spans="2:54" x14ac:dyDescent="0.2">
      <c r="B34" s="439" t="s">
        <v>211</v>
      </c>
      <c r="F34" s="481">
        <f>F33/F32</f>
        <v>8.6128048780487812E-2</v>
      </c>
      <c r="H34" s="439">
        <v>1996</v>
      </c>
      <c r="I34" s="1008"/>
      <c r="J34" s="1008">
        <f>E17</f>
        <v>484</v>
      </c>
      <c r="K34" s="439" t="s">
        <v>241</v>
      </c>
      <c r="AF34" s="635" t="s">
        <v>333</v>
      </c>
      <c r="AG34" s="467">
        <f t="shared" ref="AG34:AN34" si="21">AG32*0.1*0.0661</f>
        <v>7.4032000000000014E-2</v>
      </c>
      <c r="AH34" s="468">
        <f t="shared" si="21"/>
        <v>0.12691200000000002</v>
      </c>
      <c r="AI34" s="468">
        <f t="shared" si="21"/>
        <v>0.18508000000000002</v>
      </c>
      <c r="AJ34" s="468">
        <f t="shared" si="21"/>
        <v>0.12162400000000004</v>
      </c>
      <c r="AK34" s="1718">
        <f t="shared" si="21"/>
        <v>0.12691200000000002</v>
      </c>
      <c r="AL34" s="468">
        <f t="shared" si="21"/>
        <v>0.51822400000000013</v>
      </c>
      <c r="AM34" s="468">
        <f t="shared" si="21"/>
        <v>0.58168000000000009</v>
      </c>
      <c r="AN34" s="468">
        <f t="shared" si="21"/>
        <v>0.4897230735206069</v>
      </c>
      <c r="AO34" s="1718">
        <f>AO32*0.1*TreatyCatch!BO303</f>
        <v>0.88100728036934373</v>
      </c>
      <c r="AP34" s="1718">
        <f>AP32*0.1*TreatyCatch!BU303</f>
        <v>0.93667678571897695</v>
      </c>
      <c r="AQ34" s="1718">
        <f>AQ32*0.1*TreatyCatch!CA303</f>
        <v>0.86616721256682871</v>
      </c>
      <c r="AR34" s="1718">
        <f>AR32*0.1*TreatyCatch!CG303</f>
        <v>8.7084000000000009E-2</v>
      </c>
      <c r="AS34" s="1718">
        <f>AS32*0.1*TreatyCatch!CM303</f>
        <v>0.65844903456281412</v>
      </c>
      <c r="AT34" s="1718">
        <f>AT32*0.1*TreatyCatch!CS303</f>
        <v>0.61616185155206304</v>
      </c>
      <c r="AU34" s="1718">
        <f>AU32*0.1*TreatyCatch!CY303</f>
        <v>0.46697387422811043</v>
      </c>
      <c r="AV34" s="1718">
        <f>AV32*0.1*TreatyCatch!DE303</f>
        <v>0.40650010975127721</v>
      </c>
      <c r="AW34" s="988">
        <f>AW32*0.1*TreatyCatch!DK303</f>
        <v>0.45932121376635576</v>
      </c>
      <c r="AX34" s="1830">
        <f>AX32*0.1*[1]TreatyCatch!DQ303</f>
        <v>0.14962320000000001</v>
      </c>
      <c r="AY34" s="1834">
        <f>AY32*0.1*TreatyCatch!DW303</f>
        <v>0.61659200000000003</v>
      </c>
      <c r="AZ34" s="1140">
        <f t="shared" si="14"/>
        <v>0.52987569117353572</v>
      </c>
      <c r="BA34" s="483" t="s">
        <v>250</v>
      </c>
      <c r="BB34" s="636"/>
    </row>
    <row r="35" spans="2:54" x14ac:dyDescent="0.2">
      <c r="F35" s="481"/>
      <c r="H35" s="439">
        <v>1997</v>
      </c>
      <c r="I35" s="1008"/>
      <c r="J35" s="1008">
        <f>F17</f>
        <v>1632</v>
      </c>
      <c r="K35" s="439" t="s">
        <v>241</v>
      </c>
      <c r="AF35" s="635" t="s">
        <v>237</v>
      </c>
      <c r="AG35" s="528">
        <f t="shared" ref="AG35:AN35" si="22">AG33*0.1</f>
        <v>0.28000000000000003</v>
      </c>
      <c r="AH35" s="529">
        <f t="shared" si="22"/>
        <v>0.48000000000000009</v>
      </c>
      <c r="AI35" s="529">
        <f t="shared" si="22"/>
        <v>0.70000000000000007</v>
      </c>
      <c r="AJ35" s="529">
        <f t="shared" si="22"/>
        <v>0.46000000000000008</v>
      </c>
      <c r="AK35" s="1719">
        <f t="shared" si="22"/>
        <v>0.48000000000000009</v>
      </c>
      <c r="AL35" s="529">
        <f t="shared" si="22"/>
        <v>1.9600000000000002</v>
      </c>
      <c r="AM35" s="529">
        <f t="shared" si="22"/>
        <v>2.2000000000000002</v>
      </c>
      <c r="AN35" s="529">
        <f t="shared" si="22"/>
        <v>1.8522052705015388</v>
      </c>
      <c r="AO35" s="1719">
        <f t="shared" ref="AO35:AR35" si="23">AO33*0.1</f>
        <v>2.5462638160963693</v>
      </c>
      <c r="AP35" s="1719">
        <f t="shared" si="23"/>
        <v>2.6610135957925483</v>
      </c>
      <c r="AQ35" s="1719">
        <f t="shared" si="23"/>
        <v>2.4947212343514651</v>
      </c>
      <c r="AR35" s="1719">
        <f t="shared" si="23"/>
        <v>0.24600000000000005</v>
      </c>
      <c r="AS35" s="1719">
        <f t="shared" ref="AS35" si="24">AS33*0.1</f>
        <v>1.8748548820125686</v>
      </c>
      <c r="AT35" s="1719">
        <f t="shared" ref="AT35:AX35" si="25">AT33*0.1</f>
        <v>1.7746597106914259</v>
      </c>
      <c r="AU35" s="1719">
        <f t="shared" si="25"/>
        <v>1.3058553529868862</v>
      </c>
      <c r="AV35" s="1719">
        <f t="shared" si="25"/>
        <v>1.1899886116840668</v>
      </c>
      <c r="AW35" s="989">
        <f t="shared" si="25"/>
        <v>1.3446171363183717</v>
      </c>
      <c r="AX35" s="1830">
        <f t="shared" si="25"/>
        <v>0.46180000000000004</v>
      </c>
      <c r="AY35" s="1834">
        <f>AY33*0.1</f>
        <v>1.7800000000000002</v>
      </c>
      <c r="AZ35" s="1140">
        <f t="shared" si="14"/>
        <v>2.0040684235005131</v>
      </c>
      <c r="BA35" s="483" t="s">
        <v>250</v>
      </c>
      <c r="BB35" s="636"/>
    </row>
    <row r="36" spans="2:54" x14ac:dyDescent="0.2">
      <c r="B36" s="439" t="s">
        <v>212</v>
      </c>
      <c r="F36" s="481">
        <f>F29*F34</f>
        <v>1.8697360651754496E-4</v>
      </c>
      <c r="H36" s="439">
        <v>1998</v>
      </c>
      <c r="I36" s="1008">
        <f>SUM(TerminalRR!H26,TerminalRR!O26,TerminalRR!U26,TerminalRR!AD26,TerminalRR!AG26)</f>
        <v>7572</v>
      </c>
      <c r="J36" s="1008">
        <f>G17</f>
        <v>71</v>
      </c>
      <c r="K36" s="439" t="s">
        <v>241</v>
      </c>
      <c r="AF36" s="635" t="s">
        <v>346</v>
      </c>
      <c r="AG36" s="467">
        <f t="shared" ref="AG36:AN36" si="26">AG34+AG35</f>
        <v>0.35403200000000001</v>
      </c>
      <c r="AH36" s="468">
        <f t="shared" si="26"/>
        <v>0.60691200000000012</v>
      </c>
      <c r="AI36" s="468">
        <f t="shared" si="26"/>
        <v>0.88508000000000009</v>
      </c>
      <c r="AJ36" s="468">
        <f t="shared" si="26"/>
        <v>0.58162400000000014</v>
      </c>
      <c r="AK36" s="1718">
        <f t="shared" si="26"/>
        <v>0.60691200000000012</v>
      </c>
      <c r="AL36" s="529">
        <f t="shared" si="26"/>
        <v>2.4782240000000004</v>
      </c>
      <c r="AM36" s="468">
        <f t="shared" si="26"/>
        <v>2.7816800000000002</v>
      </c>
      <c r="AN36" s="468">
        <f t="shared" si="26"/>
        <v>2.3419283440221457</v>
      </c>
      <c r="AO36" s="1718">
        <f t="shared" ref="AO36:AP36" si="27">AO34+AO35</f>
        <v>3.4272710964657129</v>
      </c>
      <c r="AP36" s="1718">
        <f t="shared" si="27"/>
        <v>3.5976903815115251</v>
      </c>
      <c r="AQ36" s="1718">
        <f t="shared" ref="AQ36:AR36" si="28">AQ34+AQ35</f>
        <v>3.3608884469182936</v>
      </c>
      <c r="AR36" s="1718">
        <f t="shared" si="28"/>
        <v>0.33308400000000005</v>
      </c>
      <c r="AS36" s="1718">
        <f t="shared" ref="AS36:AT36" si="29">AS34+AS35</f>
        <v>2.5333039165753828</v>
      </c>
      <c r="AT36" s="1718">
        <f t="shared" si="29"/>
        <v>2.390821562243489</v>
      </c>
      <c r="AU36" s="1719">
        <f>AU34+AU35</f>
        <v>1.7728292272149966</v>
      </c>
      <c r="AV36" s="1719">
        <f>AV34+AV35</f>
        <v>1.596488721435344</v>
      </c>
      <c r="AW36" s="989">
        <f>AW34+AW35</f>
        <v>1.8039383500847275</v>
      </c>
      <c r="AX36" s="1830">
        <f>AX34+AX35</f>
        <v>0.61142320000000006</v>
      </c>
      <c r="AY36" s="1834">
        <f>AY34+AY35</f>
        <v>2.3965920000000001</v>
      </c>
      <c r="AZ36" s="1739">
        <f t="shared" si="14"/>
        <v>2.5339441146740485</v>
      </c>
      <c r="BA36" s="483" t="s">
        <v>250</v>
      </c>
      <c r="BB36" s="636"/>
    </row>
    <row r="37" spans="2:54" x14ac:dyDescent="0.2">
      <c r="H37" s="439">
        <v>1999</v>
      </c>
      <c r="I37" s="1008">
        <f>SUM(TerminalRR!H27,TerminalRR!O27,TerminalRR!U27,TerminalRR!AD27,TerminalRR!AG27)</f>
        <v>9093.0458809164684</v>
      </c>
      <c r="J37" s="1008">
        <f>H17</f>
        <v>1044</v>
      </c>
      <c r="K37" s="439" t="s">
        <v>241</v>
      </c>
      <c r="AF37" s="637" t="s">
        <v>311</v>
      </c>
      <c r="AG37" s="530">
        <f>AG36/AG31</f>
        <v>5.3737930102877452E-5</v>
      </c>
      <c r="AH37" s="531">
        <f t="shared" ref="AH37:AJ37" si="30">AH36/AH31</f>
        <v>8.6161050477071244E-5</v>
      </c>
      <c r="AI37" s="518">
        <f t="shared" si="30"/>
        <v>1.9367130472810749E-4</v>
      </c>
      <c r="AJ37" s="518">
        <f t="shared" si="30"/>
        <v>1.1213356793268072E-4</v>
      </c>
      <c r="AK37" s="1715">
        <f t="shared" ref="AK37" si="31">AK36/AK31</f>
        <v>2.3104638709928185E-4</v>
      </c>
      <c r="AL37" s="518">
        <f>AL36/AL31</f>
        <v>6.038331023595268E-4</v>
      </c>
      <c r="AM37" s="518">
        <f t="shared" ref="AM37:AN37" si="32">AM36/AM31</f>
        <v>4.9286842135938861E-4</v>
      </c>
      <c r="AN37" s="518">
        <f t="shared" si="32"/>
        <v>3.6909219842320274E-4</v>
      </c>
      <c r="AO37" s="1715">
        <f t="shared" ref="AO37:AP37" si="33">AO36/AO31</f>
        <v>3.8514371551349455E-4</v>
      </c>
      <c r="AP37" s="1715">
        <f t="shared" si="33"/>
        <v>3.8686055228398557E-4</v>
      </c>
      <c r="AQ37" s="1715">
        <f t="shared" ref="AQ37:AR37" si="34">AQ36/AQ31</f>
        <v>3.8548708286759267E-4</v>
      </c>
      <c r="AR37" s="1715">
        <f t="shared" si="34"/>
        <v>4.17763727095163E-5</v>
      </c>
      <c r="AS37" s="1715">
        <f t="shared" ref="AS37:AT37" si="35">AS36/AS31</f>
        <v>3.916048080825748E-4</v>
      </c>
      <c r="AT37" s="1715">
        <f t="shared" si="35"/>
        <v>3.9044552801128238E-4</v>
      </c>
      <c r="AU37" s="1715">
        <f>AU36/AU31</f>
        <v>3.9345965619664257E-4</v>
      </c>
      <c r="AV37" s="1715">
        <f>AV36/AV31</f>
        <v>5.1843004788196397E-4</v>
      </c>
      <c r="AW37" s="986">
        <f>AW36/AW31</f>
        <v>5.1843004788196397E-4</v>
      </c>
      <c r="AX37" s="1831">
        <f>AX36/AX31</f>
        <v>1.0591382121977223E-4</v>
      </c>
      <c r="AY37" s="1835">
        <f>AY36/AY31</f>
        <v>5.2031447184178593E-4</v>
      </c>
      <c r="AZ37" s="1141">
        <f t="shared" si="14"/>
        <v>4.8859790738070596E-4</v>
      </c>
      <c r="BA37" s="638" t="s">
        <v>250</v>
      </c>
      <c r="BB37" s="639"/>
    </row>
    <row r="38" spans="2:54" x14ac:dyDescent="0.2">
      <c r="B38" s="983" t="s">
        <v>213</v>
      </c>
      <c r="F38" s="982">
        <f>F26+F36</f>
        <v>2.8535267973114312E-3</v>
      </c>
      <c r="H38" s="439">
        <v>2000</v>
      </c>
      <c r="I38" s="1008">
        <f>SUM(TerminalRR!H28,TerminalRR!O28,TerminalRR!U28,TerminalRR!AD28,TerminalRR!AG28)</f>
        <v>4237.1418994318374</v>
      </c>
      <c r="J38" s="1008">
        <f>I17</f>
        <v>376</v>
      </c>
      <c r="K38" s="439" t="s">
        <v>241</v>
      </c>
      <c r="AZ38" s="642"/>
      <c r="BA38" s="533"/>
    </row>
    <row r="39" spans="2:54" x14ac:dyDescent="0.2">
      <c r="B39" s="439" t="s">
        <v>214</v>
      </c>
      <c r="H39" s="439">
        <v>2001</v>
      </c>
      <c r="I39" s="1008">
        <f>SUM(TerminalRR!H29,TerminalRR!O29,TerminalRR!U29,TerminalRR!AD29,TerminalRR!AG29)</f>
        <v>4704.7915750915754</v>
      </c>
      <c r="J39" s="1009">
        <f>$F$38*I39</f>
        <v>13.425248835288867</v>
      </c>
      <c r="K39" s="985"/>
      <c r="L39" s="985"/>
      <c r="M39" s="985"/>
    </row>
    <row r="40" spans="2:54" x14ac:dyDescent="0.2">
      <c r="E40" s="554"/>
      <c r="F40" s="981"/>
      <c r="H40" s="439">
        <v>2002</v>
      </c>
      <c r="I40" s="1008">
        <f>SUM(TerminalRR!H30,TerminalRR!O30,TerminalRR!U30,TerminalRR!AD30,TerminalRR!AG30)</f>
        <v>5673.9152421652425</v>
      </c>
      <c r="J40" s="1009">
        <f t="shared" ref="J40:J50" si="36">$F$38*I40</f>
        <v>16.190669189192299</v>
      </c>
      <c r="AT40" s="439">
        <f>AT32*0.878+AT33</f>
        <v>80.072646146397133</v>
      </c>
      <c r="AZ40" s="532">
        <f>AVERAGE(AG37:AJ37, AL37:AN37)</f>
        <v>2.7307108219755069E-4</v>
      </c>
      <c r="BA40" s="439" t="s">
        <v>382</v>
      </c>
    </row>
    <row r="41" spans="2:54" x14ac:dyDescent="0.2">
      <c r="H41" s="439">
        <v>2003</v>
      </c>
      <c r="I41" s="1008">
        <f>SUM(TerminalRR!H31,TerminalRR!O31,TerminalRR!U31,TerminalRR!AD31,TerminalRR!AG31)</f>
        <v>6858.436507936508</v>
      </c>
      <c r="J41" s="1009">
        <f t="shared" si="36"/>
        <v>19.570732363055861</v>
      </c>
      <c r="AF41" s="439" t="s">
        <v>521</v>
      </c>
    </row>
    <row r="42" spans="2:54" x14ac:dyDescent="0.2">
      <c r="B42" s="1109" t="s">
        <v>351</v>
      </c>
      <c r="C42" s="1110"/>
      <c r="D42" s="1110"/>
      <c r="E42" s="1110"/>
      <c r="F42" s="1110"/>
      <c r="G42" s="634"/>
      <c r="H42" s="439">
        <v>2004</v>
      </c>
      <c r="I42" s="1008">
        <f>SUM(TerminalRR!H32,TerminalRR!O32,TerminalRR!U32,TerminalRR!AD32,TerminalRR!AG32)</f>
        <v>7541.4210526315792</v>
      </c>
      <c r="J42" s="1009">
        <f t="shared" si="36"/>
        <v>21.519647063492791</v>
      </c>
      <c r="AG42" s="1601" t="s">
        <v>369</v>
      </c>
      <c r="AH42" s="1601"/>
      <c r="AI42" s="1601"/>
      <c r="AJ42" s="1601"/>
      <c r="AK42" s="1601"/>
      <c r="AL42" s="1601"/>
      <c r="AM42" s="1601"/>
      <c r="AN42" s="1601"/>
      <c r="AO42" s="1601"/>
      <c r="AP42" s="1601"/>
      <c r="AQ42" s="1741"/>
      <c r="AR42" s="1741"/>
      <c r="AS42" s="1741"/>
      <c r="AT42" s="1741"/>
      <c r="AU42" s="1741"/>
    </row>
    <row r="43" spans="2:54" ht="15" x14ac:dyDescent="0.2">
      <c r="B43" s="1111"/>
      <c r="C43" s="1093"/>
      <c r="D43" s="1093"/>
      <c r="E43" s="1093"/>
      <c r="F43" s="1093"/>
      <c r="G43" s="636"/>
      <c r="H43" s="439">
        <v>2005</v>
      </c>
      <c r="I43" s="1008">
        <f>SUM(TerminalRR!H33,TerminalRR!O33,TerminalRR!U33,TerminalRR!AD33,TerminalRR!AG33)</f>
        <v>6588.1212641095572</v>
      </c>
      <c r="J43" s="1009">
        <f t="shared" si="36"/>
        <v>18.799380571073883</v>
      </c>
      <c r="AF43" s="441" t="s">
        <v>293</v>
      </c>
      <c r="AO43" s="458" t="s">
        <v>291</v>
      </c>
      <c r="AV43" s="439" t="s">
        <v>291</v>
      </c>
      <c r="AW43" s="439" t="s">
        <v>291</v>
      </c>
      <c r="AX43" s="458" t="s">
        <v>306</v>
      </c>
      <c r="AY43" s="458"/>
    </row>
    <row r="44" spans="2:54" x14ac:dyDescent="0.2">
      <c r="B44" s="1112" t="s">
        <v>208</v>
      </c>
      <c r="C44" s="1113"/>
      <c r="D44" s="1113"/>
      <c r="E44" s="1113"/>
      <c r="F44" s="1113"/>
      <c r="G44" s="636"/>
      <c r="H44" s="439">
        <v>2006</v>
      </c>
      <c r="I44" s="1008">
        <f>SUM(TerminalRR!H34,TerminalRR!O34,TerminalRR!U34,TerminalRR!AD34,TerminalRR!AG34)</f>
        <v>7043.9252613512244</v>
      </c>
      <c r="J44" s="1009">
        <f t="shared" si="36"/>
        <v>20.100029491524644</v>
      </c>
      <c r="AF44" s="632" t="s">
        <v>179</v>
      </c>
      <c r="AG44" s="633"/>
      <c r="AH44" s="633"/>
      <c r="AI44" s="633"/>
      <c r="AJ44" s="633"/>
      <c r="AK44" s="633"/>
      <c r="AL44" s="633"/>
      <c r="AM44" s="634"/>
      <c r="AN44" s="463" t="s">
        <v>120</v>
      </c>
      <c r="AO44" s="463" t="s">
        <v>121</v>
      </c>
      <c r="AP44" s="463" t="s">
        <v>122</v>
      </c>
      <c r="AQ44" s="463" t="s">
        <v>123</v>
      </c>
      <c r="AR44" s="463" t="s">
        <v>124</v>
      </c>
      <c r="AS44" s="463" t="s">
        <v>125</v>
      </c>
      <c r="AT44" s="463" t="s">
        <v>126</v>
      </c>
      <c r="AU44" s="463" t="s">
        <v>127</v>
      </c>
      <c r="AV44" s="463" t="s">
        <v>128</v>
      </c>
      <c r="AW44" s="463" t="s">
        <v>485</v>
      </c>
      <c r="AX44" s="1791" t="s">
        <v>495</v>
      </c>
      <c r="AY44" s="1730" t="s">
        <v>529</v>
      </c>
      <c r="AZ44" s="1132"/>
    </row>
    <row r="45" spans="2:54" x14ac:dyDescent="0.2">
      <c r="B45" s="1111" t="s">
        <v>209</v>
      </c>
      <c r="C45" s="1093"/>
      <c r="D45" s="1093"/>
      <c r="E45" s="1093"/>
      <c r="F45" s="1093">
        <f>SUM(94.3+31.9+5)</f>
        <v>131.19999999999999</v>
      </c>
      <c r="G45" s="636"/>
      <c r="H45" s="439">
        <v>2007</v>
      </c>
      <c r="I45" s="1008">
        <f>SUM(TerminalRR!H35,TerminalRR!O35,TerminalRR!U35,TerminalRR!AD35,TerminalRR!AG35)</f>
        <v>4570.0110361860361</v>
      </c>
      <c r="J45" s="1009">
        <f t="shared" si="36"/>
        <v>13.040648955765835</v>
      </c>
      <c r="AF45" s="635" t="s">
        <v>252</v>
      </c>
      <c r="AG45" s="483"/>
      <c r="AH45" s="483"/>
      <c r="AI45" s="483"/>
      <c r="AJ45" s="483"/>
      <c r="AK45" s="483"/>
      <c r="AL45" s="483"/>
      <c r="AM45" s="636"/>
      <c r="AN45" s="640">
        <v>2012</v>
      </c>
      <c r="AO45" s="640">
        <v>2013</v>
      </c>
      <c r="AP45" s="640">
        <v>2014</v>
      </c>
      <c r="AQ45" s="640">
        <v>2015</v>
      </c>
      <c r="AR45" s="640">
        <v>2016</v>
      </c>
      <c r="AS45" s="640">
        <v>2017</v>
      </c>
      <c r="AT45" s="640">
        <v>2018</v>
      </c>
      <c r="AU45" s="640">
        <v>2019</v>
      </c>
      <c r="AV45" s="640">
        <v>2020</v>
      </c>
      <c r="AW45" s="640">
        <v>2021</v>
      </c>
      <c r="AX45" s="1836">
        <v>2022</v>
      </c>
      <c r="AY45" s="1729">
        <v>2023</v>
      </c>
      <c r="AZ45" s="1133" t="s">
        <v>26</v>
      </c>
    </row>
    <row r="46" spans="2:54" x14ac:dyDescent="0.2">
      <c r="B46" s="1111" t="s">
        <v>313</v>
      </c>
      <c r="C46" s="1093"/>
      <c r="D46" s="1093"/>
      <c r="E46" s="1093"/>
      <c r="F46" s="1093">
        <v>0.9</v>
      </c>
      <c r="G46" s="636"/>
      <c r="H46" s="439">
        <v>2008</v>
      </c>
      <c r="I46" s="1008">
        <f>SUM(TerminalRR!H36,TerminalRR!O36,TerminalRR!U36,TerminalRR!AD36,TerminalRR!AG36)</f>
        <v>5186.8856999999998</v>
      </c>
      <c r="J46" s="1009">
        <f t="shared" si="36"/>
        <v>14.80091733954146</v>
      </c>
      <c r="AF46" s="635" t="s">
        <v>502</v>
      </c>
      <c r="AG46" s="483"/>
      <c r="AH46" s="483"/>
      <c r="AI46" s="483"/>
      <c r="AJ46" s="483"/>
      <c r="AK46" s="483"/>
      <c r="AL46" s="483"/>
      <c r="AM46" s="636"/>
      <c r="AN46" s="467"/>
      <c r="AO46" s="467"/>
      <c r="AP46" s="467"/>
      <c r="AQ46" s="467"/>
      <c r="AR46" s="467"/>
      <c r="AS46" s="467"/>
      <c r="AT46" s="467"/>
      <c r="AU46" s="467"/>
      <c r="AV46" s="467"/>
      <c r="AW46" s="1587"/>
      <c r="AX46" s="1827" t="s">
        <v>516</v>
      </c>
      <c r="AY46" s="1794" t="s">
        <v>542</v>
      </c>
      <c r="AZ46" s="1796"/>
      <c r="BA46" s="1648"/>
    </row>
    <row r="47" spans="2:54" x14ac:dyDescent="0.2">
      <c r="B47" s="1111" t="s">
        <v>211</v>
      </c>
      <c r="C47" s="1093"/>
      <c r="D47" s="1093"/>
      <c r="E47" s="1093"/>
      <c r="F47" s="1114">
        <f>F46/F45</f>
        <v>6.8597560975609765E-3</v>
      </c>
      <c r="G47" s="636"/>
      <c r="H47" s="439">
        <v>2009</v>
      </c>
      <c r="I47" s="1008">
        <f>SUM(TerminalRR!H37,TerminalRR!O37,TerminalRR!U37,TerminalRR!AD37,TerminalRR!AG37)</f>
        <v>2626.7971883031732</v>
      </c>
      <c r="J47" s="1009">
        <f t="shared" si="36"/>
        <v>7.4956361679254266</v>
      </c>
      <c r="AF47" s="635" t="s">
        <v>505</v>
      </c>
      <c r="AG47" s="483"/>
      <c r="AH47" s="483"/>
      <c r="AI47" s="483"/>
      <c r="AJ47" s="483"/>
      <c r="AK47" s="483"/>
      <c r="AL47" s="483"/>
      <c r="AM47" s="636"/>
      <c r="AN47" s="467"/>
      <c r="AO47" s="467"/>
      <c r="AP47" s="467"/>
      <c r="AQ47" s="467"/>
      <c r="AR47" s="467"/>
      <c r="AS47" s="467"/>
      <c r="AT47" s="467"/>
      <c r="AU47" s="467"/>
      <c r="AV47" s="467"/>
      <c r="AW47" s="1588"/>
      <c r="AX47" s="1827" t="s">
        <v>507</v>
      </c>
      <c r="AY47" s="1752" t="s">
        <v>507</v>
      </c>
      <c r="AZ47" s="1140"/>
    </row>
    <row r="48" spans="2:54" ht="12.6" customHeight="1" x14ac:dyDescent="0.2">
      <c r="B48" s="1111" t="s">
        <v>314</v>
      </c>
      <c r="C48" s="1093"/>
      <c r="D48" s="1093"/>
      <c r="E48" s="1093"/>
      <c r="F48" s="1115">
        <f>AB9+AB10+(AB11/2)</f>
        <v>4.3219074218126E-2</v>
      </c>
      <c r="G48" s="636"/>
      <c r="H48" s="439">
        <v>2010</v>
      </c>
      <c r="I48" s="1008">
        <f>SUM(TerminalRR!H38,TerminalRR!O38,TerminalRR!U38,TerminalRR!AD38,TerminalRR!AG38)</f>
        <v>4104.1539298129555</v>
      </c>
      <c r="J48" s="1009">
        <f t="shared" si="36"/>
        <v>11.711313219012288</v>
      </c>
      <c r="AF48" s="635" t="s">
        <v>506</v>
      </c>
      <c r="AG48" s="483"/>
      <c r="AH48" s="483"/>
      <c r="AI48" s="483"/>
      <c r="AJ48" s="483"/>
      <c r="AK48" s="483"/>
      <c r="AL48" s="483"/>
      <c r="AM48" s="636"/>
      <c r="AN48" s="467"/>
      <c r="AO48" s="467"/>
      <c r="AP48" s="467"/>
      <c r="AQ48" s="467"/>
      <c r="AR48" s="467"/>
      <c r="AS48" s="467"/>
      <c r="AT48" s="467"/>
      <c r="AU48" s="467"/>
      <c r="AV48" s="467"/>
      <c r="AW48" s="1588"/>
      <c r="AX48" s="1827" t="s">
        <v>504</v>
      </c>
      <c r="AY48" s="1752" t="s">
        <v>504</v>
      </c>
      <c r="AZ48" s="1140"/>
    </row>
    <row r="49" spans="2:53" x14ac:dyDescent="0.2">
      <c r="B49" s="1111" t="s">
        <v>315</v>
      </c>
      <c r="C49" s="1093"/>
      <c r="D49" s="1093"/>
      <c r="E49" s="1093"/>
      <c r="F49" s="1115">
        <f>F47*F48</f>
        <v>2.9647230789873021E-4</v>
      </c>
      <c r="G49" s="636"/>
      <c r="H49" s="439">
        <v>2011</v>
      </c>
      <c r="I49" s="1008">
        <f>SUM(TerminalRR!H39,TerminalRR!O39,TerminalRR!U39,TerminalRR!AD39,TerminalRR!AG39)</f>
        <v>5643.8592521870287</v>
      </c>
      <c r="J49" s="1009">
        <f t="shared" si="36"/>
        <v>16.104903616369739</v>
      </c>
      <c r="AF49" s="950" t="s">
        <v>518</v>
      </c>
      <c r="AG49" s="483"/>
      <c r="AH49" s="483"/>
      <c r="AI49" s="483"/>
      <c r="AJ49" s="483"/>
      <c r="AK49" s="483"/>
      <c r="AL49" s="483"/>
      <c r="AM49" s="636"/>
      <c r="AN49" s="467"/>
      <c r="AO49" s="467"/>
      <c r="AP49" s="467"/>
      <c r="AQ49" s="467"/>
      <c r="AR49" s="467"/>
      <c r="AS49" s="467"/>
      <c r="AT49" s="467"/>
      <c r="AU49" s="467"/>
      <c r="AV49" s="467"/>
      <c r="AW49" s="1588" t="s">
        <v>291</v>
      </c>
      <c r="AX49" s="1827" t="s">
        <v>515</v>
      </c>
      <c r="AY49" s="1752" t="s">
        <v>543</v>
      </c>
      <c r="AZ49" s="1140"/>
    </row>
    <row r="50" spans="2:53" x14ac:dyDescent="0.2">
      <c r="B50" s="1111"/>
      <c r="C50" s="1093"/>
      <c r="D50" s="1093"/>
      <c r="E50" s="1093"/>
      <c r="F50" s="1093"/>
      <c r="G50" s="636"/>
      <c r="H50" s="439">
        <v>2012</v>
      </c>
      <c r="I50" s="1008">
        <f>SUM(TerminalRR!H40,TerminalRR!O40,TerminalRR!U40,TerminalRR!AD40,TerminalRR!AG40)</f>
        <v>6345.1038901041202</v>
      </c>
      <c r="J50" s="1009">
        <f t="shared" si="36"/>
        <v>18.105923982137114</v>
      </c>
      <c r="AF50" s="1757" t="s">
        <v>510</v>
      </c>
      <c r="AG50" s="483"/>
      <c r="AH50" s="483"/>
      <c r="AI50" s="483"/>
      <c r="AJ50" s="483"/>
      <c r="AK50" s="483"/>
      <c r="AL50" s="483"/>
      <c r="AM50" s="636"/>
      <c r="AN50" s="467"/>
      <c r="AO50" s="467"/>
      <c r="AP50" s="467"/>
      <c r="AQ50" s="467"/>
      <c r="AR50" s="467"/>
      <c r="AS50" s="467"/>
      <c r="AT50" s="467"/>
      <c r="AU50" s="467"/>
      <c r="AV50" s="467"/>
      <c r="AW50" s="1588" t="s">
        <v>291</v>
      </c>
      <c r="AX50" s="1827" t="s">
        <v>517</v>
      </c>
      <c r="AY50" s="1752" t="s">
        <v>544</v>
      </c>
      <c r="AZ50" s="1140"/>
    </row>
    <row r="51" spans="2:53" ht="15" x14ac:dyDescent="0.25">
      <c r="B51" s="1116" t="s">
        <v>316</v>
      </c>
      <c r="C51" s="1093"/>
      <c r="D51" s="1093"/>
      <c r="E51" s="1093"/>
      <c r="F51" s="1093"/>
      <c r="G51" s="636"/>
      <c r="H51" s="439">
        <v>2013</v>
      </c>
      <c r="I51" s="1008">
        <f>SUM(TerminalRR!H41,TerminalRR!O41,TerminalRR!U41,TerminalRR!AD41,TerminalRR!AG41)</f>
        <v>8898.6810855690292</v>
      </c>
      <c r="J51" s="1009">
        <f t="shared" ref="J51" si="37">$F$38*I51</f>
        <v>25.392624938399603</v>
      </c>
      <c r="AF51" s="1757" t="s">
        <v>546</v>
      </c>
      <c r="AG51" s="483"/>
      <c r="AH51" s="483"/>
      <c r="AI51" s="483"/>
      <c r="AJ51" s="483"/>
      <c r="AK51" s="483"/>
      <c r="AL51" s="483"/>
      <c r="AM51" s="636"/>
      <c r="AN51" s="467"/>
      <c r="AO51" s="467"/>
      <c r="AP51" s="467"/>
      <c r="AQ51" s="467"/>
      <c r="AR51" s="467"/>
      <c r="AS51" s="467"/>
      <c r="AT51" s="467"/>
      <c r="AU51" s="467"/>
      <c r="AV51" s="467"/>
      <c r="AW51" s="1588"/>
      <c r="AX51" s="1827"/>
      <c r="AY51" s="1752">
        <v>39</v>
      </c>
      <c r="AZ51"/>
    </row>
    <row r="52" spans="2:53" ht="15" x14ac:dyDescent="0.25">
      <c r="B52" s="1117" t="s">
        <v>317</v>
      </c>
      <c r="C52" s="1118"/>
      <c r="D52" s="1118"/>
      <c r="E52" s="1118"/>
      <c r="F52" s="1134">
        <f>F49/2</f>
        <v>1.4823615394936511E-4</v>
      </c>
      <c r="G52" s="639" t="s">
        <v>363</v>
      </c>
      <c r="H52" s="439">
        <v>2014</v>
      </c>
      <c r="I52" s="1008">
        <f>SUM(TerminalRR!H42,TerminalRR!O42,TerminalRR!U42,TerminalRR!AD42,TerminalRR!AG42)</f>
        <v>9299.7085390875982</v>
      </c>
      <c r="J52" s="1009">
        <f t="shared" ref="J52:J54" si="38">$F$38*I52</f>
        <v>26.536967523472402</v>
      </c>
      <c r="AF52" s="1757" t="s">
        <v>545</v>
      </c>
      <c r="AG52" s="483"/>
      <c r="AH52" s="483"/>
      <c r="AI52" s="483"/>
      <c r="AJ52" s="483"/>
      <c r="AK52" s="483"/>
      <c r="AL52" s="483"/>
      <c r="AM52" s="636"/>
      <c r="AN52" s="467"/>
      <c r="AO52" s="467"/>
      <c r="AP52" s="467"/>
      <c r="AQ52" s="467"/>
      <c r="AR52" s="467"/>
      <c r="AS52" s="467"/>
      <c r="AT52" s="467"/>
      <c r="AU52" s="467"/>
      <c r="AV52" s="467"/>
      <c r="AW52" s="1588"/>
      <c r="AX52" s="1827"/>
      <c r="AY52" s="1752">
        <v>0</v>
      </c>
      <c r="AZ52"/>
    </row>
    <row r="53" spans="2:53" x14ac:dyDescent="0.2">
      <c r="H53" s="439">
        <v>2015</v>
      </c>
      <c r="I53" s="1008">
        <f>SUM(TerminalRR!H43,TerminalRR!O43,TerminalRR!U43,TerminalRR!AD43,TerminalRR!AG43)</f>
        <v>8718.5501052773106</v>
      </c>
      <c r="J53" s="1009">
        <f>($F$38+F52)*I53</f>
        <v>26.171020694732345</v>
      </c>
      <c r="K53" s="439" t="s">
        <v>348</v>
      </c>
      <c r="AF53" s="635" t="s">
        <v>292</v>
      </c>
      <c r="AG53" s="483"/>
      <c r="AH53" s="483"/>
      <c r="AI53" s="483"/>
      <c r="AJ53" s="483"/>
      <c r="AK53" s="483"/>
      <c r="AL53" s="483"/>
      <c r="AM53" s="636"/>
      <c r="AN53" s="630">
        <f>SUM('[3]Catch Sheet'!$CI$9:$CI$23)</f>
        <v>27.685410002053452</v>
      </c>
      <c r="AO53" s="837">
        <f>SUM('[3]Catch Sheet'!$CI$24:$CI$38)</f>
        <v>35.832977236631635</v>
      </c>
      <c r="AP53" s="837">
        <f>'[4]Catch Sheet'!$P$28</f>
        <v>30.164020087699665</v>
      </c>
      <c r="AQ53" s="837">
        <v>0</v>
      </c>
      <c r="AR53" s="631">
        <f>14.5+5</f>
        <v>19.5</v>
      </c>
      <c r="AS53" s="837">
        <f>10</f>
        <v>10</v>
      </c>
      <c r="AT53" s="837">
        <v>0</v>
      </c>
      <c r="AU53" s="837">
        <f>6.1+5</f>
        <v>11.1</v>
      </c>
      <c r="AV53" s="631">
        <v>4.3</v>
      </c>
      <c r="AW53" s="631">
        <v>0</v>
      </c>
      <c r="AX53" s="1837">
        <v>3.01</v>
      </c>
      <c r="AY53" s="1795">
        <f>SUM(AY51:AY52)</f>
        <v>39</v>
      </c>
      <c r="AZ53" s="1843">
        <f>AVERAGE(AN53,AP53,AQ53,AR53,AS53,AT53,AU53,AV53,AX53,AY53)</f>
        <v>14.47594300897531</v>
      </c>
    </row>
    <row r="54" spans="2:53" x14ac:dyDescent="0.2">
      <c r="H54" s="439">
        <v>2016</v>
      </c>
      <c r="I54" s="1142">
        <f>SUM(TerminalRR!H44,TerminalRR!O44,TerminalRR!U44,TerminalRR!AD44,TerminalRR!AG44)</f>
        <v>7973.0234675000002</v>
      </c>
      <c r="J54" s="1143">
        <f t="shared" si="38"/>
        <v>22.751236120104156</v>
      </c>
      <c r="AF54" s="635" t="s">
        <v>336</v>
      </c>
      <c r="AG54" s="483"/>
      <c r="AH54" s="483"/>
      <c r="AI54" s="483"/>
      <c r="AJ54" s="483"/>
      <c r="AK54" s="483"/>
      <c r="AL54" s="483"/>
      <c r="AM54" s="636"/>
      <c r="AN54" s="837">
        <v>0</v>
      </c>
      <c r="AO54" s="837">
        <v>0</v>
      </c>
      <c r="AP54" s="837">
        <v>0</v>
      </c>
      <c r="AQ54" s="631">
        <v>2</v>
      </c>
      <c r="AR54" s="631">
        <f>5.2+1.4</f>
        <v>6.6</v>
      </c>
      <c r="AS54" s="631">
        <v>5.2</v>
      </c>
      <c r="AT54" s="631">
        <v>0</v>
      </c>
      <c r="AU54" s="631">
        <v>0</v>
      </c>
      <c r="AV54" s="631">
        <v>0</v>
      </c>
      <c r="AW54" s="631">
        <v>0</v>
      </c>
      <c r="AX54" s="1837">
        <v>0</v>
      </c>
      <c r="AY54" s="1795">
        <v>0</v>
      </c>
      <c r="AZ54" s="1843">
        <f t="shared" ref="AZ54:AZ62" si="39">AVERAGE(AN54,AP54,AQ54,AR54,AS54,AT54,AU54,AV54,AX54,AY54)</f>
        <v>1.3800000000000001</v>
      </c>
    </row>
    <row r="55" spans="2:53" x14ac:dyDescent="0.2">
      <c r="I55" s="1142"/>
      <c r="J55" s="1143"/>
      <c r="AF55" s="635" t="s">
        <v>337</v>
      </c>
      <c r="AG55" s="483"/>
      <c r="AH55" s="483"/>
      <c r="AI55" s="483"/>
      <c r="AJ55" s="483"/>
      <c r="AK55" s="483"/>
      <c r="AL55" s="483"/>
      <c r="AM55" s="636"/>
      <c r="AN55" s="837">
        <f t="shared" ref="AN55:AY55" si="40">AN53*0.1+AN54</f>
        <v>2.7685410002053454</v>
      </c>
      <c r="AO55" s="837">
        <f t="shared" si="40"/>
        <v>3.5832977236631636</v>
      </c>
      <c r="AP55" s="837">
        <f t="shared" si="40"/>
        <v>3.0164020087699668</v>
      </c>
      <c r="AQ55" s="837">
        <f t="shared" si="40"/>
        <v>2</v>
      </c>
      <c r="AR55" s="837">
        <f>AR53*0.1+AR54</f>
        <v>8.5500000000000007</v>
      </c>
      <c r="AS55" s="837">
        <f>(AS53*0.1)+AS54</f>
        <v>6.2</v>
      </c>
      <c r="AT55" s="837">
        <f t="shared" si="40"/>
        <v>0</v>
      </c>
      <c r="AU55" s="837">
        <f t="shared" si="40"/>
        <v>1.1100000000000001</v>
      </c>
      <c r="AV55" s="631">
        <f t="shared" si="40"/>
        <v>0.43</v>
      </c>
      <c r="AW55" s="631">
        <f t="shared" si="40"/>
        <v>0</v>
      </c>
      <c r="AX55" s="1837">
        <f t="shared" si="40"/>
        <v>0.30099999999999999</v>
      </c>
      <c r="AY55" s="1768">
        <f t="shared" si="40"/>
        <v>3.9000000000000004</v>
      </c>
      <c r="AZ55" s="1843">
        <f t="shared" si="39"/>
        <v>2.8275943008975313</v>
      </c>
    </row>
    <row r="56" spans="2:53" ht="12.6" customHeight="1" x14ac:dyDescent="0.2">
      <c r="H56" s="439">
        <v>2017</v>
      </c>
      <c r="I56" s="1142">
        <f>SUM(TerminalRR!H45,TerminalRR!O45,TerminalRR!U45,TerminalRR!AD45,TerminalRR!AG45)</f>
        <v>6469.0316979999998</v>
      </c>
      <c r="J56" s="1143">
        <f t="shared" ref="J56:J60" si="41">$F$26*I56</f>
        <v>17.250017115648692</v>
      </c>
      <c r="K56" s="439" t="s">
        <v>465</v>
      </c>
      <c r="AF56" s="635" t="s">
        <v>340</v>
      </c>
      <c r="AG56" s="483"/>
      <c r="AH56" s="483"/>
      <c r="AI56" s="483"/>
      <c r="AJ56" s="483"/>
      <c r="AK56" s="483"/>
      <c r="AL56" s="483"/>
      <c r="AM56" s="636"/>
      <c r="AN56" s="465">
        <f>I50</f>
        <v>6345.1038901041202</v>
      </c>
      <c r="AO56" s="465">
        <f>I51</f>
        <v>8898.6810855690292</v>
      </c>
      <c r="AP56" s="949">
        <f>I52</f>
        <v>9299.7085390875982</v>
      </c>
      <c r="AQ56" s="949">
        <f>I53</f>
        <v>8718.5501052773106</v>
      </c>
      <c r="AR56" s="949">
        <f>I54</f>
        <v>7973.0234675000002</v>
      </c>
      <c r="AS56" s="949">
        <f>I56</f>
        <v>6469.0316979999998</v>
      </c>
      <c r="AT56" s="949">
        <f>I57</f>
        <v>6123.3165466666669</v>
      </c>
      <c r="AU56" s="949">
        <f>I58</f>
        <v>4505.7458859999997</v>
      </c>
      <c r="AV56" s="1661">
        <f>I59</f>
        <v>3079.4679590000001</v>
      </c>
      <c r="AW56" s="1661">
        <f>I60</f>
        <v>3479.6176599999999</v>
      </c>
      <c r="AX56" s="1837">
        <f>I61</f>
        <v>5772.8367550000003</v>
      </c>
      <c r="AY56" s="1840">
        <f>AY31</f>
        <v>4606.0452470534801</v>
      </c>
      <c r="AZ56" s="1843">
        <f t="shared" si="39"/>
        <v>6289.2830093689172</v>
      </c>
    </row>
    <row r="57" spans="2:53" ht="12.6" customHeight="1" x14ac:dyDescent="0.2">
      <c r="H57" s="439">
        <v>2018</v>
      </c>
      <c r="I57" s="1142">
        <f>SUM(TerminalRR!H46,TerminalRR!O46,TerminalRR!U46,TerminalRR!AD46,TerminalRR!AG46)</f>
        <v>6123.3165466666669</v>
      </c>
      <c r="J57" s="1143">
        <f t="shared" si="41"/>
        <v>16.328149275755003</v>
      </c>
      <c r="K57" s="439" t="s">
        <v>465</v>
      </c>
      <c r="AF57" s="635" t="s">
        <v>188</v>
      </c>
      <c r="AG57" s="483"/>
      <c r="AH57" s="483"/>
      <c r="AI57" s="483"/>
      <c r="AJ57" s="483"/>
      <c r="AK57" s="483"/>
      <c r="AL57" s="483"/>
      <c r="AM57" s="636"/>
      <c r="AN57" s="1841">
        <f>(AN53+AN54)*0.8</f>
        <v>22.148328001642763</v>
      </c>
      <c r="AO57" s="1841">
        <f t="shared" ref="AO57:AY57" si="42">(AO53+AO54)*0.8</f>
        <v>28.666381789305309</v>
      </c>
      <c r="AP57" s="1841">
        <f t="shared" ref="AP57" si="43">(AP53+AP54)*0.8</f>
        <v>24.131216070159734</v>
      </c>
      <c r="AQ57" s="1841">
        <f>(AQ53+AQ54)*0.8</f>
        <v>1.6</v>
      </c>
      <c r="AR57" s="1841">
        <f>(AR53+AR54)*0.8</f>
        <v>20.880000000000003</v>
      </c>
      <c r="AS57" s="1841">
        <f t="shared" si="42"/>
        <v>12.16</v>
      </c>
      <c r="AT57" s="1841">
        <f t="shared" si="42"/>
        <v>0</v>
      </c>
      <c r="AU57" s="1841">
        <f t="shared" si="42"/>
        <v>8.8800000000000008</v>
      </c>
      <c r="AV57" s="1841">
        <f t="shared" si="42"/>
        <v>3.44</v>
      </c>
      <c r="AW57" s="1841">
        <f t="shared" si="42"/>
        <v>0</v>
      </c>
      <c r="AX57" s="1841">
        <f t="shared" si="42"/>
        <v>2.4079999999999999</v>
      </c>
      <c r="AY57" s="1841">
        <f t="shared" si="42"/>
        <v>31.200000000000003</v>
      </c>
      <c r="AZ57" s="1843">
        <f t="shared" si="39"/>
        <v>12.68475440718025</v>
      </c>
      <c r="BA57" s="439" t="str">
        <f t="shared" ref="BA57:BA62" si="44">AF32</f>
        <v>Est. Kelts( assume 80%)</v>
      </c>
    </row>
    <row r="58" spans="2:53" x14ac:dyDescent="0.2">
      <c r="H58" s="439">
        <v>2019</v>
      </c>
      <c r="I58" s="1142">
        <f>SUM(TerminalRR!H47,TerminalRR!O47,TerminalRR!U47,TerminalRR!AD47,TerminalRR!AG47)</f>
        <v>4505.7458859999997</v>
      </c>
      <c r="J58" s="1143">
        <f t="shared" si="41"/>
        <v>12.014811069219725</v>
      </c>
      <c r="K58" s="439" t="s">
        <v>465</v>
      </c>
      <c r="AF58" s="635" t="s">
        <v>174</v>
      </c>
      <c r="AG58" s="483"/>
      <c r="AH58" s="483"/>
      <c r="AI58" s="483"/>
      <c r="AJ58" s="483"/>
      <c r="AK58" s="483"/>
      <c r="AL58" s="483"/>
      <c r="AM58" s="636"/>
      <c r="AN58" s="1841">
        <f>(AN53+AN54)*0.2</f>
        <v>5.5370820004106909</v>
      </c>
      <c r="AO58" s="1841">
        <f t="shared" ref="AO58:AY58" si="45">(AO53+AO54)*0.2</f>
        <v>7.1665954473263271</v>
      </c>
      <c r="AP58" s="1841">
        <f t="shared" ref="AP58" si="46">(AP53+AP54)*0.2</f>
        <v>6.0328040175399336</v>
      </c>
      <c r="AQ58" s="1841">
        <f>(AQ53+AQ54)*0.2</f>
        <v>0.4</v>
      </c>
      <c r="AR58" s="1841">
        <f>(AR53+AR54)*0.2</f>
        <v>5.2200000000000006</v>
      </c>
      <c r="AS58" s="1841">
        <f t="shared" si="45"/>
        <v>3.04</v>
      </c>
      <c r="AT58" s="1841">
        <f t="shared" si="45"/>
        <v>0</v>
      </c>
      <c r="AU58" s="1841">
        <f t="shared" si="45"/>
        <v>2.2200000000000002</v>
      </c>
      <c r="AV58" s="1841">
        <f t="shared" si="45"/>
        <v>0.86</v>
      </c>
      <c r="AW58" s="1841">
        <f t="shared" si="45"/>
        <v>0</v>
      </c>
      <c r="AX58" s="1841">
        <f t="shared" si="45"/>
        <v>0.60199999999999998</v>
      </c>
      <c r="AY58" s="1841">
        <f t="shared" si="45"/>
        <v>7.8000000000000007</v>
      </c>
      <c r="AZ58" s="1843">
        <f t="shared" si="39"/>
        <v>3.1711886017950626</v>
      </c>
      <c r="BA58" s="439" t="str">
        <f t="shared" si="44"/>
        <v>Prespawn</v>
      </c>
    </row>
    <row r="59" spans="2:53" x14ac:dyDescent="0.2">
      <c r="H59" s="439">
        <v>2020</v>
      </c>
      <c r="I59" s="1142">
        <f>SUM(TerminalRR!H48,TerminalRR!O48,TerminalRR!U48,TerminalRR!AD48,TerminalRR!AG48)</f>
        <v>3079.4679590000001</v>
      </c>
      <c r="J59" s="1143">
        <f t="shared" si="41"/>
        <v>8.2115651120189863</v>
      </c>
      <c r="K59" s="439" t="s">
        <v>465</v>
      </c>
      <c r="AF59" s="635" t="s">
        <v>333</v>
      </c>
      <c r="AG59" s="483"/>
      <c r="AH59" s="483"/>
      <c r="AI59" s="483"/>
      <c r="AJ59" s="483"/>
      <c r="AK59" s="483"/>
      <c r="AL59" s="483"/>
      <c r="AM59" s="636"/>
      <c r="AN59" s="1830">
        <f>(((AN53*0.8)*0.1)+(AN54*0.8))*0.0661</f>
        <v>0.1464004480908587</v>
      </c>
      <c r="AO59" s="1830">
        <f>(((AO53*0.8)*0.1)+(AO54*0.8))*0.0661</f>
        <v>0.18948478362730811</v>
      </c>
      <c r="AP59" s="1830">
        <f>(((AP53*0.8)*0.1)+(AP54*0.8))*TreatyCatch!BU303</f>
        <v>0.21235470141740567</v>
      </c>
      <c r="AQ59" s="1830">
        <f>(((AQ53*0.8)*0.1)+(AQ54*0.8))*TreatyCatch!CA303</f>
        <v>0.13888</v>
      </c>
      <c r="AR59" s="1830">
        <f>(((AR53*0.8)*0.1)+(AR54*0.8))*TreatyCatch!CG303</f>
        <v>0.60533999999999999</v>
      </c>
      <c r="AS59" s="1830">
        <f>(((AS53*0.8)*0.1)+(AS54*0.8))*TreatyCatch!CM303</f>
        <v>0.43548799999999999</v>
      </c>
      <c r="AT59" s="1830">
        <f>(((AT53*0.8)*0.1)+(AT54*0.8))*TreatyCatch!DS303</f>
        <v>0</v>
      </c>
      <c r="AU59" s="1830">
        <f>(((AU53*0.8)*0.1)+(AU54*0.8))*TreatyCatch!CY303</f>
        <v>7.9387200000000005E-2</v>
      </c>
      <c r="AV59" s="1830">
        <f>(((AV53*0.8)*0.1)+(AV54*0.8))*TreatyCatch!DE303</f>
        <v>2.9377600000000004E-2</v>
      </c>
      <c r="AW59" s="1830">
        <f>(((AW53*0.8)*0.1)+(AW54*0.8))*TreatyCatch!DK303</f>
        <v>0</v>
      </c>
      <c r="AX59" s="1830">
        <f>(((AX53*0.8)*0.1)+(AX54*0.8))*TreatyCatch!DQ303</f>
        <v>1.9504800000000003E-2</v>
      </c>
      <c r="AY59" s="1830">
        <f>(((AY53*0.8)*0.1)+(AY54*0.8))*TreatyCatch!DW303</f>
        <v>0.27019200000000004</v>
      </c>
      <c r="AZ59" s="1843">
        <f t="shared" si="39"/>
        <v>0.19369247495082639</v>
      </c>
      <c r="BA59" s="439" t="str">
        <f t="shared" si="44"/>
        <v>Adjusted Kelt mortality ( 10% release mort)</v>
      </c>
    </row>
    <row r="60" spans="2:53" x14ac:dyDescent="0.2">
      <c r="H60" s="439">
        <v>2021</v>
      </c>
      <c r="I60" s="1142">
        <f>SUM(TerminalRR!H49,TerminalRR!O49,TerminalRR!U49,TerminalRR!AD49,TerminalRR!AG49)</f>
        <v>3479.6176599999999</v>
      </c>
      <c r="J60" s="1143">
        <f t="shared" si="41"/>
        <v>9.2785855740157555</v>
      </c>
      <c r="AF60" s="635" t="s">
        <v>547</v>
      </c>
      <c r="AG60" s="483"/>
      <c r="AH60" s="483"/>
      <c r="AI60" s="483"/>
      <c r="AJ60" s="483"/>
      <c r="AK60" s="483"/>
      <c r="AL60" s="483"/>
      <c r="AM60" s="636"/>
      <c r="AN60" s="1830">
        <f t="shared" ref="AN60:AY60" si="47">((AN53*0.2)*0.1)+(AN54*0.2)</f>
        <v>0.55370820004106913</v>
      </c>
      <c r="AO60" s="1830">
        <f t="shared" si="47"/>
        <v>0.71665954473263271</v>
      </c>
      <c r="AP60" s="1830">
        <f t="shared" si="47"/>
        <v>0.60328040175399344</v>
      </c>
      <c r="AQ60" s="1830">
        <f t="shared" si="47"/>
        <v>0.4</v>
      </c>
      <c r="AR60" s="1830">
        <f t="shared" si="47"/>
        <v>1.7100000000000002</v>
      </c>
      <c r="AS60" s="1830">
        <f t="shared" si="47"/>
        <v>1.24</v>
      </c>
      <c r="AT60" s="1830">
        <f t="shared" si="47"/>
        <v>0</v>
      </c>
      <c r="AU60" s="1830">
        <f t="shared" si="47"/>
        <v>0.22200000000000003</v>
      </c>
      <c r="AV60" s="1830">
        <f t="shared" si="47"/>
        <v>8.6000000000000007E-2</v>
      </c>
      <c r="AW60" s="1830">
        <f t="shared" si="47"/>
        <v>0</v>
      </c>
      <c r="AX60" s="1830">
        <f t="shared" si="47"/>
        <v>6.0200000000000004E-2</v>
      </c>
      <c r="AY60" s="1830">
        <f t="shared" si="47"/>
        <v>0.78000000000000014</v>
      </c>
      <c r="AZ60" s="1843">
        <f t="shared" si="39"/>
        <v>0.56551886017950648</v>
      </c>
      <c r="BA60" s="439" t="str">
        <f t="shared" si="44"/>
        <v>Prespawn mortality</v>
      </c>
    </row>
    <row r="61" spans="2:53" x14ac:dyDescent="0.2">
      <c r="F61" s="481"/>
      <c r="H61" s="439">
        <v>2022</v>
      </c>
      <c r="I61" s="1744">
        <f>SUM(TerminalRR!H50,TerminalRR!O50,TerminalRR!U50,TerminalRR!AD50,TerminalRR!AG50)</f>
        <v>5772.8367550000003</v>
      </c>
      <c r="J61" s="1742">
        <f>$F$26*I61</f>
        <v>15.393576268977474</v>
      </c>
      <c r="AF61" s="635" t="s">
        <v>339</v>
      </c>
      <c r="AG61" s="483"/>
      <c r="AH61" s="483"/>
      <c r="AI61" s="483"/>
      <c r="AJ61" s="483"/>
      <c r="AK61" s="483"/>
      <c r="AL61" s="483"/>
      <c r="AM61" s="636"/>
      <c r="AN61" s="1838">
        <f t="shared" ref="AN61:AY61" si="48">AN60+AN59</f>
        <v>0.70010864813192786</v>
      </c>
      <c r="AO61" s="1838">
        <f t="shared" si="48"/>
        <v>0.90614432835994085</v>
      </c>
      <c r="AP61" s="1838">
        <f t="shared" si="48"/>
        <v>0.81563510317139909</v>
      </c>
      <c r="AQ61" s="1838">
        <f t="shared" si="48"/>
        <v>0.53888000000000003</v>
      </c>
      <c r="AR61" s="1838">
        <f t="shared" si="48"/>
        <v>2.31534</v>
      </c>
      <c r="AS61" s="1838">
        <f t="shared" si="48"/>
        <v>1.6754880000000001</v>
      </c>
      <c r="AT61" s="1838">
        <f t="shared" si="48"/>
        <v>0</v>
      </c>
      <c r="AU61" s="1838">
        <f t="shared" si="48"/>
        <v>0.30138720000000002</v>
      </c>
      <c r="AV61" s="1838">
        <f t="shared" si="48"/>
        <v>0.11537760000000001</v>
      </c>
      <c r="AW61" s="1838">
        <f t="shared" si="48"/>
        <v>0</v>
      </c>
      <c r="AX61" s="1838">
        <f t="shared" si="48"/>
        <v>7.9704800000000006E-2</v>
      </c>
      <c r="AY61" s="1838">
        <f t="shared" si="48"/>
        <v>1.0501920000000002</v>
      </c>
      <c r="AZ61" s="1843">
        <f t="shared" si="39"/>
        <v>0.75921133513033268</v>
      </c>
      <c r="BA61" s="439" t="str">
        <f t="shared" si="44"/>
        <v>Total Mortality (Kelt Adjusted)</v>
      </c>
    </row>
    <row r="62" spans="2:53" x14ac:dyDescent="0.2">
      <c r="F62" s="1743"/>
      <c r="G62" s="481"/>
      <c r="H62" s="1741">
        <v>2023</v>
      </c>
      <c r="I62" s="1816">
        <f>SUM(TerminalRR!H51,TerminalRR!O51,TerminalRR!U51,TerminalRR!AD51,TerminalRR!AG51)</f>
        <v>4606.0452470534801</v>
      </c>
      <c r="J62" s="1817">
        <f>((SUM(AB4,AB5,AB6,AB7,AB8,AB15)/10)*I62)+AY97</f>
        <v>14.807920987755228</v>
      </c>
      <c r="AF62" s="637" t="s">
        <v>311</v>
      </c>
      <c r="AG62" s="638"/>
      <c r="AH62" s="638"/>
      <c r="AI62" s="638"/>
      <c r="AJ62" s="638"/>
      <c r="AK62" s="638"/>
      <c r="AL62" s="638"/>
      <c r="AM62" s="639"/>
      <c r="AN62" s="1839">
        <f t="shared" ref="AN62:AY62" si="49">AN61/AN56</f>
        <v>1.1033840584136431E-4</v>
      </c>
      <c r="AO62" s="1839">
        <f t="shared" si="49"/>
        <v>1.0182905979510076E-4</v>
      </c>
      <c r="AP62" s="1839">
        <f t="shared" si="49"/>
        <v>8.7705447944223599E-5</v>
      </c>
      <c r="AQ62" s="1839">
        <f t="shared" si="49"/>
        <v>6.180844217134426E-5</v>
      </c>
      <c r="AR62" s="1842">
        <f t="shared" si="49"/>
        <v>2.9039673712712545E-4</v>
      </c>
      <c r="AS62" s="1839">
        <f t="shared" si="49"/>
        <v>2.5900135881510721E-4</v>
      </c>
      <c r="AT62" s="1839">
        <f t="shared" si="49"/>
        <v>0</v>
      </c>
      <c r="AU62" s="1839">
        <f t="shared" si="49"/>
        <v>6.6889524537203348E-5</v>
      </c>
      <c r="AV62" s="1839">
        <f t="shared" si="49"/>
        <v>3.7466731765401038E-5</v>
      </c>
      <c r="AW62" s="1839">
        <f t="shared" si="49"/>
        <v>0</v>
      </c>
      <c r="AX62" s="1839">
        <f t="shared" si="49"/>
        <v>1.3806868855414222E-5</v>
      </c>
      <c r="AY62" s="1839">
        <f t="shared" si="49"/>
        <v>2.280029708070748E-4</v>
      </c>
      <c r="AZ62" s="1844">
        <f t="shared" si="39"/>
        <v>1.1554164878642584E-4</v>
      </c>
      <c r="BA62" s="439" t="str">
        <f t="shared" si="44"/>
        <v>HR (Kelt Adjusted)</v>
      </c>
    </row>
    <row r="63" spans="2:53" x14ac:dyDescent="0.2">
      <c r="I63" s="984"/>
      <c r="J63" s="984">
        <f>J53*10</f>
        <v>261.71020694732346</v>
      </c>
      <c r="AF63" s="525"/>
      <c r="AJ63" s="951"/>
      <c r="AK63" s="641"/>
    </row>
    <row r="64" spans="2:53" x14ac:dyDescent="0.2">
      <c r="I64" s="984"/>
      <c r="J64" s="984">
        <f>AQ32*0.0868+25</f>
        <v>33.661672125668289</v>
      </c>
      <c r="AK64" s="641"/>
    </row>
    <row r="65" spans="9:52" x14ac:dyDescent="0.2">
      <c r="I65" s="984"/>
      <c r="J65" s="984">
        <f>SUM(AQ53:AQ54)*0.8*0.0868+SUM(AQ53:AQ54)*0.2</f>
        <v>0.53888000000000003</v>
      </c>
      <c r="AH65" s="532"/>
    </row>
    <row r="68" spans="9:52" ht="15" x14ac:dyDescent="0.2">
      <c r="AF68" s="1760" t="s">
        <v>549</v>
      </c>
    </row>
    <row r="69" spans="9:52" x14ac:dyDescent="0.2">
      <c r="AF69" s="1746" t="s">
        <v>179</v>
      </c>
      <c r="AG69" s="463"/>
      <c r="AH69" s="463"/>
      <c r="AI69" s="463"/>
      <c r="AJ69" s="463"/>
      <c r="AK69" s="463"/>
      <c r="AL69" s="463"/>
      <c r="AM69" s="463"/>
      <c r="AN69" s="463" t="s">
        <v>120</v>
      </c>
      <c r="AO69" s="463" t="s">
        <v>121</v>
      </c>
      <c r="AP69" s="463" t="s">
        <v>122</v>
      </c>
      <c r="AQ69" s="463" t="s">
        <v>123</v>
      </c>
      <c r="AR69" s="463" t="s">
        <v>124</v>
      </c>
      <c r="AS69" s="463" t="s">
        <v>125</v>
      </c>
      <c r="AT69" s="1587" t="s">
        <v>126</v>
      </c>
      <c r="AU69" s="1587" t="s">
        <v>127</v>
      </c>
      <c r="AV69" s="1587" t="s">
        <v>467</v>
      </c>
      <c r="AW69" s="1587" t="s">
        <v>485</v>
      </c>
      <c r="AX69" s="1747" t="s">
        <v>487</v>
      </c>
      <c r="AY69" s="1747" t="s">
        <v>492</v>
      </c>
      <c r="AZ69" s="1791" t="s">
        <v>530</v>
      </c>
    </row>
    <row r="70" spans="9:52" x14ac:dyDescent="0.2">
      <c r="AF70" s="635" t="s">
        <v>548</v>
      </c>
      <c r="AG70" s="640"/>
      <c r="AH70" s="640"/>
      <c r="AI70" s="640"/>
      <c r="AJ70" s="640"/>
      <c r="AK70" s="640"/>
      <c r="AL70" s="640"/>
      <c r="AM70" s="640"/>
      <c r="AN70" s="1762">
        <v>2012</v>
      </c>
      <c r="AO70" s="1762">
        <v>2013</v>
      </c>
      <c r="AP70" s="1762">
        <v>2014</v>
      </c>
      <c r="AQ70" s="1762">
        <v>2015</v>
      </c>
      <c r="AR70" s="1762">
        <v>2016</v>
      </c>
      <c r="AS70" s="1762">
        <v>2017</v>
      </c>
      <c r="AT70" s="1745">
        <v>2018</v>
      </c>
      <c r="AU70" s="1745">
        <v>2019</v>
      </c>
      <c r="AV70" s="1745">
        <v>2020</v>
      </c>
      <c r="AW70" s="1745">
        <v>2020</v>
      </c>
      <c r="AX70" s="1748">
        <v>2021</v>
      </c>
      <c r="AY70" s="1748">
        <v>2022</v>
      </c>
      <c r="AZ70" s="1747">
        <v>2023</v>
      </c>
    </row>
    <row r="71" spans="9:52" x14ac:dyDescent="0.2">
      <c r="AF71" s="635" t="s">
        <v>502</v>
      </c>
      <c r="AG71" s="468"/>
      <c r="AH71" s="468"/>
      <c r="AI71" s="468"/>
      <c r="AJ71" s="468"/>
      <c r="AK71" s="468"/>
      <c r="AL71" s="468"/>
      <c r="AM71" s="468"/>
      <c r="AN71" s="468"/>
      <c r="AO71" s="468"/>
      <c r="AP71" s="468"/>
      <c r="AQ71" s="468"/>
      <c r="AR71" s="468"/>
      <c r="AS71" s="468"/>
      <c r="AT71" s="468"/>
      <c r="AU71" s="468"/>
      <c r="AV71" s="468"/>
      <c r="AW71" s="468"/>
      <c r="AX71" s="1763" t="s">
        <v>501</v>
      </c>
      <c r="AY71" s="1763" t="s">
        <v>526</v>
      </c>
      <c r="AZ71" s="1764"/>
    </row>
    <row r="72" spans="9:52" x14ac:dyDescent="0.2">
      <c r="AF72" s="635" t="s">
        <v>522</v>
      </c>
      <c r="AG72" s="468"/>
      <c r="AH72" s="468"/>
      <c r="AI72" s="468"/>
      <c r="AJ72" s="468"/>
      <c r="AK72" s="468"/>
      <c r="AL72" s="468"/>
      <c r="AM72" s="468"/>
      <c r="AN72" s="468"/>
      <c r="AO72" s="468"/>
      <c r="AP72" s="468"/>
      <c r="AQ72" s="468"/>
      <c r="AR72" s="468"/>
      <c r="AS72" s="468"/>
      <c r="AT72" s="468"/>
      <c r="AU72" s="468"/>
      <c r="AV72" s="468"/>
      <c r="AW72" s="468"/>
      <c r="AX72" s="1764" t="s">
        <v>507</v>
      </c>
      <c r="AY72" s="1764" t="s">
        <v>507</v>
      </c>
      <c r="AZ72" s="1764"/>
    </row>
    <row r="73" spans="9:52" x14ac:dyDescent="0.2">
      <c r="AF73" s="635" t="s">
        <v>525</v>
      </c>
      <c r="AW73" s="636"/>
      <c r="AX73" s="1846" t="s">
        <v>501</v>
      </c>
      <c r="AY73" s="1764" t="s">
        <v>527</v>
      </c>
      <c r="AZ73" s="1764"/>
    </row>
    <row r="74" spans="9:52" x14ac:dyDescent="0.2">
      <c r="AF74" s="635" t="s">
        <v>523</v>
      </c>
      <c r="AG74" s="468"/>
      <c r="AH74" s="468"/>
      <c r="AI74" s="468"/>
      <c r="AJ74" s="468"/>
      <c r="AK74" s="468"/>
      <c r="AL74" s="468"/>
      <c r="AM74" s="468"/>
      <c r="AN74" s="468"/>
      <c r="AO74" s="468"/>
      <c r="AP74" s="468"/>
      <c r="AQ74" s="468"/>
      <c r="AR74" s="468"/>
      <c r="AS74" s="468"/>
      <c r="AT74" s="468"/>
      <c r="AU74" s="468"/>
      <c r="AV74" s="468"/>
      <c r="AW74" s="468"/>
      <c r="AX74" s="1845">
        <v>26.36</v>
      </c>
      <c r="AY74" s="1764">
        <v>131</v>
      </c>
      <c r="AZ74" s="1764"/>
    </row>
    <row r="75" spans="9:52" x14ac:dyDescent="0.2">
      <c r="AF75" s="635" t="s">
        <v>524</v>
      </c>
      <c r="AG75" s="468"/>
      <c r="AH75" s="468"/>
      <c r="AI75" s="468"/>
      <c r="AJ75" s="468"/>
      <c r="AK75" s="468"/>
      <c r="AL75" s="468"/>
      <c r="AM75" s="468"/>
      <c r="AN75" s="468"/>
      <c r="AO75" s="468"/>
      <c r="AP75" s="468"/>
      <c r="AQ75" s="468"/>
      <c r="AR75" s="468"/>
      <c r="AS75" s="468"/>
      <c r="AT75" s="468"/>
      <c r="AU75" s="468"/>
      <c r="AV75" s="468"/>
      <c r="AW75" s="1761"/>
      <c r="AX75" s="1845" t="s">
        <v>184</v>
      </c>
      <c r="AY75" s="1764" t="s">
        <v>184</v>
      </c>
      <c r="AZ75" s="1764"/>
    </row>
    <row r="76" spans="9:52" x14ac:dyDescent="0.2">
      <c r="AF76" s="635" t="s">
        <v>292</v>
      </c>
      <c r="AG76" s="1758"/>
      <c r="AH76" s="1758"/>
      <c r="AI76" s="1758"/>
      <c r="AJ76" s="1758"/>
      <c r="AK76" s="1758"/>
      <c r="AL76" s="1814"/>
      <c r="AM76" s="1758"/>
      <c r="AN76" s="1863" t="s">
        <v>500</v>
      </c>
      <c r="AO76" s="1863" t="s">
        <v>500</v>
      </c>
      <c r="AP76" s="1863" t="s">
        <v>500</v>
      </c>
      <c r="AQ76" s="1863" t="s">
        <v>500</v>
      </c>
      <c r="AR76" s="1863" t="s">
        <v>500</v>
      </c>
      <c r="AS76" s="1863" t="s">
        <v>500</v>
      </c>
      <c r="AT76" s="1863" t="s">
        <v>500</v>
      </c>
      <c r="AU76" s="1863" t="s">
        <v>500</v>
      </c>
      <c r="AV76" s="1863" t="s">
        <v>500</v>
      </c>
      <c r="AW76" s="1863" t="s">
        <v>500</v>
      </c>
      <c r="AX76" s="1845">
        <v>26.36</v>
      </c>
      <c r="AY76" s="1764">
        <v>131</v>
      </c>
      <c r="AZ76" s="1764"/>
    </row>
    <row r="77" spans="9:52" x14ac:dyDescent="0.2">
      <c r="AF77" s="635" t="s">
        <v>336</v>
      </c>
      <c r="AG77" s="1758"/>
      <c r="AH77" s="1758"/>
      <c r="AI77" s="1758"/>
      <c r="AJ77" s="1758"/>
      <c r="AK77" s="1758"/>
      <c r="AL77" s="1814"/>
      <c r="AM77" s="1758"/>
      <c r="AN77" s="1863"/>
      <c r="AO77" s="1863"/>
      <c r="AP77" s="1863"/>
      <c r="AQ77" s="1863"/>
      <c r="AR77" s="1863"/>
      <c r="AS77" s="1863"/>
      <c r="AT77" s="1863"/>
      <c r="AU77" s="1863"/>
      <c r="AV77" s="1863"/>
      <c r="AW77" s="1863"/>
      <c r="AX77" s="1845">
        <v>0</v>
      </c>
      <c r="AY77" s="1764">
        <v>0</v>
      </c>
      <c r="AZ77" s="1764"/>
    </row>
    <row r="78" spans="9:52" x14ac:dyDescent="0.2">
      <c r="AF78" s="635" t="s">
        <v>337</v>
      </c>
      <c r="AG78" s="1758"/>
      <c r="AH78" s="1758"/>
      <c r="AI78" s="1758"/>
      <c r="AJ78" s="1758"/>
      <c r="AK78" s="1758"/>
      <c r="AL78" s="1814"/>
      <c r="AM78" s="1758"/>
      <c r="AN78" s="1863"/>
      <c r="AO78" s="1863"/>
      <c r="AP78" s="1863"/>
      <c r="AQ78" s="1863"/>
      <c r="AR78" s="1863"/>
      <c r="AS78" s="1863"/>
      <c r="AT78" s="1863"/>
      <c r="AU78" s="1863"/>
      <c r="AV78" s="1863"/>
      <c r="AW78" s="1863"/>
      <c r="AX78" s="1845">
        <f t="shared" ref="AX78:AY78" si="50">AX76*0.1+AX77</f>
        <v>2.6360000000000001</v>
      </c>
      <c r="AY78" s="1845">
        <f t="shared" si="50"/>
        <v>13.100000000000001</v>
      </c>
      <c r="AZ78" s="1764"/>
    </row>
    <row r="79" spans="9:52" x14ac:dyDescent="0.2">
      <c r="AF79" s="635" t="s">
        <v>340</v>
      </c>
      <c r="AG79" s="1758"/>
      <c r="AH79" s="1758"/>
      <c r="AI79" s="1758"/>
      <c r="AJ79" s="1758"/>
      <c r="AK79" s="1758"/>
      <c r="AL79" s="1814"/>
      <c r="AM79" s="1758"/>
      <c r="AN79" s="1863"/>
      <c r="AO79" s="1863"/>
      <c r="AP79" s="1863"/>
      <c r="AQ79" s="1863"/>
      <c r="AR79" s="1863"/>
      <c r="AS79" s="1863"/>
      <c r="AT79" s="1863"/>
      <c r="AU79" s="1863"/>
      <c r="AV79" s="1863"/>
      <c r="AW79" s="1863"/>
      <c r="AX79" s="1847">
        <f>I61</f>
        <v>5772.8367550000003</v>
      </c>
      <c r="AY79" s="1769">
        <f>AY31</f>
        <v>4606.0452470534801</v>
      </c>
      <c r="AZ79" s="1769"/>
    </row>
    <row r="80" spans="9:52" x14ac:dyDescent="0.2">
      <c r="AF80" s="635" t="s">
        <v>498</v>
      </c>
      <c r="AG80" s="1758"/>
      <c r="AH80" s="1758"/>
      <c r="AI80" s="1758"/>
      <c r="AJ80" s="1758"/>
      <c r="AK80" s="1758"/>
      <c r="AL80" s="1814"/>
      <c r="AM80" s="1758"/>
      <c r="AN80" s="1863"/>
      <c r="AO80" s="1863"/>
      <c r="AP80" s="1863"/>
      <c r="AQ80" s="1863"/>
      <c r="AR80" s="1863"/>
      <c r="AS80" s="1863"/>
      <c r="AT80" s="1863"/>
      <c r="AU80" s="1863"/>
      <c r="AV80" s="1863"/>
      <c r="AW80" s="1863"/>
      <c r="AX80" s="1845">
        <v>0</v>
      </c>
      <c r="AY80" s="1845">
        <v>0</v>
      </c>
      <c r="AZ80" s="1764"/>
    </row>
    <row r="81" spans="32:52" x14ac:dyDescent="0.2">
      <c r="AF81" s="635" t="s">
        <v>338</v>
      </c>
      <c r="AG81" s="1758"/>
      <c r="AH81" s="1758"/>
      <c r="AI81" s="1758"/>
      <c r="AJ81" s="1758"/>
      <c r="AK81" s="1758"/>
      <c r="AL81" s="1814"/>
      <c r="AM81" s="1758"/>
      <c r="AN81" s="1863"/>
      <c r="AO81" s="1863"/>
      <c r="AP81" s="1863"/>
      <c r="AQ81" s="1863"/>
      <c r="AR81" s="1863"/>
      <c r="AS81" s="1863"/>
      <c r="AT81" s="1863"/>
      <c r="AU81" s="1863"/>
      <c r="AV81" s="1863"/>
      <c r="AW81" s="1863"/>
      <c r="AX81" s="1848">
        <f>AX78*0.9</f>
        <v>2.3724000000000003</v>
      </c>
      <c r="AY81" s="1848">
        <f>AY78</f>
        <v>13.100000000000001</v>
      </c>
      <c r="AZ81" s="1766"/>
    </row>
    <row r="82" spans="32:52" x14ac:dyDescent="0.2">
      <c r="AF82" s="950" t="s">
        <v>304</v>
      </c>
      <c r="AG82" s="1758"/>
      <c r="AH82" s="1758"/>
      <c r="AI82" s="1758"/>
      <c r="AJ82" s="1758"/>
      <c r="AK82" s="1758"/>
      <c r="AL82" s="1814"/>
      <c r="AM82" s="1758"/>
      <c r="AN82" s="1863"/>
      <c r="AO82" s="1863"/>
      <c r="AP82" s="1863"/>
      <c r="AQ82" s="1863"/>
      <c r="AR82" s="1863"/>
      <c r="AS82" s="1863"/>
      <c r="AT82" s="1863"/>
      <c r="AU82" s="1863"/>
      <c r="AV82" s="1863"/>
      <c r="AW82" s="1863"/>
      <c r="AX82" s="1848">
        <f>AX80*TreatyCatch!DQ303</f>
        <v>0</v>
      </c>
      <c r="AY82" s="1766">
        <v>0</v>
      </c>
      <c r="AZ82" s="1766"/>
    </row>
    <row r="83" spans="32:52" x14ac:dyDescent="0.2">
      <c r="AF83" s="635" t="s">
        <v>339</v>
      </c>
      <c r="AG83" s="1758"/>
      <c r="AH83" s="1758"/>
      <c r="AI83" s="1758"/>
      <c r="AJ83" s="1758"/>
      <c r="AK83" s="1758"/>
      <c r="AL83" s="1814"/>
      <c r="AM83" s="1758"/>
      <c r="AN83" s="1863"/>
      <c r="AO83" s="1863"/>
      <c r="AP83" s="1863"/>
      <c r="AQ83" s="1863"/>
      <c r="AR83" s="1863"/>
      <c r="AS83" s="1863"/>
      <c r="AT83" s="1863"/>
      <c r="AU83" s="1863"/>
      <c r="AV83" s="1863"/>
      <c r="AW83" s="1863"/>
      <c r="AX83" s="1849">
        <f t="shared" ref="AX83:AY83" si="51">AX82+AX81</f>
        <v>2.3724000000000003</v>
      </c>
      <c r="AY83" s="1849">
        <f t="shared" si="51"/>
        <v>13.100000000000001</v>
      </c>
      <c r="AZ83" s="1766"/>
    </row>
    <row r="84" spans="32:52" x14ac:dyDescent="0.2">
      <c r="AF84" s="637" t="s">
        <v>311</v>
      </c>
      <c r="AG84" s="1759"/>
      <c r="AH84" s="1759"/>
      <c r="AI84" s="1759"/>
      <c r="AJ84" s="1759"/>
      <c r="AK84" s="1759"/>
      <c r="AL84" s="1815"/>
      <c r="AM84" s="1759"/>
      <c r="AN84" s="1864"/>
      <c r="AO84" s="1864"/>
      <c r="AP84" s="1864"/>
      <c r="AQ84" s="1864"/>
      <c r="AR84" s="1864"/>
      <c r="AS84" s="1864"/>
      <c r="AT84" s="1864"/>
      <c r="AU84" s="1864"/>
      <c r="AV84" s="1864"/>
      <c r="AW84" s="1864"/>
      <c r="AX84" s="1850">
        <f t="shared" ref="AX84:AY84" si="52">AX83/AX79</f>
        <v>4.1095913511588638E-4</v>
      </c>
      <c r="AY84" s="1850">
        <f t="shared" si="52"/>
        <v>2.8440884310418279E-3</v>
      </c>
      <c r="AZ84" s="1765"/>
    </row>
    <row r="89" spans="32:52" x14ac:dyDescent="0.2">
      <c r="AF89" s="439" t="s">
        <v>551</v>
      </c>
    </row>
    <row r="90" spans="32:52" ht="12.6" customHeight="1" x14ac:dyDescent="0.2">
      <c r="AF90" s="441" t="s">
        <v>453</v>
      </c>
    </row>
    <row r="91" spans="32:52" x14ac:dyDescent="0.2">
      <c r="AF91" s="632" t="s">
        <v>179</v>
      </c>
      <c r="AG91" s="463"/>
      <c r="AH91" s="463"/>
      <c r="AI91" s="463"/>
      <c r="AJ91" s="463"/>
      <c r="AK91" s="463"/>
      <c r="AL91" s="463"/>
      <c r="AM91" s="463"/>
      <c r="AN91" s="463"/>
      <c r="AO91" s="463"/>
      <c r="AP91" s="463"/>
      <c r="AQ91" s="463"/>
      <c r="AR91" s="463"/>
      <c r="AS91" s="463"/>
      <c r="AT91" s="463"/>
      <c r="AU91" s="463"/>
      <c r="AV91" s="463"/>
      <c r="AW91" s="463"/>
      <c r="AX91" s="463"/>
      <c r="AY91" s="1730" t="s">
        <v>529</v>
      </c>
    </row>
    <row r="92" spans="32:52" x14ac:dyDescent="0.2">
      <c r="AF92" s="1602" t="s">
        <v>454</v>
      </c>
      <c r="AG92" s="640"/>
      <c r="AH92" s="640"/>
      <c r="AI92" s="640"/>
      <c r="AJ92" s="640"/>
      <c r="AK92" s="640"/>
      <c r="AL92" s="640"/>
      <c r="AM92" s="640"/>
      <c r="AN92" s="640"/>
      <c r="AO92" s="640"/>
      <c r="AP92" s="640"/>
      <c r="AQ92" s="640"/>
      <c r="AR92" s="640"/>
      <c r="AS92" s="640"/>
      <c r="AT92" s="640"/>
      <c r="AU92" s="640"/>
      <c r="AV92" s="640"/>
      <c r="AW92" s="640"/>
      <c r="AX92" s="640"/>
      <c r="AY92" s="1731">
        <v>2023</v>
      </c>
    </row>
    <row r="93" spans="32:52" x14ac:dyDescent="0.2">
      <c r="AF93" s="635" t="s">
        <v>292</v>
      </c>
      <c r="AG93" s="1851"/>
      <c r="AH93" s="1851"/>
      <c r="AI93" s="1851"/>
      <c r="AJ93" s="1851"/>
      <c r="AK93" s="1851"/>
      <c r="AL93" s="1851"/>
      <c r="AM93" s="1851"/>
      <c r="AN93" s="1851"/>
      <c r="AO93" s="1851"/>
      <c r="AP93" s="1851"/>
      <c r="AQ93" s="1851"/>
      <c r="AR93" s="1851"/>
      <c r="AS93" s="1851"/>
      <c r="AT93" s="1851"/>
      <c r="AU93" s="1851"/>
      <c r="AV93" s="1851"/>
      <c r="AW93" s="1851"/>
      <c r="AX93" s="1851"/>
      <c r="AY93" s="1732">
        <v>131</v>
      </c>
    </row>
    <row r="94" spans="32:52" x14ac:dyDescent="0.2">
      <c r="AF94" s="635" t="s">
        <v>336</v>
      </c>
      <c r="AG94" s="1851"/>
      <c r="AH94" s="1851"/>
      <c r="AI94" s="1851"/>
      <c r="AJ94" s="1851"/>
      <c r="AK94" s="1851"/>
      <c r="AL94" s="1851"/>
      <c r="AM94" s="1851"/>
      <c r="AN94" s="1851"/>
      <c r="AO94" s="1851"/>
      <c r="AP94" s="1851"/>
      <c r="AQ94" s="1851"/>
      <c r="AR94" s="1851"/>
      <c r="AS94" s="1851"/>
      <c r="AT94" s="1851"/>
      <c r="AU94" s="1851"/>
      <c r="AV94" s="1851"/>
      <c r="AW94" s="1851"/>
      <c r="AX94" s="1851"/>
      <c r="AY94" s="1732">
        <v>0</v>
      </c>
    </row>
    <row r="95" spans="32:52" x14ac:dyDescent="0.2">
      <c r="AF95" s="635" t="s">
        <v>455</v>
      </c>
      <c r="AG95" s="1851"/>
      <c r="AH95" s="1851"/>
      <c r="AI95" s="1851"/>
      <c r="AJ95" s="1851"/>
      <c r="AK95" s="1851"/>
      <c r="AL95" s="1851"/>
      <c r="AM95" s="1851"/>
      <c r="AN95" s="1851"/>
      <c r="AO95" s="1851"/>
      <c r="AP95" s="1851"/>
      <c r="AQ95" s="1851"/>
      <c r="AR95" s="1851"/>
      <c r="AS95" s="1851"/>
      <c r="AT95" s="1851"/>
      <c r="AU95" s="1851"/>
      <c r="AV95" s="1851"/>
      <c r="AW95" s="1851"/>
      <c r="AX95" s="1851"/>
      <c r="AY95" s="1732">
        <v>0</v>
      </c>
    </row>
    <row r="96" spans="32:52" x14ac:dyDescent="0.2">
      <c r="AF96" s="635" t="s">
        <v>456</v>
      </c>
      <c r="AG96" s="1851"/>
      <c r="AH96" s="1851"/>
      <c r="AI96" s="1851"/>
      <c r="AJ96" s="1851"/>
      <c r="AK96" s="1851"/>
      <c r="AL96" s="1851"/>
      <c r="AM96" s="1851"/>
      <c r="AN96" s="1851"/>
      <c r="AO96" s="1851"/>
      <c r="AP96" s="1851"/>
      <c r="AQ96" s="1851"/>
      <c r="AR96" s="1851"/>
      <c r="AS96" s="1851"/>
      <c r="AT96" s="1851"/>
      <c r="AU96" s="1851"/>
      <c r="AV96" s="1851"/>
      <c r="AW96" s="1851"/>
      <c r="AX96" s="1851"/>
      <c r="AY96" s="1732">
        <v>0</v>
      </c>
    </row>
    <row r="97" spans="32:51" x14ac:dyDescent="0.2">
      <c r="AF97" s="635" t="s">
        <v>457</v>
      </c>
      <c r="AG97" s="1854"/>
      <c r="AH97" s="1854"/>
      <c r="AI97" s="1854"/>
      <c r="AJ97" s="1854"/>
      <c r="AK97" s="1854"/>
      <c r="AL97" s="1854"/>
      <c r="AM97" s="1854"/>
      <c r="AN97" s="1854"/>
      <c r="AO97" s="1854"/>
      <c r="AP97" s="1854"/>
      <c r="AQ97" s="1854"/>
      <c r="AR97" s="1854"/>
      <c r="AS97" s="1854"/>
      <c r="AT97" s="1854"/>
      <c r="AU97" s="1854"/>
      <c r="AV97" s="1854"/>
      <c r="AW97" s="1854"/>
      <c r="AX97" s="1854"/>
      <c r="AY97" s="1793">
        <f>AY94+AY93*0.1</f>
        <v>13.100000000000001</v>
      </c>
    </row>
    <row r="98" spans="32:51" x14ac:dyDescent="0.2">
      <c r="AF98" s="637" t="s">
        <v>458</v>
      </c>
      <c r="AG98" s="1853"/>
      <c r="AH98" s="1853"/>
      <c r="AI98" s="1853"/>
      <c r="AJ98" s="1853"/>
      <c r="AK98" s="1853"/>
      <c r="AL98" s="1853"/>
      <c r="AM98" s="1853"/>
      <c r="AN98" s="1853"/>
      <c r="AO98" s="1853"/>
      <c r="AP98" s="1853"/>
      <c r="AQ98" s="1853"/>
      <c r="AR98" s="1853"/>
      <c r="AS98" s="1853"/>
      <c r="AT98" s="1853"/>
      <c r="AU98" s="1853"/>
      <c r="AV98" s="1853"/>
      <c r="AW98" s="1853"/>
      <c r="AX98" s="1853"/>
      <c r="AY98" s="1792">
        <f>AY95*0.1+AY96</f>
        <v>0</v>
      </c>
    </row>
    <row r="102" spans="32:51" x14ac:dyDescent="0.2">
      <c r="AF102" s="439" t="s">
        <v>550</v>
      </c>
    </row>
    <row r="103" spans="32:51" ht="15" x14ac:dyDescent="0.2">
      <c r="AF103" s="441" t="s">
        <v>453</v>
      </c>
    </row>
    <row r="104" spans="32:51" x14ac:dyDescent="0.2">
      <c r="AF104" s="632" t="s">
        <v>179</v>
      </c>
      <c r="AG104" s="463"/>
      <c r="AH104" s="463"/>
      <c r="AI104" s="463"/>
      <c r="AJ104" s="463"/>
      <c r="AK104" s="463"/>
      <c r="AL104" s="463"/>
      <c r="AM104" s="463"/>
      <c r="AN104" s="463" t="s">
        <v>120</v>
      </c>
      <c r="AO104" s="463" t="s">
        <v>121</v>
      </c>
      <c r="AP104" s="463" t="s">
        <v>122</v>
      </c>
      <c r="AQ104" s="463" t="s">
        <v>123</v>
      </c>
      <c r="AR104" s="463" t="s">
        <v>124</v>
      </c>
      <c r="AS104" s="463" t="s">
        <v>125</v>
      </c>
      <c r="AT104" s="1587" t="s">
        <v>126</v>
      </c>
      <c r="AU104" s="1587" t="s">
        <v>127</v>
      </c>
      <c r="AV104" s="1587" t="s">
        <v>467</v>
      </c>
      <c r="AW104" s="1587" t="s">
        <v>485</v>
      </c>
      <c r="AX104" s="1852" t="s">
        <v>487</v>
      </c>
      <c r="AY104" s="1730" t="s">
        <v>529</v>
      </c>
    </row>
    <row r="105" spans="32:51" x14ac:dyDescent="0.2">
      <c r="AF105" s="1602" t="s">
        <v>454</v>
      </c>
      <c r="AG105" s="640"/>
      <c r="AH105" s="640"/>
      <c r="AI105" s="640"/>
      <c r="AJ105" s="640"/>
      <c r="AK105" s="640"/>
      <c r="AL105" s="640"/>
      <c r="AM105" s="640"/>
      <c r="AN105" s="640">
        <v>2012</v>
      </c>
      <c r="AO105" s="640">
        <v>2013</v>
      </c>
      <c r="AP105" s="640">
        <v>2014</v>
      </c>
      <c r="AQ105" s="640">
        <v>2015</v>
      </c>
      <c r="AR105" s="640">
        <v>2016</v>
      </c>
      <c r="AS105" s="640">
        <v>2017</v>
      </c>
      <c r="AT105" s="1589">
        <v>2018</v>
      </c>
      <c r="AU105" s="1589">
        <v>2019</v>
      </c>
      <c r="AV105" s="1589">
        <v>2020</v>
      </c>
      <c r="AW105" s="1589">
        <v>2021</v>
      </c>
      <c r="AX105" s="1853">
        <v>2022</v>
      </c>
      <c r="AY105" s="1731">
        <v>2023</v>
      </c>
    </row>
    <row r="106" spans="32:51" x14ac:dyDescent="0.2">
      <c r="AF106" s="635" t="s">
        <v>292</v>
      </c>
      <c r="AG106" s="1865"/>
      <c r="AH106" s="1865"/>
      <c r="AI106" s="1865"/>
      <c r="AJ106" s="1865"/>
      <c r="AK106" s="1865"/>
      <c r="AL106" s="1865"/>
      <c r="AM106" s="1865"/>
      <c r="AN106" s="1865" t="s">
        <v>497</v>
      </c>
      <c r="AO106" s="1865" t="s">
        <v>497</v>
      </c>
      <c r="AP106" s="1865" t="s">
        <v>497</v>
      </c>
      <c r="AQ106" s="1865" t="s">
        <v>497</v>
      </c>
      <c r="AR106" s="1865" t="s">
        <v>497</v>
      </c>
      <c r="AS106" s="1865" t="s">
        <v>497</v>
      </c>
      <c r="AT106" s="1588">
        <v>568</v>
      </c>
      <c r="AU106" s="1588">
        <v>1127</v>
      </c>
      <c r="AV106" s="1588">
        <v>0</v>
      </c>
      <c r="AW106" s="1588">
        <v>762</v>
      </c>
      <c r="AX106" s="1820">
        <v>0</v>
      </c>
      <c r="AY106" s="1732">
        <v>1796</v>
      </c>
    </row>
    <row r="107" spans="32:51" x14ac:dyDescent="0.2">
      <c r="AF107" s="635" t="s">
        <v>336</v>
      </c>
      <c r="AG107" s="1866"/>
      <c r="AH107" s="1866"/>
      <c r="AI107" s="1866"/>
      <c r="AJ107" s="1866"/>
      <c r="AK107" s="1866"/>
      <c r="AL107" s="1866"/>
      <c r="AM107" s="1866"/>
      <c r="AN107" s="1866"/>
      <c r="AO107" s="1866"/>
      <c r="AP107" s="1866"/>
      <c r="AQ107" s="1866"/>
      <c r="AR107" s="1866"/>
      <c r="AS107" s="1866"/>
      <c r="AT107" s="1588">
        <v>0</v>
      </c>
      <c r="AU107" s="1588">
        <v>0</v>
      </c>
      <c r="AV107" s="1588">
        <v>0</v>
      </c>
      <c r="AW107" s="467">
        <v>0</v>
      </c>
      <c r="AX107" s="1854">
        <v>0</v>
      </c>
      <c r="AY107" s="1732">
        <v>0</v>
      </c>
    </row>
    <row r="108" spans="32:51" x14ac:dyDescent="0.2">
      <c r="AF108" s="635" t="s">
        <v>455</v>
      </c>
      <c r="AG108" s="1866"/>
      <c r="AH108" s="1866"/>
      <c r="AI108" s="1866"/>
      <c r="AJ108" s="1866"/>
      <c r="AK108" s="1866"/>
      <c r="AL108" s="1866"/>
      <c r="AM108" s="1866"/>
      <c r="AN108" s="1866"/>
      <c r="AO108" s="1866"/>
      <c r="AP108" s="1866"/>
      <c r="AQ108" s="1866"/>
      <c r="AR108" s="1866"/>
      <c r="AS108" s="1866"/>
      <c r="AT108" s="1588">
        <v>0</v>
      </c>
      <c r="AU108" s="1588">
        <v>3.1</v>
      </c>
      <c r="AV108" s="1588">
        <v>0</v>
      </c>
      <c r="AW108" s="1588">
        <v>0</v>
      </c>
      <c r="AX108" s="1820">
        <v>0</v>
      </c>
      <c r="AY108" s="1732">
        <v>4</v>
      </c>
    </row>
    <row r="109" spans="32:51" x14ac:dyDescent="0.2">
      <c r="AF109" s="635" t="s">
        <v>456</v>
      </c>
      <c r="AG109" s="1866"/>
      <c r="AH109" s="1866"/>
      <c r="AI109" s="1866"/>
      <c r="AJ109" s="1866"/>
      <c r="AK109" s="1866"/>
      <c r="AL109" s="1866"/>
      <c r="AM109" s="1866"/>
      <c r="AN109" s="1866"/>
      <c r="AO109" s="1866"/>
      <c r="AP109" s="1866"/>
      <c r="AQ109" s="1866"/>
      <c r="AR109" s="1866"/>
      <c r="AS109" s="1866"/>
      <c r="AT109" s="1588">
        <v>3</v>
      </c>
      <c r="AU109" s="1588">
        <v>2.2000000000000002</v>
      </c>
      <c r="AV109" s="1588">
        <v>0</v>
      </c>
      <c r="AW109" s="1588">
        <v>0</v>
      </c>
      <c r="AX109" s="1820">
        <v>0</v>
      </c>
      <c r="AY109" s="1732">
        <v>3</v>
      </c>
    </row>
    <row r="110" spans="32:51" x14ac:dyDescent="0.2">
      <c r="AF110" s="635" t="s">
        <v>457</v>
      </c>
      <c r="AG110" s="1866"/>
      <c r="AH110" s="1866"/>
      <c r="AI110" s="1866"/>
      <c r="AJ110" s="1866"/>
      <c r="AK110" s="1866"/>
      <c r="AL110" s="1866"/>
      <c r="AM110" s="1866"/>
      <c r="AN110" s="1866"/>
      <c r="AO110" s="1866"/>
      <c r="AP110" s="1866"/>
      <c r="AQ110" s="1866"/>
      <c r="AR110" s="1866"/>
      <c r="AS110" s="1866"/>
      <c r="AT110" s="1588">
        <f t="shared" ref="AT110:AY110" si="53">AT107+AT106*0.1</f>
        <v>56.800000000000004</v>
      </c>
      <c r="AU110" s="1588">
        <f t="shared" si="53"/>
        <v>112.7</v>
      </c>
      <c r="AV110" s="1588">
        <f t="shared" si="53"/>
        <v>0</v>
      </c>
      <c r="AW110" s="467">
        <f t="shared" si="53"/>
        <v>76.2</v>
      </c>
      <c r="AX110" s="1854">
        <f t="shared" si="53"/>
        <v>0</v>
      </c>
      <c r="AY110" s="1793">
        <f t="shared" si="53"/>
        <v>179.60000000000002</v>
      </c>
    </row>
    <row r="111" spans="32:51" x14ac:dyDescent="0.2">
      <c r="AF111" s="637" t="s">
        <v>458</v>
      </c>
      <c r="AG111" s="1867"/>
      <c r="AH111" s="1867"/>
      <c r="AI111" s="1867"/>
      <c r="AJ111" s="1867"/>
      <c r="AK111" s="1867"/>
      <c r="AL111" s="1867"/>
      <c r="AM111" s="1867"/>
      <c r="AN111" s="1867"/>
      <c r="AO111" s="1867"/>
      <c r="AP111" s="1867"/>
      <c r="AQ111" s="1867"/>
      <c r="AR111" s="1867"/>
      <c r="AS111" s="1867"/>
      <c r="AT111" s="1589">
        <f t="shared" ref="AT111:AY111" si="54">AT108*0.1+AT109</f>
        <v>3</v>
      </c>
      <c r="AU111" s="1589">
        <f t="shared" si="54"/>
        <v>2.5100000000000002</v>
      </c>
      <c r="AV111" s="1589">
        <f t="shared" si="54"/>
        <v>0</v>
      </c>
      <c r="AW111" s="1589">
        <f t="shared" si="54"/>
        <v>0</v>
      </c>
      <c r="AX111" s="1853">
        <f t="shared" si="54"/>
        <v>0</v>
      </c>
      <c r="AY111" s="1792">
        <f t="shared" si="54"/>
        <v>3.4</v>
      </c>
    </row>
  </sheetData>
  <mergeCells count="23">
    <mergeCell ref="AS76:AS84"/>
    <mergeCell ref="AT76:AT84"/>
    <mergeCell ref="AN106:AN111"/>
    <mergeCell ref="AO106:AO111"/>
    <mergeCell ref="AP106:AP111"/>
    <mergeCell ref="AQ106:AQ111"/>
    <mergeCell ref="AR106:AR111"/>
    <mergeCell ref="AU76:AU84"/>
    <mergeCell ref="AV76:AV84"/>
    <mergeCell ref="AW76:AW84"/>
    <mergeCell ref="AG106:AG111"/>
    <mergeCell ref="AH106:AH111"/>
    <mergeCell ref="AI106:AI111"/>
    <mergeCell ref="AJ106:AJ111"/>
    <mergeCell ref="AK106:AK111"/>
    <mergeCell ref="AL106:AL111"/>
    <mergeCell ref="AM106:AM111"/>
    <mergeCell ref="AN76:AN84"/>
    <mergeCell ref="AS106:AS111"/>
    <mergeCell ref="AO76:AO84"/>
    <mergeCell ref="AP76:AP84"/>
    <mergeCell ref="AQ76:AQ84"/>
    <mergeCell ref="AR76:AR84"/>
  </mergeCells>
  <phoneticPr fontId="34"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I308"/>
  <sheetViews>
    <sheetView topLeftCell="DI249" zoomScale="80" zoomScaleNormal="80" workbookViewId="0">
      <selection activeCell="EC304" sqref="EC304"/>
    </sheetView>
  </sheetViews>
  <sheetFormatPr defaultColWidth="9.140625" defaultRowHeight="11.25" x14ac:dyDescent="0.2"/>
  <cols>
    <col min="1" max="1" width="43.42578125" style="127" customWidth="1"/>
    <col min="2" max="2" width="4.85546875" style="37" customWidth="1"/>
    <col min="3" max="3" width="4.5703125" style="37" customWidth="1"/>
    <col min="4" max="4" width="6" style="37" customWidth="1"/>
    <col min="5" max="5" width="5.5703125" style="37" bestFit="1" customWidth="1"/>
    <col min="6" max="6" width="6.42578125" style="37" customWidth="1"/>
    <col min="7" max="7" width="5.5703125" style="37" bestFit="1" customWidth="1"/>
    <col min="8" max="8" width="6" style="37" customWidth="1"/>
    <col min="9" max="9" width="5.5703125" style="37" bestFit="1" customWidth="1"/>
    <col min="10" max="10" width="6" style="37" customWidth="1"/>
    <col min="11" max="11" width="5.5703125" style="37" bestFit="1" customWidth="1"/>
    <col min="12" max="12" width="6" style="37" customWidth="1"/>
    <col min="13" max="13" width="5.5703125" style="37" bestFit="1" customWidth="1"/>
    <col min="14" max="14" width="6" style="37" customWidth="1"/>
    <col min="15" max="15" width="5.5703125" style="37" bestFit="1" customWidth="1"/>
    <col min="16" max="16" width="5.5703125" style="37" customWidth="1"/>
    <col min="17" max="17" width="5.5703125" style="37" bestFit="1" customWidth="1"/>
    <col min="18" max="18" width="6.42578125" style="37" customWidth="1"/>
    <col min="19" max="19" width="5.5703125" style="37" customWidth="1"/>
    <col min="20" max="20" width="6" style="37" customWidth="1"/>
    <col min="21" max="21" width="6.140625" style="37" customWidth="1"/>
    <col min="22" max="22" width="6" style="37" customWidth="1"/>
    <col min="23" max="23" width="5.85546875" style="37" customWidth="1"/>
    <col min="24" max="24" width="5.5703125" style="37" customWidth="1"/>
    <col min="25" max="25" width="5.5703125" style="37" bestFit="1" customWidth="1"/>
    <col min="26" max="26" width="5.85546875" style="37" customWidth="1"/>
    <col min="27" max="27" width="6" style="37" customWidth="1"/>
    <col min="28" max="28" width="5.85546875" style="37" customWidth="1"/>
    <col min="29" max="29" width="5.5703125" style="37" customWidth="1"/>
    <col min="30" max="30" width="6.42578125" style="37" customWidth="1"/>
    <col min="31" max="31" width="5.5703125" style="37" customWidth="1"/>
    <col min="32" max="32" width="4.85546875" style="37" customWidth="1"/>
    <col min="33" max="33" width="5.140625" style="37" customWidth="1"/>
    <col min="34" max="34" width="6" style="37" customWidth="1"/>
    <col min="35" max="36" width="5.85546875" style="124" customWidth="1"/>
    <col min="37" max="37" width="5.5703125" style="124" customWidth="1"/>
    <col min="38" max="38" width="6" style="124" customWidth="1"/>
    <col min="39" max="39" width="5.5703125" style="124" bestFit="1" customWidth="1"/>
    <col min="40" max="41" width="6.140625" style="124" customWidth="1"/>
    <col min="42" max="42" width="5.85546875" style="124" customWidth="1"/>
    <col min="43" max="43" width="5.5703125" style="124" bestFit="1" customWidth="1"/>
    <col min="44" max="44" width="6.42578125" style="124" customWidth="1"/>
    <col min="45" max="45" width="5.5703125" style="124" bestFit="1" customWidth="1"/>
    <col min="46" max="46" width="6" style="124" customWidth="1"/>
    <col min="47" max="47" width="5.5703125" style="124" bestFit="1" customWidth="1"/>
    <col min="48" max="48" width="6" style="124" customWidth="1"/>
    <col min="49" max="49" width="5.5703125" style="124" customWidth="1"/>
    <col min="50" max="50" width="6.140625" style="124" customWidth="1"/>
    <col min="51" max="51" width="5.5703125" style="124" bestFit="1" customWidth="1"/>
    <col min="52" max="52" width="6.140625" style="124" customWidth="1"/>
    <col min="53" max="53" width="5.5703125" style="124" bestFit="1" customWidth="1"/>
    <col min="54" max="55" width="6.140625" style="124" customWidth="1"/>
    <col min="56" max="56" width="7.42578125" style="124" customWidth="1"/>
    <col min="57" max="59" width="7.140625" style="124" customWidth="1"/>
    <col min="60" max="60" width="8.42578125" style="124" customWidth="1"/>
    <col min="61" max="62" width="7.140625" style="124" customWidth="1"/>
    <col min="63" max="63" width="8.5703125" style="124" customWidth="1"/>
    <col min="64" max="65" width="7.140625" style="124" customWidth="1"/>
    <col min="66" max="66" width="8.5703125" style="124" customWidth="1"/>
    <col min="67" max="68" width="7.140625" style="124" customWidth="1"/>
    <col min="69" max="135" width="8.42578125" style="124" customWidth="1"/>
    <col min="136" max="136" width="4.42578125" style="124" customWidth="1"/>
    <col min="137" max="137" width="9.85546875" style="124" customWidth="1"/>
    <col min="138" max="138" width="9.42578125" style="127" customWidth="1"/>
    <col min="139" max="139" width="10.42578125" style="37" customWidth="1"/>
    <col min="140" max="140" width="6.42578125" style="37" customWidth="1"/>
    <col min="141" max="141" width="9.5703125" style="127" customWidth="1"/>
    <col min="142" max="142" width="9.5703125" style="37" customWidth="1"/>
    <col min="143" max="143" width="9.85546875" style="37" customWidth="1"/>
    <col min="144" max="144" width="3.5703125" style="127" customWidth="1"/>
    <col min="145" max="145" width="10.140625" style="37" customWidth="1"/>
    <col min="146" max="146" width="7.42578125" style="37" customWidth="1"/>
    <col min="147" max="147" width="9.85546875" style="27" customWidth="1"/>
    <col min="148" max="148" width="8.42578125" style="27" customWidth="1"/>
    <col min="149" max="149" width="9.42578125" style="128" customWidth="1"/>
    <col min="150" max="150" width="7.5703125" style="128" customWidth="1"/>
    <col min="151" max="151" width="9" style="27" customWidth="1"/>
    <col min="152" max="152" width="7.42578125" style="27" customWidth="1"/>
    <col min="153" max="153" width="9" style="27" customWidth="1"/>
    <col min="154" max="154" width="9.42578125" style="27" customWidth="1"/>
    <col min="155" max="155" width="11" style="27" customWidth="1"/>
    <col min="156" max="199" width="5.5703125" style="27" customWidth="1"/>
    <col min="200" max="16384" width="9.140625" style="27"/>
  </cols>
  <sheetData>
    <row r="1" spans="1:136" x14ac:dyDescent="0.2">
      <c r="A1" s="126" t="s">
        <v>84</v>
      </c>
    </row>
    <row r="2" spans="1:136" x14ac:dyDescent="0.2">
      <c r="A2" s="27"/>
      <c r="B2" s="43"/>
      <c r="C2" s="43"/>
      <c r="D2" s="129"/>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130" t="s">
        <v>85</v>
      </c>
      <c r="AJ2" s="27" t="s">
        <v>86</v>
      </c>
    </row>
    <row r="3" spans="1:136" x14ac:dyDescent="0.2">
      <c r="A3" s="131" t="s">
        <v>87</v>
      </c>
      <c r="B3" s="132">
        <v>1984</v>
      </c>
      <c r="C3" s="133"/>
      <c r="D3" s="496">
        <v>1985</v>
      </c>
      <c r="E3" s="498"/>
      <c r="F3" s="497">
        <v>1986</v>
      </c>
      <c r="G3" s="497"/>
      <c r="H3" s="496">
        <v>1987</v>
      </c>
      <c r="I3" s="498"/>
      <c r="J3" s="497">
        <v>1988</v>
      </c>
      <c r="K3" s="497"/>
      <c r="L3" s="496">
        <v>1989</v>
      </c>
      <c r="M3" s="498"/>
      <c r="N3" s="497">
        <v>1990</v>
      </c>
      <c r="O3" s="497"/>
      <c r="P3" s="496">
        <v>1991</v>
      </c>
      <c r="Q3" s="498"/>
      <c r="R3" s="497">
        <v>1992</v>
      </c>
      <c r="S3" s="132"/>
      <c r="T3" s="134">
        <v>1993</v>
      </c>
      <c r="U3" s="133"/>
      <c r="V3" s="132">
        <v>1994</v>
      </c>
      <c r="W3" s="135"/>
      <c r="X3" s="496">
        <v>1995</v>
      </c>
      <c r="Y3" s="498"/>
      <c r="Z3" s="497">
        <v>1996</v>
      </c>
      <c r="AA3" s="497"/>
      <c r="AB3" s="496">
        <v>1997</v>
      </c>
      <c r="AC3" s="498"/>
      <c r="AD3" s="497">
        <v>1998</v>
      </c>
      <c r="AE3" s="497"/>
      <c r="AF3" s="496">
        <v>1999</v>
      </c>
      <c r="AG3" s="498"/>
      <c r="AH3" s="497">
        <v>2000</v>
      </c>
      <c r="AI3" s="136"/>
      <c r="AJ3" s="497">
        <v>2001</v>
      </c>
      <c r="AK3" s="498"/>
      <c r="AL3" s="497">
        <v>2002</v>
      </c>
      <c r="AM3" s="497"/>
      <c r="AN3" s="496">
        <v>2003</v>
      </c>
      <c r="AO3" s="498"/>
      <c r="AP3" s="497">
        <v>2004</v>
      </c>
      <c r="AQ3" s="497"/>
      <c r="AR3" s="496">
        <v>2005</v>
      </c>
      <c r="AS3" s="498"/>
      <c r="AT3" s="497">
        <v>2006</v>
      </c>
      <c r="AU3" s="497"/>
      <c r="AV3" s="496">
        <v>2007</v>
      </c>
      <c r="AW3" s="498"/>
      <c r="AX3" s="497">
        <v>2008</v>
      </c>
      <c r="AY3" s="497"/>
      <c r="AZ3" s="496">
        <v>2009</v>
      </c>
      <c r="BA3" s="498"/>
      <c r="BB3" s="496">
        <v>2010</v>
      </c>
      <c r="BC3" s="498"/>
      <c r="BD3" s="496">
        <v>2011</v>
      </c>
      <c r="BE3" s="498"/>
      <c r="BF3" s="503">
        <v>2012</v>
      </c>
      <c r="BG3" s="662"/>
      <c r="BH3" s="662"/>
      <c r="BI3" s="662"/>
      <c r="BJ3" s="662"/>
      <c r="BK3" s="662"/>
      <c r="BL3" s="143">
        <v>2013</v>
      </c>
      <c r="BM3" s="662"/>
      <c r="BN3" s="253"/>
      <c r="BO3" s="253"/>
      <c r="BP3" s="253"/>
      <c r="BQ3" s="139"/>
      <c r="BR3" s="143">
        <v>2014</v>
      </c>
      <c r="BS3" s="813"/>
      <c r="BT3" s="253"/>
      <c r="BU3" s="253"/>
      <c r="BV3" s="253"/>
      <c r="BW3" s="139"/>
      <c r="BX3" s="143">
        <v>2015</v>
      </c>
      <c r="BY3" s="920"/>
      <c r="BZ3" s="253"/>
      <c r="CA3" s="253"/>
      <c r="CB3" s="253"/>
      <c r="CC3" s="139"/>
      <c r="CD3" s="143">
        <v>2016</v>
      </c>
      <c r="CE3" s="993"/>
      <c r="CF3" s="253"/>
      <c r="CG3" s="253"/>
      <c r="CH3" s="253"/>
      <c r="CI3" s="139"/>
      <c r="CJ3" s="143">
        <v>2017</v>
      </c>
      <c r="CK3" s="1096"/>
      <c r="CL3" s="253"/>
      <c r="CM3" s="253"/>
      <c r="CN3" s="253"/>
      <c r="CO3" s="139"/>
      <c r="CP3" s="143">
        <v>2018</v>
      </c>
      <c r="CQ3" s="1154"/>
      <c r="CR3" s="253"/>
      <c r="CS3" s="253"/>
      <c r="CT3" s="253"/>
      <c r="CU3" s="139"/>
      <c r="CV3" s="143">
        <v>2019</v>
      </c>
      <c r="CW3" s="1154"/>
      <c r="CX3" s="253"/>
      <c r="CY3" s="253"/>
      <c r="CZ3" s="253"/>
      <c r="DA3" s="139"/>
      <c r="DB3" s="143">
        <v>2020</v>
      </c>
      <c r="DC3" s="1154"/>
      <c r="DD3" s="253"/>
      <c r="DE3" s="253"/>
      <c r="DF3" s="253"/>
      <c r="DG3" s="139"/>
      <c r="DH3" s="143">
        <v>2021</v>
      </c>
      <c r="DI3" s="1154"/>
      <c r="DJ3" s="253"/>
      <c r="DK3" s="253"/>
      <c r="DL3" s="253"/>
      <c r="DM3" s="139"/>
      <c r="DN3" s="143">
        <v>2022</v>
      </c>
      <c r="DO3" s="1154"/>
      <c r="DP3" s="253"/>
      <c r="DQ3" s="253"/>
      <c r="DR3" s="253"/>
      <c r="DS3" s="139"/>
      <c r="DT3" s="143">
        <v>2023</v>
      </c>
      <c r="DU3" s="1154"/>
      <c r="DV3" s="253"/>
      <c r="DW3" s="253"/>
      <c r="DX3" s="253"/>
      <c r="DY3" s="139"/>
      <c r="DZ3" s="143">
        <v>2024</v>
      </c>
      <c r="EA3" s="1154"/>
      <c r="EB3" s="253"/>
      <c r="EC3" s="253"/>
      <c r="ED3" s="253"/>
      <c r="EE3" s="139"/>
      <c r="EF3" s="135"/>
    </row>
    <row r="4" spans="1:136" x14ac:dyDescent="0.2">
      <c r="A4" s="137">
        <v>1</v>
      </c>
      <c r="B4" s="138"/>
      <c r="C4" s="139"/>
      <c r="D4" s="140"/>
      <c r="E4" s="490"/>
      <c r="F4" s="140"/>
      <c r="G4" s="490"/>
      <c r="H4" s="140"/>
      <c r="I4" s="490"/>
      <c r="J4" s="140"/>
      <c r="K4" s="490"/>
      <c r="L4" s="140"/>
      <c r="M4" s="490"/>
      <c r="N4" s="140"/>
      <c r="O4" s="490"/>
      <c r="P4" s="140"/>
      <c r="Q4" s="490"/>
      <c r="R4" s="140"/>
      <c r="S4" s="490"/>
      <c r="T4" s="140"/>
      <c r="U4" s="490"/>
      <c r="V4" s="140"/>
      <c r="W4" s="490"/>
      <c r="X4" s="140"/>
      <c r="Y4" s="491"/>
      <c r="Z4" s="140"/>
      <c r="AA4" s="491"/>
      <c r="AB4" s="140"/>
      <c r="AC4" s="491"/>
      <c r="AD4" s="140"/>
      <c r="AE4" s="491"/>
      <c r="AF4" s="140"/>
      <c r="AG4" s="491"/>
      <c r="AH4" s="140"/>
      <c r="AI4" s="141"/>
      <c r="AJ4" s="142"/>
      <c r="AK4" s="131"/>
      <c r="AL4" s="140"/>
      <c r="AM4" s="131"/>
      <c r="AN4" s="140"/>
      <c r="AO4" s="131"/>
      <c r="AP4" s="140"/>
      <c r="AQ4" s="131"/>
      <c r="AR4" s="140"/>
      <c r="AS4" s="131"/>
      <c r="AT4" s="140"/>
      <c r="AU4" s="131"/>
      <c r="AV4" s="140"/>
      <c r="AW4" s="131"/>
      <c r="AX4" s="140"/>
      <c r="AY4" s="131"/>
      <c r="AZ4" s="140"/>
      <c r="BA4" s="131"/>
      <c r="BB4" s="140"/>
      <c r="BC4" s="139"/>
      <c r="BD4" s="140"/>
      <c r="BE4" s="139"/>
      <c r="BF4" s="140"/>
      <c r="BG4" s="253"/>
      <c r="BH4" s="253"/>
      <c r="BI4" s="253"/>
      <c r="BJ4" s="253"/>
      <c r="BK4" s="253"/>
      <c r="BL4" s="499"/>
      <c r="BM4" s="253"/>
      <c r="BN4" s="253"/>
      <c r="BO4" s="253"/>
      <c r="BP4" s="253"/>
      <c r="BQ4" s="139"/>
      <c r="BR4" s="143"/>
      <c r="BS4" s="253"/>
      <c r="BT4" s="253"/>
      <c r="BU4" s="253"/>
      <c r="BV4" s="253"/>
      <c r="BW4" s="139"/>
      <c r="BX4" s="143"/>
      <c r="BY4" s="253"/>
      <c r="BZ4" s="253"/>
      <c r="CA4" s="253"/>
      <c r="CB4" s="253"/>
      <c r="CC4" s="139"/>
      <c r="CD4" s="143"/>
      <c r="CE4" s="253"/>
      <c r="CF4" s="253"/>
      <c r="CG4" s="253"/>
      <c r="CH4" s="253"/>
      <c r="CI4" s="139"/>
      <c r="CJ4" s="143"/>
      <c r="CK4" s="253"/>
      <c r="CL4" s="253"/>
      <c r="CM4" s="253"/>
      <c r="CN4" s="253"/>
      <c r="CO4" s="139"/>
      <c r="CP4" s="143"/>
      <c r="CQ4" s="253"/>
      <c r="CR4" s="253"/>
      <c r="CS4" s="253"/>
      <c r="CT4" s="253"/>
      <c r="CU4" s="139"/>
      <c r="CV4" s="143"/>
      <c r="CW4" s="253"/>
      <c r="CX4" s="253"/>
      <c r="CY4" s="253"/>
      <c r="CZ4" s="253"/>
      <c r="DA4" s="139"/>
      <c r="DB4" s="143"/>
      <c r="DC4" s="253"/>
      <c r="DD4" s="253"/>
      <c r="DE4" s="253"/>
      <c r="DF4" s="253"/>
      <c r="DG4" s="139"/>
      <c r="DH4" s="143"/>
      <c r="DI4" s="253"/>
      <c r="DJ4" s="253"/>
      <c r="DK4" s="253"/>
      <c r="DL4" s="253"/>
      <c r="DM4" s="139"/>
      <c r="DN4" s="143"/>
      <c r="DO4" s="253"/>
      <c r="DP4" s="253"/>
      <c r="DQ4" s="253"/>
      <c r="DR4" s="253"/>
      <c r="DS4" s="139"/>
      <c r="DT4" s="143"/>
      <c r="DU4" s="253"/>
      <c r="DV4" s="253"/>
      <c r="DW4" s="253"/>
      <c r="DX4" s="253"/>
      <c r="DY4" s="139"/>
      <c r="DZ4" s="143"/>
      <c r="EA4" s="253"/>
      <c r="EB4" s="253"/>
      <c r="EC4" s="253"/>
      <c r="ED4" s="253"/>
      <c r="EE4" s="139"/>
      <c r="EF4" s="135">
        <f t="shared" ref="EF4:EF35" si="0">A4</f>
        <v>1</v>
      </c>
    </row>
    <row r="5" spans="1:136" x14ac:dyDescent="0.2">
      <c r="A5" s="144">
        <v>2</v>
      </c>
      <c r="B5" s="145"/>
      <c r="C5" s="131"/>
      <c r="D5" s="145"/>
      <c r="E5" s="491"/>
      <c r="F5" s="140"/>
      <c r="G5" s="491"/>
      <c r="H5" s="140"/>
      <c r="I5" s="491"/>
      <c r="J5" s="140"/>
      <c r="K5" s="491"/>
      <c r="L5" s="140"/>
      <c r="M5" s="491"/>
      <c r="N5" s="140"/>
      <c r="O5" s="491"/>
      <c r="P5" s="140"/>
      <c r="Q5" s="491"/>
      <c r="R5" s="140"/>
      <c r="S5" s="491"/>
      <c r="T5" s="140"/>
      <c r="U5" s="491"/>
      <c r="V5" s="140"/>
      <c r="W5" s="491"/>
      <c r="X5" s="140"/>
      <c r="Y5" s="491"/>
      <c r="Z5" s="140"/>
      <c r="AA5" s="491"/>
      <c r="AB5" s="140"/>
      <c r="AC5" s="491"/>
      <c r="AD5" s="140"/>
      <c r="AE5" s="491"/>
      <c r="AF5" s="140"/>
      <c r="AG5" s="491"/>
      <c r="AH5" s="140"/>
      <c r="AI5" s="141"/>
      <c r="AJ5" s="140"/>
      <c r="AK5" s="131"/>
      <c r="AL5" s="140"/>
      <c r="AM5" s="131"/>
      <c r="AN5" s="140"/>
      <c r="AO5" s="131"/>
      <c r="AP5" s="140"/>
      <c r="AQ5" s="131"/>
      <c r="AR5" s="140"/>
      <c r="AS5" s="131"/>
      <c r="AT5" s="140"/>
      <c r="AU5" s="131"/>
      <c r="AV5" s="140"/>
      <c r="AW5" s="131"/>
      <c r="AX5" s="140"/>
      <c r="AY5" s="131"/>
      <c r="AZ5" s="140"/>
      <c r="BA5" s="131"/>
      <c r="BB5" s="140"/>
      <c r="BC5" s="131"/>
      <c r="BD5" s="140"/>
      <c r="BE5" s="131"/>
      <c r="BF5" s="140"/>
      <c r="BG5" s="135"/>
      <c r="BH5" s="135"/>
      <c r="BI5" s="135"/>
      <c r="BJ5" s="135"/>
      <c r="BK5" s="135"/>
      <c r="BL5" s="142"/>
      <c r="BM5" s="135"/>
      <c r="BN5" s="135"/>
      <c r="BO5" s="135"/>
      <c r="BP5" s="135"/>
      <c r="BQ5" s="131"/>
      <c r="BR5" s="146"/>
      <c r="BS5" s="135"/>
      <c r="BT5" s="135"/>
      <c r="BU5" s="135"/>
      <c r="BV5" s="135"/>
      <c r="BW5" s="131"/>
      <c r="BX5" s="146"/>
      <c r="BY5" s="135"/>
      <c r="BZ5" s="135"/>
      <c r="CA5" s="135"/>
      <c r="CB5" s="135"/>
      <c r="CC5" s="131"/>
      <c r="CD5" s="146"/>
      <c r="CE5" s="135"/>
      <c r="CF5" s="135"/>
      <c r="CG5" s="135"/>
      <c r="CH5" s="135"/>
      <c r="CI5" s="131"/>
      <c r="CJ5" s="146"/>
      <c r="CK5" s="135"/>
      <c r="CL5" s="135"/>
      <c r="CM5" s="135"/>
      <c r="CN5" s="135"/>
      <c r="CO5" s="131"/>
      <c r="CP5" s="146"/>
      <c r="CQ5" s="135"/>
      <c r="CR5" s="135"/>
      <c r="CS5" s="135"/>
      <c r="CT5" s="135"/>
      <c r="CU5" s="131"/>
      <c r="CV5" s="146"/>
      <c r="CW5" s="135"/>
      <c r="CX5" s="135"/>
      <c r="CY5" s="135"/>
      <c r="CZ5" s="135"/>
      <c r="DA5" s="131"/>
      <c r="DB5" s="146"/>
      <c r="DC5" s="135"/>
      <c r="DD5" s="135"/>
      <c r="DE5" s="135"/>
      <c r="DF5" s="135"/>
      <c r="DG5" s="131"/>
      <c r="DH5" s="146"/>
      <c r="DI5" s="135"/>
      <c r="DJ5" s="135"/>
      <c r="DK5" s="135"/>
      <c r="DL5" s="135"/>
      <c r="DM5" s="131"/>
      <c r="DN5" s="146"/>
      <c r="DO5" s="135"/>
      <c r="DP5" s="135"/>
      <c r="DQ5" s="135"/>
      <c r="DR5" s="135"/>
      <c r="DS5" s="131"/>
      <c r="DT5" s="146"/>
      <c r="DU5" s="135"/>
      <c r="DV5" s="135"/>
      <c r="DW5" s="135"/>
      <c r="DX5" s="135"/>
      <c r="DY5" s="131"/>
      <c r="DZ5" s="146"/>
      <c r="EA5" s="135"/>
      <c r="EB5" s="135"/>
      <c r="EC5" s="135"/>
      <c r="ED5" s="135"/>
      <c r="EE5" s="131"/>
      <c r="EF5" s="135">
        <f t="shared" si="0"/>
        <v>2</v>
      </c>
    </row>
    <row r="6" spans="1:136" x14ac:dyDescent="0.2">
      <c r="A6" s="144">
        <v>3</v>
      </c>
      <c r="B6" s="135"/>
      <c r="C6" s="131"/>
      <c r="D6" s="495"/>
      <c r="E6" s="491"/>
      <c r="F6" s="140"/>
      <c r="G6" s="491"/>
      <c r="H6" s="140"/>
      <c r="I6" s="491"/>
      <c r="J6" s="140"/>
      <c r="K6" s="491"/>
      <c r="L6" s="140"/>
      <c r="M6" s="491"/>
      <c r="N6" s="140"/>
      <c r="O6" s="491"/>
      <c r="P6" s="140"/>
      <c r="Q6" s="491"/>
      <c r="R6" s="140"/>
      <c r="S6" s="491"/>
      <c r="T6" s="140"/>
      <c r="U6" s="491"/>
      <c r="V6" s="140"/>
      <c r="W6" s="491"/>
      <c r="X6" s="140"/>
      <c r="Y6" s="491"/>
      <c r="Z6" s="140"/>
      <c r="AA6" s="491"/>
      <c r="AB6" s="140"/>
      <c r="AC6" s="491"/>
      <c r="AD6" s="140"/>
      <c r="AE6" s="491"/>
      <c r="AF6" s="140"/>
      <c r="AG6" s="491"/>
      <c r="AH6" s="140"/>
      <c r="AI6" s="141"/>
      <c r="AJ6" s="140"/>
      <c r="AK6" s="131"/>
      <c r="AL6" s="140"/>
      <c r="AM6" s="131"/>
      <c r="AN6" s="140"/>
      <c r="AO6" s="131"/>
      <c r="AP6" s="140"/>
      <c r="AQ6" s="131"/>
      <c r="AR6" s="140"/>
      <c r="AS6" s="131"/>
      <c r="AT6" s="140"/>
      <c r="AU6" s="131"/>
      <c r="AV6" s="140"/>
      <c r="AW6" s="131"/>
      <c r="AX6" s="140"/>
      <c r="AY6" s="131"/>
      <c r="AZ6" s="140"/>
      <c r="BA6" s="131"/>
      <c r="BB6" s="140"/>
      <c r="BC6" s="131"/>
      <c r="BD6" s="140"/>
      <c r="BE6" s="131"/>
      <c r="BF6" s="140"/>
      <c r="BG6" s="135"/>
      <c r="BH6" s="135"/>
      <c r="BI6" s="135"/>
      <c r="BJ6" s="135"/>
      <c r="BK6" s="135"/>
      <c r="BL6" s="142"/>
      <c r="BM6" s="135"/>
      <c r="BN6" s="135"/>
      <c r="BO6" s="135"/>
      <c r="BP6" s="135"/>
      <c r="BQ6" s="131"/>
      <c r="BR6" s="146"/>
      <c r="BS6" s="135"/>
      <c r="BT6" s="135"/>
      <c r="BU6" s="135"/>
      <c r="BV6" s="135"/>
      <c r="BW6" s="131"/>
      <c r="BX6" s="146"/>
      <c r="BY6" s="135"/>
      <c r="BZ6" s="135"/>
      <c r="CA6" s="135"/>
      <c r="CB6" s="135"/>
      <c r="CC6" s="131"/>
      <c r="CD6" s="146"/>
      <c r="CE6" s="135"/>
      <c r="CF6" s="135"/>
      <c r="CG6" s="135"/>
      <c r="CH6" s="135"/>
      <c r="CI6" s="131"/>
      <c r="CJ6" s="146"/>
      <c r="CK6" s="135"/>
      <c r="CL6" s="135"/>
      <c r="CM6" s="135"/>
      <c r="CN6" s="135"/>
      <c r="CO6" s="131"/>
      <c r="CP6" s="146"/>
      <c r="CQ6" s="135"/>
      <c r="CR6" s="135"/>
      <c r="CS6" s="135"/>
      <c r="CT6" s="135"/>
      <c r="CU6" s="131"/>
      <c r="CV6" s="146"/>
      <c r="CW6" s="135"/>
      <c r="CX6" s="135"/>
      <c r="CY6" s="135"/>
      <c r="CZ6" s="135"/>
      <c r="DA6" s="131"/>
      <c r="DB6" s="146"/>
      <c r="DC6" s="135"/>
      <c r="DD6" s="135"/>
      <c r="DE6" s="135"/>
      <c r="DF6" s="135"/>
      <c r="DG6" s="131"/>
      <c r="DH6" s="146"/>
      <c r="DI6" s="135"/>
      <c r="DJ6" s="135"/>
      <c r="DK6" s="135"/>
      <c r="DL6" s="135"/>
      <c r="DM6" s="131"/>
      <c r="DN6" s="146"/>
      <c r="DO6" s="135"/>
      <c r="DP6" s="135"/>
      <c r="DQ6" s="135"/>
      <c r="DR6" s="135"/>
      <c r="DS6" s="131"/>
      <c r="DT6" s="146"/>
      <c r="DU6" s="135"/>
      <c r="DV6" s="135"/>
      <c r="DW6" s="135"/>
      <c r="DX6" s="135"/>
      <c r="DY6" s="131"/>
      <c r="DZ6" s="146"/>
      <c r="EA6" s="135"/>
      <c r="EB6" s="135"/>
      <c r="EC6" s="135"/>
      <c r="ED6" s="135"/>
      <c r="EE6" s="131"/>
      <c r="EF6" s="135">
        <f t="shared" si="0"/>
        <v>3</v>
      </c>
    </row>
    <row r="7" spans="1:136" x14ac:dyDescent="0.2">
      <c r="A7" s="144">
        <v>4</v>
      </c>
      <c r="B7" s="135"/>
      <c r="C7" s="131"/>
      <c r="D7" s="495"/>
      <c r="E7" s="491"/>
      <c r="F7" s="140"/>
      <c r="G7" s="491"/>
      <c r="H7" s="140"/>
      <c r="I7" s="491"/>
      <c r="J7" s="140"/>
      <c r="K7" s="491"/>
      <c r="L7" s="140"/>
      <c r="M7" s="491"/>
      <c r="N7" s="140"/>
      <c r="O7" s="491"/>
      <c r="P7" s="140"/>
      <c r="Q7" s="491"/>
      <c r="R7" s="140"/>
      <c r="S7" s="491"/>
      <c r="T7" s="140"/>
      <c r="U7" s="491"/>
      <c r="V7" s="140"/>
      <c r="W7" s="491"/>
      <c r="X7" s="140"/>
      <c r="Y7" s="491"/>
      <c r="Z7" s="140"/>
      <c r="AA7" s="491"/>
      <c r="AB7" s="140"/>
      <c r="AC7" s="491"/>
      <c r="AD7" s="140"/>
      <c r="AE7" s="491"/>
      <c r="AF7" s="140"/>
      <c r="AG7" s="491"/>
      <c r="AH7" s="140"/>
      <c r="AI7" s="141"/>
      <c r="AJ7" s="140"/>
      <c r="AK7" s="131"/>
      <c r="AL7" s="140"/>
      <c r="AM7" s="131"/>
      <c r="AN7" s="140"/>
      <c r="AO7" s="131"/>
      <c r="AP7" s="140"/>
      <c r="AQ7" s="131"/>
      <c r="AR7" s="140"/>
      <c r="AS7" s="131"/>
      <c r="AT7" s="140"/>
      <c r="AU7" s="131"/>
      <c r="AV7" s="140"/>
      <c r="AW7" s="131"/>
      <c r="AX7" s="140"/>
      <c r="AY7" s="131"/>
      <c r="AZ7" s="140"/>
      <c r="BA7" s="131"/>
      <c r="BB7" s="140"/>
      <c r="BC7" s="131"/>
      <c r="BD7" s="140"/>
      <c r="BE7" s="131"/>
      <c r="BF7" s="140"/>
      <c r="BG7" s="135"/>
      <c r="BH7" s="135"/>
      <c r="BI7" s="135"/>
      <c r="BJ7" s="135"/>
      <c r="BK7" s="135"/>
      <c r="BL7" s="142"/>
      <c r="BM7" s="135"/>
      <c r="BN7" s="135"/>
      <c r="BO7" s="135"/>
      <c r="BP7" s="135"/>
      <c r="BQ7" s="131"/>
      <c r="BR7" s="146"/>
      <c r="BS7" s="135"/>
      <c r="BT7" s="135"/>
      <c r="BU7" s="135"/>
      <c r="BV7" s="135"/>
      <c r="BW7" s="131"/>
      <c r="BX7" s="146"/>
      <c r="BY7" s="135"/>
      <c r="BZ7" s="135"/>
      <c r="CA7" s="135"/>
      <c r="CB7" s="135"/>
      <c r="CC7" s="131"/>
      <c r="CD7" s="146"/>
      <c r="CE7" s="135"/>
      <c r="CF7" s="135"/>
      <c r="CG7" s="135"/>
      <c r="CH7" s="135"/>
      <c r="CI7" s="131"/>
      <c r="CJ7" s="146"/>
      <c r="CK7" s="135"/>
      <c r="CL7" s="135"/>
      <c r="CM7" s="135"/>
      <c r="CN7" s="135"/>
      <c r="CO7" s="131"/>
      <c r="CP7" s="146"/>
      <c r="CQ7" s="135"/>
      <c r="CR7" s="135"/>
      <c r="CS7" s="135"/>
      <c r="CT7" s="135"/>
      <c r="CU7" s="131"/>
      <c r="CV7" s="146"/>
      <c r="CW7" s="135"/>
      <c r="CX7" s="135"/>
      <c r="CY7" s="135"/>
      <c r="CZ7" s="135"/>
      <c r="DA7" s="131"/>
      <c r="DB7" s="146"/>
      <c r="DC7" s="135"/>
      <c r="DD7" s="135"/>
      <c r="DE7" s="135"/>
      <c r="DF7" s="135"/>
      <c r="DG7" s="131"/>
      <c r="DH7" s="146"/>
      <c r="DI7" s="135"/>
      <c r="DJ7" s="135"/>
      <c r="DK7" s="135"/>
      <c r="DL7" s="135"/>
      <c r="DM7" s="131"/>
      <c r="DN7" s="146"/>
      <c r="DO7" s="135"/>
      <c r="DP7" s="135"/>
      <c r="DQ7" s="135"/>
      <c r="DR7" s="135"/>
      <c r="DS7" s="131"/>
      <c r="DT7" s="146"/>
      <c r="DU7" s="135"/>
      <c r="DV7" s="135"/>
      <c r="DW7" s="135"/>
      <c r="DX7" s="135"/>
      <c r="DY7" s="131"/>
      <c r="DZ7" s="146"/>
      <c r="EA7" s="135"/>
      <c r="EB7" s="135"/>
      <c r="EC7" s="135"/>
      <c r="ED7" s="135"/>
      <c r="EE7" s="131"/>
      <c r="EF7" s="135">
        <f t="shared" si="0"/>
        <v>4</v>
      </c>
    </row>
    <row r="8" spans="1:136" x14ac:dyDescent="0.2">
      <c r="A8" s="144">
        <v>5</v>
      </c>
      <c r="B8" s="135"/>
      <c r="C8" s="131"/>
      <c r="D8" s="495"/>
      <c r="E8" s="491"/>
      <c r="F8" s="495"/>
      <c r="G8" s="491"/>
      <c r="H8" s="140"/>
      <c r="I8" s="491"/>
      <c r="J8" s="140"/>
      <c r="K8" s="491"/>
      <c r="L8" s="140"/>
      <c r="M8" s="491"/>
      <c r="N8" s="140"/>
      <c r="O8" s="491"/>
      <c r="P8" s="140"/>
      <c r="Q8" s="491"/>
      <c r="R8" s="140"/>
      <c r="S8" s="491"/>
      <c r="T8" s="140"/>
      <c r="U8" s="491"/>
      <c r="V8" s="140"/>
      <c r="W8" s="491"/>
      <c r="X8" s="140"/>
      <c r="Y8" s="491"/>
      <c r="Z8" s="140"/>
      <c r="AA8" s="491"/>
      <c r="AB8" s="140"/>
      <c r="AC8" s="491"/>
      <c r="AD8" s="140"/>
      <c r="AE8" s="491"/>
      <c r="AF8" s="140"/>
      <c r="AG8" s="491"/>
      <c r="AH8" s="140"/>
      <c r="AI8" s="141"/>
      <c r="AJ8" s="140"/>
      <c r="AK8" s="131"/>
      <c r="AL8" s="140"/>
      <c r="AM8" s="131"/>
      <c r="AN8" s="140"/>
      <c r="AO8" s="131"/>
      <c r="AP8" s="140"/>
      <c r="AQ8" s="131"/>
      <c r="AR8" s="140"/>
      <c r="AS8" s="131"/>
      <c r="AT8" s="140"/>
      <c r="AU8" s="131"/>
      <c r="AV8" s="140"/>
      <c r="AW8" s="131"/>
      <c r="AX8" s="140"/>
      <c r="AY8" s="131"/>
      <c r="AZ8" s="140"/>
      <c r="BA8" s="131"/>
      <c r="BB8" s="140"/>
      <c r="BC8" s="131"/>
      <c r="BD8" s="140"/>
      <c r="BE8" s="131"/>
      <c r="BF8" s="140"/>
      <c r="BG8" s="135"/>
      <c r="BH8" s="135"/>
      <c r="BI8" s="135"/>
      <c r="BJ8" s="135"/>
      <c r="BK8" s="135"/>
      <c r="BL8" s="142"/>
      <c r="BM8" s="135"/>
      <c r="BN8" s="135"/>
      <c r="BO8" s="135"/>
      <c r="BP8" s="135"/>
      <c r="BQ8" s="131"/>
      <c r="BR8" s="146"/>
      <c r="BS8" s="135"/>
      <c r="BT8" s="135"/>
      <c r="BU8" s="135"/>
      <c r="BV8" s="135"/>
      <c r="BW8" s="131"/>
      <c r="BX8" s="146"/>
      <c r="BY8" s="135"/>
      <c r="BZ8" s="135"/>
      <c r="CA8" s="135"/>
      <c r="CB8" s="135"/>
      <c r="CC8" s="131"/>
      <c r="CD8" s="146"/>
      <c r="CE8" s="135"/>
      <c r="CF8" s="135"/>
      <c r="CG8" s="135"/>
      <c r="CH8" s="135"/>
      <c r="CI8" s="131"/>
      <c r="CJ8" s="146"/>
      <c r="CK8" s="135"/>
      <c r="CL8" s="135"/>
      <c r="CM8" s="135"/>
      <c r="CN8" s="135"/>
      <c r="CO8" s="131"/>
      <c r="CP8" s="146"/>
      <c r="CQ8" s="135"/>
      <c r="CR8" s="135"/>
      <c r="CS8" s="135"/>
      <c r="CT8" s="135"/>
      <c r="CU8" s="131"/>
      <c r="CV8" s="146"/>
      <c r="CW8" s="135"/>
      <c r="CX8" s="135"/>
      <c r="CY8" s="135"/>
      <c r="CZ8" s="135"/>
      <c r="DA8" s="131"/>
      <c r="DB8" s="146"/>
      <c r="DC8" s="135"/>
      <c r="DD8" s="135"/>
      <c r="DE8" s="135"/>
      <c r="DF8" s="135"/>
      <c r="DG8" s="131"/>
      <c r="DH8" s="146"/>
      <c r="DI8" s="135"/>
      <c r="DJ8" s="135"/>
      <c r="DK8" s="135"/>
      <c r="DL8" s="135"/>
      <c r="DM8" s="131"/>
      <c r="DN8" s="146"/>
      <c r="DO8" s="135"/>
      <c r="DP8" s="135"/>
      <c r="DQ8" s="135"/>
      <c r="DR8" s="135"/>
      <c r="DS8" s="131"/>
      <c r="DT8" s="146"/>
      <c r="DU8" s="135"/>
      <c r="DV8" s="135"/>
      <c r="DW8" s="135"/>
      <c r="DX8" s="135"/>
      <c r="DY8" s="131"/>
      <c r="DZ8" s="146"/>
      <c r="EA8" s="135"/>
      <c r="EB8" s="135"/>
      <c r="EC8" s="135"/>
      <c r="ED8" s="135"/>
      <c r="EE8" s="131"/>
      <c r="EF8" s="135">
        <f t="shared" si="0"/>
        <v>5</v>
      </c>
    </row>
    <row r="9" spans="1:136" x14ac:dyDescent="0.2">
      <c r="A9" s="144">
        <v>6</v>
      </c>
      <c r="B9" s="135"/>
      <c r="C9" s="131"/>
      <c r="D9" s="495"/>
      <c r="E9" s="491"/>
      <c r="F9" s="495"/>
      <c r="G9" s="491"/>
      <c r="H9" s="495"/>
      <c r="I9" s="491"/>
      <c r="J9" s="140"/>
      <c r="K9" s="491"/>
      <c r="L9" s="140"/>
      <c r="M9" s="491"/>
      <c r="N9" s="140"/>
      <c r="O9" s="491"/>
      <c r="P9" s="2"/>
      <c r="Q9" s="491"/>
      <c r="R9" s="495"/>
      <c r="S9" s="491"/>
      <c r="T9" s="140"/>
      <c r="U9" s="491"/>
      <c r="V9" s="140"/>
      <c r="W9" s="491"/>
      <c r="X9" s="140"/>
      <c r="Y9" s="491"/>
      <c r="Z9" s="140"/>
      <c r="AA9" s="491"/>
      <c r="AB9" s="140"/>
      <c r="AC9" s="491"/>
      <c r="AD9" s="140"/>
      <c r="AE9" s="491"/>
      <c r="AF9" s="140"/>
      <c r="AG9" s="491"/>
      <c r="AH9" s="140"/>
      <c r="AI9" s="141"/>
      <c r="AJ9" s="140"/>
      <c r="AK9" s="131"/>
      <c r="AL9" s="140"/>
      <c r="AM9" s="131"/>
      <c r="AN9" s="140"/>
      <c r="AO9" s="131"/>
      <c r="AP9" s="140"/>
      <c r="AQ9" s="131"/>
      <c r="AR9" s="140"/>
      <c r="AS9" s="131"/>
      <c r="AT9" s="140"/>
      <c r="AU9" s="131"/>
      <c r="AV9" s="140"/>
      <c r="AW9" s="131"/>
      <c r="AX9" s="140"/>
      <c r="AY9" s="131"/>
      <c r="AZ9" s="140"/>
      <c r="BA9" s="131"/>
      <c r="BB9" s="140"/>
      <c r="BC9" s="131"/>
      <c r="BD9" s="140"/>
      <c r="BE9" s="131"/>
      <c r="BF9" s="140"/>
      <c r="BG9" s="135"/>
      <c r="BH9" s="135"/>
      <c r="BI9" s="135"/>
      <c r="BJ9" s="135"/>
      <c r="BK9" s="135"/>
      <c r="BL9" s="142"/>
      <c r="BM9" s="135"/>
      <c r="BN9" s="135"/>
      <c r="BO9" s="135"/>
      <c r="BP9" s="135"/>
      <c r="BQ9" s="131"/>
      <c r="BR9" s="146"/>
      <c r="BS9" s="135"/>
      <c r="BT9" s="135"/>
      <c r="BU9" s="135"/>
      <c r="BV9" s="135"/>
      <c r="BW9" s="131"/>
      <c r="BX9" s="146"/>
      <c r="BY9" s="135"/>
      <c r="BZ9" s="135"/>
      <c r="CA9" s="135"/>
      <c r="CB9" s="135"/>
      <c r="CC9" s="131"/>
      <c r="CD9" s="146"/>
      <c r="CE9" s="135"/>
      <c r="CF9" s="135"/>
      <c r="CG9" s="135"/>
      <c r="CH9" s="135"/>
      <c r="CI9" s="131"/>
      <c r="CJ9" s="146"/>
      <c r="CK9" s="135"/>
      <c r="CL9" s="135"/>
      <c r="CM9" s="135"/>
      <c r="CN9" s="135"/>
      <c r="CO9" s="131"/>
      <c r="CP9" s="146"/>
      <c r="CQ9" s="135"/>
      <c r="CR9" s="135"/>
      <c r="CS9" s="135"/>
      <c r="CT9" s="135"/>
      <c r="CU9" s="131"/>
      <c r="CV9" s="146"/>
      <c r="CW9" s="135"/>
      <c r="CX9" s="135"/>
      <c r="CY9" s="135"/>
      <c r="CZ9" s="135"/>
      <c r="DA9" s="131"/>
      <c r="DB9" s="146"/>
      <c r="DC9" s="135"/>
      <c r="DD9" s="135"/>
      <c r="DE9" s="135"/>
      <c r="DF9" s="135"/>
      <c r="DG9" s="131"/>
      <c r="DH9" s="146"/>
      <c r="DI9" s="135"/>
      <c r="DJ9" s="135"/>
      <c r="DK9" s="135"/>
      <c r="DL9" s="135"/>
      <c r="DM9" s="131"/>
      <c r="DN9" s="146"/>
      <c r="DO9" s="135"/>
      <c r="DP9" s="135"/>
      <c r="DQ9" s="135"/>
      <c r="DR9" s="135"/>
      <c r="DS9" s="131"/>
      <c r="DT9" s="146"/>
      <c r="DU9" s="135"/>
      <c r="DV9" s="135"/>
      <c r="DW9" s="135"/>
      <c r="DX9" s="135"/>
      <c r="DY9" s="131"/>
      <c r="DZ9" s="146"/>
      <c r="EA9" s="135"/>
      <c r="EB9" s="135"/>
      <c r="EC9" s="135"/>
      <c r="ED9" s="135"/>
      <c r="EE9" s="131"/>
      <c r="EF9" s="135">
        <f t="shared" si="0"/>
        <v>6</v>
      </c>
    </row>
    <row r="10" spans="1:136" x14ac:dyDescent="0.2">
      <c r="A10" s="144">
        <v>7</v>
      </c>
      <c r="B10" s="135"/>
      <c r="C10" s="131"/>
      <c r="D10" s="495"/>
      <c r="E10" s="491"/>
      <c r="F10" s="495"/>
      <c r="G10" s="491"/>
      <c r="H10" s="495"/>
      <c r="I10" s="491"/>
      <c r="J10" s="140"/>
      <c r="K10" s="491"/>
      <c r="L10" s="140"/>
      <c r="M10" s="491"/>
      <c r="N10" s="140"/>
      <c r="O10" s="491"/>
      <c r="P10" s="145"/>
      <c r="Q10" s="491"/>
      <c r="R10" s="495"/>
      <c r="S10" s="491"/>
      <c r="T10" s="140"/>
      <c r="U10" s="491"/>
      <c r="V10" s="140"/>
      <c r="W10" s="491"/>
      <c r="X10" s="140"/>
      <c r="Y10" s="491"/>
      <c r="Z10" s="140"/>
      <c r="AA10" s="491"/>
      <c r="AB10" s="140"/>
      <c r="AC10" s="491"/>
      <c r="AD10" s="140"/>
      <c r="AE10" s="491"/>
      <c r="AF10" s="140"/>
      <c r="AG10" s="491"/>
      <c r="AH10" s="140"/>
      <c r="AI10" s="141"/>
      <c r="AJ10" s="145"/>
      <c r="AK10" s="131"/>
      <c r="AL10" s="147"/>
      <c r="AM10" s="131"/>
      <c r="AN10" s="140"/>
      <c r="AO10" s="131"/>
      <c r="AP10" s="140"/>
      <c r="AQ10" s="131"/>
      <c r="AR10" s="140"/>
      <c r="AS10" s="131"/>
      <c r="AT10" s="140"/>
      <c r="AU10" s="131"/>
      <c r="AV10" s="140"/>
      <c r="AW10" s="131"/>
      <c r="AX10" s="140"/>
      <c r="AY10" s="131"/>
      <c r="AZ10" s="140"/>
      <c r="BA10" s="131"/>
      <c r="BB10" s="140"/>
      <c r="BC10" s="131"/>
      <c r="BD10" s="142"/>
      <c r="BE10" s="131"/>
      <c r="BF10" s="140"/>
      <c r="BG10" s="135"/>
      <c r="BH10" s="135"/>
      <c r="BI10" s="135"/>
      <c r="BJ10" s="135"/>
      <c r="BK10" s="135"/>
      <c r="BL10" s="142"/>
      <c r="BM10" s="135"/>
      <c r="BN10" s="135"/>
      <c r="BO10" s="135"/>
      <c r="BP10" s="135"/>
      <c r="BQ10" s="131"/>
      <c r="BR10" s="146"/>
      <c r="BS10" s="135"/>
      <c r="BT10" s="135"/>
      <c r="BU10" s="135"/>
      <c r="BV10" s="135"/>
      <c r="BW10" s="131"/>
      <c r="BX10" s="146"/>
      <c r="BY10" s="135"/>
      <c r="BZ10" s="135"/>
      <c r="CA10" s="135"/>
      <c r="CB10" s="135"/>
      <c r="CC10" s="131"/>
      <c r="CD10" s="146"/>
      <c r="CE10" s="135"/>
      <c r="CF10" s="135"/>
      <c r="CG10" s="135"/>
      <c r="CH10" s="135"/>
      <c r="CI10" s="131"/>
      <c r="CJ10" s="146"/>
      <c r="CK10" s="135"/>
      <c r="CL10" s="135"/>
      <c r="CM10" s="135"/>
      <c r="CN10" s="135"/>
      <c r="CO10" s="131"/>
      <c r="CP10" s="146"/>
      <c r="CQ10" s="135"/>
      <c r="CR10" s="135"/>
      <c r="CS10" s="135"/>
      <c r="CT10" s="135"/>
      <c r="CU10" s="131"/>
      <c r="CV10" s="146"/>
      <c r="CW10" s="135"/>
      <c r="CX10" s="135"/>
      <c r="CY10" s="135"/>
      <c r="CZ10" s="135"/>
      <c r="DA10" s="131"/>
      <c r="DB10" s="146"/>
      <c r="DC10" s="135"/>
      <c r="DD10" s="135"/>
      <c r="DE10" s="135"/>
      <c r="DF10" s="135"/>
      <c r="DG10" s="131"/>
      <c r="DH10" s="146"/>
      <c r="DI10" s="135"/>
      <c r="DJ10" s="135"/>
      <c r="DK10" s="135"/>
      <c r="DL10" s="135"/>
      <c r="DM10" s="131"/>
      <c r="DN10" s="146"/>
      <c r="DO10" s="135"/>
      <c r="DP10" s="135"/>
      <c r="DQ10" s="135"/>
      <c r="DR10" s="135"/>
      <c r="DS10" s="131"/>
      <c r="DT10" s="146"/>
      <c r="DU10" s="135"/>
      <c r="DV10" s="135"/>
      <c r="DW10" s="135"/>
      <c r="DX10" s="135"/>
      <c r="DY10" s="131"/>
      <c r="DZ10" s="146"/>
      <c r="EA10" s="135"/>
      <c r="EB10" s="135"/>
      <c r="EC10" s="135"/>
      <c r="ED10" s="135"/>
      <c r="EE10" s="131"/>
      <c r="EF10" s="135">
        <f t="shared" si="0"/>
        <v>7</v>
      </c>
    </row>
    <row r="11" spans="1:136" x14ac:dyDescent="0.2">
      <c r="A11" s="144">
        <v>8</v>
      </c>
      <c r="B11" s="135"/>
      <c r="C11" s="131"/>
      <c r="D11" s="2"/>
      <c r="E11" s="491"/>
      <c r="F11" s="2"/>
      <c r="G11" s="491"/>
      <c r="H11" s="2"/>
      <c r="I11" s="491"/>
      <c r="J11" s="145"/>
      <c r="K11" s="491"/>
      <c r="L11" s="2"/>
      <c r="M11" s="491"/>
      <c r="N11" s="2"/>
      <c r="O11" s="491"/>
      <c r="P11" s="2"/>
      <c r="Q11" s="491"/>
      <c r="R11" s="495"/>
      <c r="S11" s="491"/>
      <c r="T11" s="140"/>
      <c r="U11" s="491"/>
      <c r="V11" s="140"/>
      <c r="W11" s="491"/>
      <c r="X11" s="140"/>
      <c r="Y11" s="491"/>
      <c r="Z11" s="140"/>
      <c r="AA11" s="491"/>
      <c r="AB11" s="140"/>
      <c r="AC11" s="491"/>
      <c r="AD11" s="145"/>
      <c r="AE11" s="491"/>
      <c r="AF11" s="145"/>
      <c r="AG11" s="491"/>
      <c r="AH11" s="145"/>
      <c r="AI11" s="141"/>
      <c r="AJ11" s="145"/>
      <c r="AK11" s="131"/>
      <c r="AL11" s="147"/>
      <c r="AM11" s="131"/>
      <c r="AN11" s="147"/>
      <c r="AO11" s="131"/>
      <c r="AP11" s="140"/>
      <c r="AQ11" s="131"/>
      <c r="AR11" s="140"/>
      <c r="AS11" s="131"/>
      <c r="AT11" s="140"/>
      <c r="AU11" s="131"/>
      <c r="AV11" s="140"/>
      <c r="AW11" s="131"/>
      <c r="AX11" s="140"/>
      <c r="AY11" s="131"/>
      <c r="AZ11" s="140"/>
      <c r="BA11" s="131"/>
      <c r="BB11" s="146"/>
      <c r="BC11" s="131"/>
      <c r="BD11" s="146"/>
      <c r="BE11" s="131"/>
      <c r="BF11" s="146"/>
      <c r="BG11" s="135"/>
      <c r="BH11" s="135"/>
      <c r="BI11" s="135"/>
      <c r="BJ11" s="135"/>
      <c r="BK11" s="135"/>
      <c r="BL11" s="146"/>
      <c r="BM11" s="135"/>
      <c r="BN11" s="135"/>
      <c r="BO11" s="135"/>
      <c r="BP11" s="135"/>
      <c r="BQ11" s="131"/>
      <c r="BR11" s="146"/>
      <c r="BS11" s="135"/>
      <c r="BT11" s="135"/>
      <c r="BU11" s="135"/>
      <c r="BV11" s="135"/>
      <c r="BW11" s="131"/>
      <c r="BX11" s="146"/>
      <c r="BY11" s="135"/>
      <c r="BZ11" s="135"/>
      <c r="CA11" s="135"/>
      <c r="CB11" s="135"/>
      <c r="CC11" s="131"/>
      <c r="CD11" s="146"/>
      <c r="CE11" s="135"/>
      <c r="CF11" s="135"/>
      <c r="CG11" s="135"/>
      <c r="CH11" s="135"/>
      <c r="CI11" s="131"/>
      <c r="CJ11" s="146"/>
      <c r="CK11" s="135"/>
      <c r="CL11" s="135"/>
      <c r="CM11" s="135"/>
      <c r="CN11" s="135"/>
      <c r="CO11" s="131"/>
      <c r="CP11" s="146"/>
      <c r="CQ11" s="135"/>
      <c r="CR11" s="135"/>
      <c r="CS11" s="135"/>
      <c r="CT11" s="135"/>
      <c r="CU11" s="131"/>
      <c r="CV11" s="146"/>
      <c r="CW11" s="135"/>
      <c r="CX11" s="135"/>
      <c r="CY11" s="135"/>
      <c r="CZ11" s="135"/>
      <c r="DA11" s="131"/>
      <c r="DB11" s="146"/>
      <c r="DC11" s="135"/>
      <c r="DD11" s="135"/>
      <c r="DE11" s="135"/>
      <c r="DF11" s="135"/>
      <c r="DG11" s="131"/>
      <c r="DH11" s="146"/>
      <c r="DI11" s="135"/>
      <c r="DJ11" s="135"/>
      <c r="DK11" s="135"/>
      <c r="DL11" s="135"/>
      <c r="DM11" s="131"/>
      <c r="DN11" s="146"/>
      <c r="DO11" s="135"/>
      <c r="DP11" s="135"/>
      <c r="DQ11" s="135"/>
      <c r="DR11" s="135"/>
      <c r="DS11" s="131"/>
      <c r="DT11" s="146"/>
      <c r="DU11" s="135"/>
      <c r="DV11" s="135"/>
      <c r="DW11" s="135"/>
      <c r="DX11" s="135"/>
      <c r="DY11" s="131"/>
      <c r="DZ11" s="146"/>
      <c r="EA11" s="135"/>
      <c r="EB11" s="135"/>
      <c r="EC11" s="135"/>
      <c r="ED11" s="135"/>
      <c r="EE11" s="131"/>
      <c r="EF11" s="135">
        <f t="shared" si="0"/>
        <v>8</v>
      </c>
    </row>
    <row r="12" spans="1:136" x14ac:dyDescent="0.2">
      <c r="A12" s="144">
        <v>9</v>
      </c>
      <c r="B12" s="135"/>
      <c r="C12" s="131"/>
      <c r="D12" s="2"/>
      <c r="E12" s="491"/>
      <c r="F12" s="2"/>
      <c r="G12" s="491"/>
      <c r="H12" s="2"/>
      <c r="I12" s="491"/>
      <c r="J12" s="2"/>
      <c r="K12" s="491"/>
      <c r="L12" s="2"/>
      <c r="M12" s="491"/>
      <c r="N12" s="2"/>
      <c r="O12" s="491"/>
      <c r="P12" s="2"/>
      <c r="Q12" s="491"/>
      <c r="R12" s="495"/>
      <c r="S12" s="491"/>
      <c r="T12" s="140"/>
      <c r="U12" s="491"/>
      <c r="V12" s="140"/>
      <c r="W12" s="491"/>
      <c r="X12" s="140"/>
      <c r="Y12" s="491"/>
      <c r="Z12" s="147"/>
      <c r="AA12" s="491"/>
      <c r="AB12" s="147"/>
      <c r="AC12" s="491"/>
      <c r="AD12" s="145"/>
      <c r="AE12" s="491"/>
      <c r="AF12" s="145"/>
      <c r="AG12" s="491"/>
      <c r="AH12" s="145"/>
      <c r="AI12" s="141"/>
      <c r="AJ12" s="145"/>
      <c r="AK12" s="131"/>
      <c r="AL12" s="147"/>
      <c r="AM12" s="131"/>
      <c r="AN12" s="147"/>
      <c r="AO12" s="131"/>
      <c r="AP12" s="140"/>
      <c r="AQ12" s="131"/>
      <c r="AR12" s="140"/>
      <c r="AS12" s="131"/>
      <c r="AT12" s="140"/>
      <c r="AU12" s="131"/>
      <c r="AV12" s="140"/>
      <c r="AW12" s="131"/>
      <c r="AX12" s="140"/>
      <c r="AY12" s="131"/>
      <c r="AZ12" s="140"/>
      <c r="BA12" s="131"/>
      <c r="BB12" s="146"/>
      <c r="BC12" s="131"/>
      <c r="BD12" s="142"/>
      <c r="BE12" s="131"/>
      <c r="BF12" s="146"/>
      <c r="BG12" s="135"/>
      <c r="BH12" s="135"/>
      <c r="BI12" s="135"/>
      <c r="BJ12" s="135"/>
      <c r="BK12" s="135"/>
      <c r="BL12" s="146"/>
      <c r="BM12" s="135"/>
      <c r="BN12" s="135"/>
      <c r="BO12" s="135"/>
      <c r="BP12" s="135"/>
      <c r="BQ12" s="131"/>
      <c r="BR12" s="146"/>
      <c r="BS12" s="135"/>
      <c r="BT12" s="135"/>
      <c r="BU12" s="135"/>
      <c r="BV12" s="135"/>
      <c r="BW12" s="131"/>
      <c r="BX12" s="146"/>
      <c r="BY12" s="135"/>
      <c r="BZ12" s="135"/>
      <c r="CA12" s="135"/>
      <c r="CB12" s="135"/>
      <c r="CC12" s="131"/>
      <c r="CD12" s="146"/>
      <c r="CE12" s="135"/>
      <c r="CF12" s="135"/>
      <c r="CG12" s="135"/>
      <c r="CH12" s="135"/>
      <c r="CI12" s="131"/>
      <c r="CJ12" s="146"/>
      <c r="CK12" s="135"/>
      <c r="CL12" s="135"/>
      <c r="CM12" s="135"/>
      <c r="CN12" s="135"/>
      <c r="CO12" s="131"/>
      <c r="CP12" s="146"/>
      <c r="CQ12" s="135"/>
      <c r="CR12" s="135"/>
      <c r="CS12" s="135"/>
      <c r="CT12" s="135"/>
      <c r="CU12" s="131"/>
      <c r="CV12" s="146"/>
      <c r="CW12" s="135"/>
      <c r="CX12" s="135"/>
      <c r="CY12" s="135"/>
      <c r="CZ12" s="135"/>
      <c r="DA12" s="131"/>
      <c r="DB12" s="146"/>
      <c r="DC12" s="135"/>
      <c r="DD12" s="135"/>
      <c r="DE12" s="135"/>
      <c r="DF12" s="135"/>
      <c r="DG12" s="131"/>
      <c r="DH12" s="146"/>
      <c r="DI12" s="135"/>
      <c r="DJ12" s="135"/>
      <c r="DK12" s="135"/>
      <c r="DL12" s="135"/>
      <c r="DM12" s="131"/>
      <c r="DN12" s="146"/>
      <c r="DO12" s="135"/>
      <c r="DP12" s="135"/>
      <c r="DQ12" s="135"/>
      <c r="DR12" s="135"/>
      <c r="DS12" s="131"/>
      <c r="DT12" s="146"/>
      <c r="DU12" s="135"/>
      <c r="DV12" s="135"/>
      <c r="DW12" s="135"/>
      <c r="DX12" s="135"/>
      <c r="DY12" s="131"/>
      <c r="DZ12" s="146"/>
      <c r="EA12" s="135"/>
      <c r="EB12" s="135"/>
      <c r="EC12" s="135"/>
      <c r="ED12" s="135"/>
      <c r="EE12" s="131"/>
      <c r="EF12" s="135">
        <f t="shared" si="0"/>
        <v>9</v>
      </c>
    </row>
    <row r="13" spans="1:136" x14ac:dyDescent="0.2">
      <c r="A13" s="144">
        <v>10</v>
      </c>
      <c r="B13" s="135"/>
      <c r="C13" s="131"/>
      <c r="D13" s="2"/>
      <c r="E13" s="491"/>
      <c r="F13" s="2"/>
      <c r="G13" s="491"/>
      <c r="H13" s="2"/>
      <c r="I13" s="491"/>
      <c r="J13" s="2"/>
      <c r="K13" s="491"/>
      <c r="L13" s="2"/>
      <c r="M13" s="491"/>
      <c r="N13" s="2"/>
      <c r="O13" s="491"/>
      <c r="P13" s="2"/>
      <c r="Q13" s="491"/>
      <c r="R13" s="495"/>
      <c r="S13" s="491"/>
      <c r="T13" s="140"/>
      <c r="U13" s="491"/>
      <c r="V13" s="140"/>
      <c r="W13" s="491"/>
      <c r="X13" s="138"/>
      <c r="Y13" s="491"/>
      <c r="Z13" s="147"/>
      <c r="AA13" s="491"/>
      <c r="AB13" s="147"/>
      <c r="AC13" s="491"/>
      <c r="AD13" s="145"/>
      <c r="AE13" s="491"/>
      <c r="AF13" s="145"/>
      <c r="AG13" s="491"/>
      <c r="AH13" s="145"/>
      <c r="AI13" s="141"/>
      <c r="AJ13" s="145"/>
      <c r="AK13" s="131"/>
      <c r="AL13" s="147"/>
      <c r="AM13" s="131"/>
      <c r="AN13" s="147"/>
      <c r="AO13" s="131"/>
      <c r="AP13" s="140"/>
      <c r="AQ13" s="131"/>
      <c r="AR13" s="140"/>
      <c r="AS13" s="131"/>
      <c r="AT13" s="140"/>
      <c r="AU13" s="131"/>
      <c r="AV13" s="140"/>
      <c r="AW13" s="131"/>
      <c r="AX13" s="140"/>
      <c r="AY13" s="131"/>
      <c r="AZ13" s="140"/>
      <c r="BA13" s="131"/>
      <c r="BB13" s="146"/>
      <c r="BC13" s="131"/>
      <c r="BD13" s="146"/>
      <c r="BE13" s="131"/>
      <c r="BF13" s="146"/>
      <c r="BG13" s="135"/>
      <c r="BH13" s="135"/>
      <c r="BI13" s="135"/>
      <c r="BJ13" s="135"/>
      <c r="BK13" s="135"/>
      <c r="BL13" s="146"/>
      <c r="BM13" s="135"/>
      <c r="BN13" s="135"/>
      <c r="BO13" s="135"/>
      <c r="BP13" s="135"/>
      <c r="BQ13" s="131"/>
      <c r="BR13" s="146"/>
      <c r="BS13" s="135"/>
      <c r="BT13" s="135"/>
      <c r="BU13" s="135"/>
      <c r="BV13" s="135"/>
      <c r="BW13" s="131"/>
      <c r="BX13" s="146"/>
      <c r="BY13" s="135"/>
      <c r="BZ13" s="135"/>
      <c r="CA13" s="135"/>
      <c r="CB13" s="135"/>
      <c r="CC13" s="131"/>
      <c r="CD13" s="146"/>
      <c r="CE13" s="135"/>
      <c r="CF13" s="135"/>
      <c r="CG13" s="135"/>
      <c r="CH13" s="135"/>
      <c r="CI13" s="131"/>
      <c r="CJ13" s="146"/>
      <c r="CK13" s="135"/>
      <c r="CL13" s="135"/>
      <c r="CM13" s="135"/>
      <c r="CN13" s="135"/>
      <c r="CO13" s="131"/>
      <c r="CP13" s="146"/>
      <c r="CQ13" s="135"/>
      <c r="CR13" s="135"/>
      <c r="CS13" s="135"/>
      <c r="CT13" s="135"/>
      <c r="CU13" s="131"/>
      <c r="CV13" s="146"/>
      <c r="CW13" s="135"/>
      <c r="CX13" s="135"/>
      <c r="CY13" s="135"/>
      <c r="CZ13" s="135"/>
      <c r="DA13" s="131"/>
      <c r="DB13" s="146"/>
      <c r="DC13" s="135"/>
      <c r="DD13" s="135"/>
      <c r="DE13" s="135"/>
      <c r="DF13" s="135"/>
      <c r="DG13" s="131"/>
      <c r="DH13" s="146"/>
      <c r="DI13" s="135"/>
      <c r="DJ13" s="135"/>
      <c r="DK13" s="135"/>
      <c r="DL13" s="135"/>
      <c r="DM13" s="131"/>
      <c r="DN13" s="146"/>
      <c r="DO13" s="135"/>
      <c r="DP13" s="135"/>
      <c r="DQ13" s="135"/>
      <c r="DR13" s="135"/>
      <c r="DS13" s="131"/>
      <c r="DT13" s="146"/>
      <c r="DU13" s="135"/>
      <c r="DV13" s="135"/>
      <c r="DW13" s="135"/>
      <c r="DX13" s="135"/>
      <c r="DY13" s="131"/>
      <c r="DZ13" s="146"/>
      <c r="EA13" s="135"/>
      <c r="EB13" s="135"/>
      <c r="EC13" s="135"/>
      <c r="ED13" s="135"/>
      <c r="EE13" s="131"/>
      <c r="EF13" s="135">
        <f t="shared" si="0"/>
        <v>10</v>
      </c>
    </row>
    <row r="14" spans="1:136" x14ac:dyDescent="0.2">
      <c r="A14" s="144">
        <v>11</v>
      </c>
      <c r="B14" s="135"/>
      <c r="C14" s="131"/>
      <c r="D14" s="2"/>
      <c r="E14" s="491"/>
      <c r="F14" s="2"/>
      <c r="G14" s="491"/>
      <c r="H14" s="2"/>
      <c r="I14" s="491"/>
      <c r="J14" s="2"/>
      <c r="K14" s="491"/>
      <c r="L14" s="2"/>
      <c r="M14" s="491"/>
      <c r="N14" s="2"/>
      <c r="O14" s="491"/>
      <c r="P14" s="2"/>
      <c r="Q14" s="491"/>
      <c r="R14" s="495"/>
      <c r="S14" s="491"/>
      <c r="T14" s="140"/>
      <c r="U14" s="491"/>
      <c r="V14" s="140"/>
      <c r="W14" s="491"/>
      <c r="X14" s="138"/>
      <c r="Y14" s="491"/>
      <c r="Z14" s="147"/>
      <c r="AA14" s="491"/>
      <c r="AB14" s="147"/>
      <c r="AC14" s="491"/>
      <c r="AD14" s="147"/>
      <c r="AE14" s="491"/>
      <c r="AF14" s="145"/>
      <c r="AG14" s="491"/>
      <c r="AH14" s="145"/>
      <c r="AI14" s="141"/>
      <c r="AJ14" s="147"/>
      <c r="AK14" s="131"/>
      <c r="AL14" s="147"/>
      <c r="AM14" s="131"/>
      <c r="AN14" s="147"/>
      <c r="AO14" s="131"/>
      <c r="AP14" s="140"/>
      <c r="AQ14" s="131"/>
      <c r="AR14" s="140"/>
      <c r="AS14" s="131"/>
      <c r="AT14" s="140"/>
      <c r="AU14" s="131"/>
      <c r="AV14" s="140"/>
      <c r="AW14" s="131"/>
      <c r="AX14" s="140"/>
      <c r="AY14" s="131"/>
      <c r="AZ14" s="140"/>
      <c r="BA14" s="131"/>
      <c r="BB14" s="146"/>
      <c r="BC14" s="131"/>
      <c r="BD14" s="146"/>
      <c r="BE14" s="131"/>
      <c r="BF14" s="146"/>
      <c r="BG14" s="135"/>
      <c r="BH14" s="135"/>
      <c r="BI14" s="135"/>
      <c r="BJ14" s="135"/>
      <c r="BK14" s="135"/>
      <c r="BL14" s="146"/>
      <c r="BM14" s="135"/>
      <c r="BN14" s="135"/>
      <c r="BO14" s="135"/>
      <c r="BP14" s="135"/>
      <c r="BQ14" s="131"/>
      <c r="BR14" s="146"/>
      <c r="BS14" s="135"/>
      <c r="BT14" s="135"/>
      <c r="BU14" s="135"/>
      <c r="BV14" s="135"/>
      <c r="BW14" s="131"/>
      <c r="BX14" s="146"/>
      <c r="BY14" s="135"/>
      <c r="BZ14" s="135"/>
      <c r="CA14" s="135"/>
      <c r="CB14" s="135"/>
      <c r="CC14" s="131"/>
      <c r="CD14" s="146"/>
      <c r="CE14" s="135"/>
      <c r="CF14" s="135"/>
      <c r="CG14" s="135"/>
      <c r="CH14" s="135"/>
      <c r="CI14" s="131"/>
      <c r="CJ14" s="146"/>
      <c r="CK14" s="135"/>
      <c r="CL14" s="135"/>
      <c r="CM14" s="135"/>
      <c r="CN14" s="135"/>
      <c r="CO14" s="131"/>
      <c r="CP14" s="146"/>
      <c r="CQ14" s="135"/>
      <c r="CR14" s="135"/>
      <c r="CS14" s="135"/>
      <c r="CT14" s="135"/>
      <c r="CU14" s="131"/>
      <c r="CV14" s="146"/>
      <c r="CW14" s="135"/>
      <c r="CX14" s="135"/>
      <c r="CY14" s="135"/>
      <c r="CZ14" s="135"/>
      <c r="DA14" s="131"/>
      <c r="DB14" s="146"/>
      <c r="DC14" s="135"/>
      <c r="DD14" s="135"/>
      <c r="DE14" s="135"/>
      <c r="DF14" s="135"/>
      <c r="DG14" s="131"/>
      <c r="DH14" s="146"/>
      <c r="DI14" s="135"/>
      <c r="DJ14" s="135"/>
      <c r="DK14" s="135"/>
      <c r="DL14" s="135"/>
      <c r="DM14" s="131"/>
      <c r="DN14" s="146"/>
      <c r="DO14" s="135"/>
      <c r="DP14" s="135"/>
      <c r="DQ14" s="135"/>
      <c r="DR14" s="135"/>
      <c r="DS14" s="131"/>
      <c r="DT14" s="146"/>
      <c r="DU14" s="135"/>
      <c r="DV14" s="135"/>
      <c r="DW14" s="135"/>
      <c r="DX14" s="135"/>
      <c r="DY14" s="131"/>
      <c r="DZ14" s="146"/>
      <c r="EA14" s="135"/>
      <c r="EB14" s="135"/>
      <c r="EC14" s="135"/>
      <c r="ED14" s="135"/>
      <c r="EE14" s="131"/>
      <c r="EF14" s="135">
        <f t="shared" si="0"/>
        <v>11</v>
      </c>
    </row>
    <row r="15" spans="1:136" x14ac:dyDescent="0.2">
      <c r="A15" s="144">
        <v>12</v>
      </c>
      <c r="B15" s="135"/>
      <c r="C15" s="131"/>
      <c r="D15" s="2"/>
      <c r="E15" s="491"/>
      <c r="F15" s="2"/>
      <c r="G15" s="491"/>
      <c r="H15" s="2"/>
      <c r="I15" s="491"/>
      <c r="J15" s="2"/>
      <c r="K15" s="491"/>
      <c r="L15" s="2"/>
      <c r="M15" s="491"/>
      <c r="N15" s="2"/>
      <c r="O15" s="491"/>
      <c r="P15" s="2"/>
      <c r="Q15" s="491"/>
      <c r="R15" s="495"/>
      <c r="S15" s="491"/>
      <c r="T15" s="140"/>
      <c r="U15" s="491"/>
      <c r="V15" s="140"/>
      <c r="W15" s="491"/>
      <c r="X15" s="138"/>
      <c r="Y15" s="491"/>
      <c r="Z15" s="147"/>
      <c r="AA15" s="491"/>
      <c r="AB15" s="147"/>
      <c r="AC15" s="491"/>
      <c r="AD15" s="147"/>
      <c r="AE15" s="491"/>
      <c r="AF15" s="145"/>
      <c r="AG15" s="491"/>
      <c r="AH15" s="145"/>
      <c r="AI15" s="141"/>
      <c r="AJ15" s="147"/>
      <c r="AK15" s="131"/>
      <c r="AL15" s="147"/>
      <c r="AM15" s="131"/>
      <c r="AN15" s="147"/>
      <c r="AO15" s="131"/>
      <c r="AP15" s="140"/>
      <c r="AQ15" s="131"/>
      <c r="AR15" s="145"/>
      <c r="AS15" s="131"/>
      <c r="AT15" s="145"/>
      <c r="AU15" s="131"/>
      <c r="AV15" s="145"/>
      <c r="AW15" s="131"/>
      <c r="AX15" s="145"/>
      <c r="AY15" s="131"/>
      <c r="AZ15" s="145"/>
      <c r="BA15" s="131"/>
      <c r="BB15" s="146"/>
      <c r="BC15" s="131"/>
      <c r="BD15" s="146"/>
      <c r="BE15" s="131"/>
      <c r="BF15" s="142"/>
      <c r="BG15" s="135"/>
      <c r="BH15" s="135"/>
      <c r="BI15" s="135"/>
      <c r="BJ15" s="135"/>
      <c r="BK15" s="135"/>
      <c r="BL15" s="146"/>
      <c r="BM15" s="135"/>
      <c r="BN15" s="135"/>
      <c r="BO15" s="135"/>
      <c r="BP15" s="135"/>
      <c r="BQ15" s="131"/>
      <c r="BR15" s="146"/>
      <c r="BS15" s="135"/>
      <c r="BT15" s="135"/>
      <c r="BU15" s="135"/>
      <c r="BV15" s="135"/>
      <c r="BW15" s="131"/>
      <c r="BX15" s="146"/>
      <c r="BY15" s="135"/>
      <c r="BZ15" s="135"/>
      <c r="CA15" s="135"/>
      <c r="CB15" s="135"/>
      <c r="CC15" s="131"/>
      <c r="CD15" s="146"/>
      <c r="CE15" s="135"/>
      <c r="CF15" s="135"/>
      <c r="CG15" s="135"/>
      <c r="CH15" s="135"/>
      <c r="CI15" s="131"/>
      <c r="CJ15" s="146"/>
      <c r="CK15" s="135"/>
      <c r="CL15" s="135"/>
      <c r="CM15" s="135"/>
      <c r="CN15" s="135"/>
      <c r="CO15" s="131"/>
      <c r="CP15" s="146"/>
      <c r="CQ15" s="135"/>
      <c r="CR15" s="135"/>
      <c r="CS15" s="135"/>
      <c r="CT15" s="135"/>
      <c r="CU15" s="131"/>
      <c r="CV15" s="146"/>
      <c r="CW15" s="135"/>
      <c r="CX15" s="135"/>
      <c r="CY15" s="135"/>
      <c r="CZ15" s="135"/>
      <c r="DA15" s="131"/>
      <c r="DB15" s="146"/>
      <c r="DC15" s="135"/>
      <c r="DD15" s="135"/>
      <c r="DE15" s="135"/>
      <c r="DF15" s="135"/>
      <c r="DG15" s="131"/>
      <c r="DH15" s="146"/>
      <c r="DI15" s="135"/>
      <c r="DJ15" s="135"/>
      <c r="DK15" s="135"/>
      <c r="DL15" s="135"/>
      <c r="DM15" s="131"/>
      <c r="DN15" s="146"/>
      <c r="DO15" s="135"/>
      <c r="DP15" s="135"/>
      <c r="DQ15" s="135"/>
      <c r="DR15" s="135"/>
      <c r="DS15" s="131"/>
      <c r="DT15" s="146"/>
      <c r="DU15" s="135"/>
      <c r="DV15" s="135"/>
      <c r="DW15" s="135"/>
      <c r="DX15" s="135"/>
      <c r="DY15" s="131"/>
      <c r="DZ15" s="146"/>
      <c r="EA15" s="135"/>
      <c r="EB15" s="135"/>
      <c r="EC15" s="135"/>
      <c r="ED15" s="135"/>
      <c r="EE15" s="131"/>
      <c r="EF15" s="135">
        <f t="shared" si="0"/>
        <v>12</v>
      </c>
    </row>
    <row r="16" spans="1:136" x14ac:dyDescent="0.2">
      <c r="A16" s="144">
        <v>13</v>
      </c>
      <c r="B16" s="135"/>
      <c r="C16" s="131"/>
      <c r="D16" s="2"/>
      <c r="E16" s="491"/>
      <c r="F16" s="2"/>
      <c r="G16" s="491"/>
      <c r="H16" s="2"/>
      <c r="I16" s="491"/>
      <c r="J16" s="2"/>
      <c r="K16" s="491"/>
      <c r="L16" s="2"/>
      <c r="M16" s="491"/>
      <c r="N16" s="2"/>
      <c r="O16" s="491"/>
      <c r="P16" s="2"/>
      <c r="Q16" s="491"/>
      <c r="R16" s="495"/>
      <c r="S16" s="491"/>
      <c r="T16" s="147"/>
      <c r="U16" s="491"/>
      <c r="V16" s="147"/>
      <c r="W16" s="491"/>
      <c r="X16" s="138"/>
      <c r="Y16" s="491"/>
      <c r="Z16" s="147"/>
      <c r="AA16" s="491"/>
      <c r="AB16" s="147"/>
      <c r="AC16" s="491"/>
      <c r="AD16" s="147"/>
      <c r="AE16" s="491"/>
      <c r="AF16" s="147"/>
      <c r="AG16" s="491"/>
      <c r="AH16" s="145"/>
      <c r="AI16" s="141"/>
      <c r="AJ16" s="147"/>
      <c r="AK16" s="131"/>
      <c r="AL16" s="147"/>
      <c r="AM16" s="131"/>
      <c r="AN16" s="147"/>
      <c r="AO16" s="131"/>
      <c r="AP16" s="140"/>
      <c r="AQ16" s="131"/>
      <c r="AR16" s="145"/>
      <c r="AS16" s="131"/>
      <c r="AT16" s="145"/>
      <c r="AU16" s="131"/>
      <c r="AV16" s="145"/>
      <c r="AW16" s="131"/>
      <c r="AX16" s="145"/>
      <c r="AY16" s="131"/>
      <c r="AZ16" s="145"/>
      <c r="BA16" s="131"/>
      <c r="BB16" s="146"/>
      <c r="BC16" s="131"/>
      <c r="BD16" s="146"/>
      <c r="BE16" s="131"/>
      <c r="BF16" s="142"/>
      <c r="BG16" s="135"/>
      <c r="BH16" s="135"/>
      <c r="BI16" s="135"/>
      <c r="BJ16" s="135"/>
      <c r="BK16" s="135"/>
      <c r="BL16" s="146"/>
      <c r="BM16" s="135"/>
      <c r="BN16" s="135"/>
      <c r="BO16" s="135"/>
      <c r="BP16" s="135"/>
      <c r="BQ16" s="131"/>
      <c r="BR16" s="146"/>
      <c r="BS16" s="135"/>
      <c r="BT16" s="135"/>
      <c r="BU16" s="135"/>
      <c r="BV16" s="135"/>
      <c r="BW16" s="131"/>
      <c r="BX16" s="146"/>
      <c r="BY16" s="135"/>
      <c r="BZ16" s="135"/>
      <c r="CA16" s="135"/>
      <c r="CB16" s="135"/>
      <c r="CC16" s="131"/>
      <c r="CD16" s="146"/>
      <c r="CE16" s="135"/>
      <c r="CF16" s="135"/>
      <c r="CG16" s="135"/>
      <c r="CH16" s="135"/>
      <c r="CI16" s="131"/>
      <c r="CJ16" s="146"/>
      <c r="CK16" s="135"/>
      <c r="CL16" s="135"/>
      <c r="CM16" s="135"/>
      <c r="CN16" s="135"/>
      <c r="CO16" s="131"/>
      <c r="CP16" s="146"/>
      <c r="CQ16" s="135"/>
      <c r="CR16" s="135"/>
      <c r="CS16" s="135"/>
      <c r="CT16" s="135"/>
      <c r="CU16" s="131"/>
      <c r="CV16" s="146"/>
      <c r="CW16" s="135"/>
      <c r="CX16" s="135"/>
      <c r="CY16" s="135"/>
      <c r="CZ16" s="135"/>
      <c r="DA16" s="131"/>
      <c r="DB16" s="146"/>
      <c r="DC16" s="135"/>
      <c r="DD16" s="135"/>
      <c r="DE16" s="135"/>
      <c r="DF16" s="135"/>
      <c r="DG16" s="131"/>
      <c r="DH16" s="146"/>
      <c r="DI16" s="135"/>
      <c r="DJ16" s="135"/>
      <c r="DK16" s="135"/>
      <c r="DL16" s="135"/>
      <c r="DM16" s="131"/>
      <c r="DN16" s="146"/>
      <c r="DO16" s="135"/>
      <c r="DP16" s="135"/>
      <c r="DQ16" s="135"/>
      <c r="DR16" s="135"/>
      <c r="DS16" s="131"/>
      <c r="DT16" s="146"/>
      <c r="DU16" s="135"/>
      <c r="DV16" s="135"/>
      <c r="DW16" s="135"/>
      <c r="DX16" s="135"/>
      <c r="DY16" s="131"/>
      <c r="DZ16" s="146"/>
      <c r="EA16" s="135"/>
      <c r="EB16" s="135"/>
      <c r="EC16" s="135"/>
      <c r="ED16" s="135"/>
      <c r="EE16" s="131"/>
      <c r="EF16" s="135">
        <f t="shared" si="0"/>
        <v>13</v>
      </c>
    </row>
    <row r="17" spans="1:138" x14ac:dyDescent="0.2">
      <c r="A17" s="144">
        <v>14</v>
      </c>
      <c r="B17" s="135"/>
      <c r="C17" s="131"/>
      <c r="D17" s="2"/>
      <c r="E17" s="491"/>
      <c r="F17" s="2"/>
      <c r="G17" s="491"/>
      <c r="H17" s="2"/>
      <c r="I17" s="491"/>
      <c r="J17" s="2"/>
      <c r="K17" s="491"/>
      <c r="L17" s="2"/>
      <c r="M17" s="491"/>
      <c r="N17" s="2"/>
      <c r="O17" s="491"/>
      <c r="P17" s="2"/>
      <c r="Q17" s="491"/>
      <c r="R17" s="2"/>
      <c r="S17" s="491"/>
      <c r="T17" s="148"/>
      <c r="U17" s="491"/>
      <c r="V17" s="148"/>
      <c r="W17" s="491"/>
      <c r="X17" s="149"/>
      <c r="Y17" s="491"/>
      <c r="Z17" s="148"/>
      <c r="AA17" s="491"/>
      <c r="AB17" s="148"/>
      <c r="AC17" s="491"/>
      <c r="AD17" s="148"/>
      <c r="AE17" s="491"/>
      <c r="AF17" s="148"/>
      <c r="AG17" s="491"/>
      <c r="AH17" s="145"/>
      <c r="AI17" s="141"/>
      <c r="AJ17" s="148"/>
      <c r="AK17" s="131"/>
      <c r="AL17" s="147"/>
      <c r="AM17" s="131"/>
      <c r="AN17" s="147"/>
      <c r="AO17" s="131"/>
      <c r="AP17" s="140"/>
      <c r="AQ17" s="131"/>
      <c r="AR17" s="145"/>
      <c r="AS17" s="131"/>
      <c r="AT17" s="145"/>
      <c r="AU17" s="131"/>
      <c r="AV17" s="145"/>
      <c r="AW17" s="131"/>
      <c r="AX17" s="145"/>
      <c r="AY17" s="131"/>
      <c r="AZ17" s="145"/>
      <c r="BA17" s="131"/>
      <c r="BB17" s="146"/>
      <c r="BC17" s="131"/>
      <c r="BD17" s="146"/>
      <c r="BE17" s="131"/>
      <c r="BF17" s="146"/>
      <c r="BG17" s="135"/>
      <c r="BH17" s="135"/>
      <c r="BI17" s="135"/>
      <c r="BJ17" s="135"/>
      <c r="BK17" s="135"/>
      <c r="BL17" s="146"/>
      <c r="BM17" s="135"/>
      <c r="BN17" s="135"/>
      <c r="BO17" s="135"/>
      <c r="BP17" s="135"/>
      <c r="BQ17" s="131"/>
      <c r="BR17" s="146"/>
      <c r="BS17" s="135"/>
      <c r="BT17" s="135"/>
      <c r="BU17" s="135"/>
      <c r="BV17" s="135"/>
      <c r="BW17" s="131"/>
      <c r="BX17" s="146"/>
      <c r="BY17" s="135"/>
      <c r="BZ17" s="135"/>
      <c r="CA17" s="135"/>
      <c r="CB17" s="135"/>
      <c r="CC17" s="131"/>
      <c r="CD17" s="146"/>
      <c r="CE17" s="135"/>
      <c r="CF17" s="135"/>
      <c r="CG17" s="135"/>
      <c r="CH17" s="135"/>
      <c r="CI17" s="131"/>
      <c r="CJ17" s="146"/>
      <c r="CK17" s="135"/>
      <c r="CL17" s="135"/>
      <c r="CM17" s="135"/>
      <c r="CN17" s="135"/>
      <c r="CO17" s="131"/>
      <c r="CP17" s="146"/>
      <c r="CQ17" s="135"/>
      <c r="CR17" s="135"/>
      <c r="CS17" s="135"/>
      <c r="CT17" s="135"/>
      <c r="CU17" s="131"/>
      <c r="CV17" s="146"/>
      <c r="CW17" s="135"/>
      <c r="CX17" s="135"/>
      <c r="CY17" s="135"/>
      <c r="CZ17" s="135"/>
      <c r="DA17" s="131"/>
      <c r="DB17" s="146"/>
      <c r="DC17" s="135"/>
      <c r="DD17" s="135"/>
      <c r="DE17" s="135"/>
      <c r="DF17" s="135"/>
      <c r="DG17" s="131"/>
      <c r="DH17" s="146"/>
      <c r="DI17" s="135"/>
      <c r="DJ17" s="135"/>
      <c r="DK17" s="135"/>
      <c r="DL17" s="135"/>
      <c r="DM17" s="131"/>
      <c r="DN17" s="146"/>
      <c r="DO17" s="135"/>
      <c r="DP17" s="135"/>
      <c r="DQ17" s="135"/>
      <c r="DR17" s="135"/>
      <c r="DS17" s="131"/>
      <c r="DT17" s="146"/>
      <c r="DU17" s="135"/>
      <c r="DV17" s="135"/>
      <c r="DW17" s="135"/>
      <c r="DX17" s="135"/>
      <c r="DY17" s="131"/>
      <c r="DZ17" s="146"/>
      <c r="EA17" s="135"/>
      <c r="EB17" s="135"/>
      <c r="EC17" s="135"/>
      <c r="ED17" s="135"/>
      <c r="EE17" s="131"/>
      <c r="EF17" s="135">
        <f t="shared" si="0"/>
        <v>14</v>
      </c>
    </row>
    <row r="18" spans="1:138" x14ac:dyDescent="0.2">
      <c r="A18" s="144">
        <v>15</v>
      </c>
      <c r="B18" s="135"/>
      <c r="C18" s="131"/>
      <c r="D18" s="148"/>
      <c r="E18" s="491"/>
      <c r="F18" s="148"/>
      <c r="G18" s="491"/>
      <c r="H18" s="148"/>
      <c r="I18" s="491"/>
      <c r="J18" s="148"/>
      <c r="K18" s="491"/>
      <c r="L18" s="148"/>
      <c r="M18" s="491"/>
      <c r="N18" s="148"/>
      <c r="O18" s="491"/>
      <c r="P18" s="148"/>
      <c r="Q18" s="491"/>
      <c r="R18" s="148"/>
      <c r="S18" s="491"/>
      <c r="T18" s="148"/>
      <c r="U18" s="491"/>
      <c r="V18" s="148"/>
      <c r="W18" s="491"/>
      <c r="X18" s="149"/>
      <c r="Y18" s="491"/>
      <c r="Z18" s="148"/>
      <c r="AA18" s="491"/>
      <c r="AB18" s="148"/>
      <c r="AC18" s="491"/>
      <c r="AD18" s="148"/>
      <c r="AE18" s="491"/>
      <c r="AF18" s="148"/>
      <c r="AG18" s="491"/>
      <c r="AH18" s="148"/>
      <c r="AI18" s="141"/>
      <c r="AJ18" s="148"/>
      <c r="AK18" s="131"/>
      <c r="AL18" s="147"/>
      <c r="AM18" s="131"/>
      <c r="AN18" s="147"/>
      <c r="AO18" s="131"/>
      <c r="AP18" s="147"/>
      <c r="AQ18" s="131"/>
      <c r="AR18" s="145"/>
      <c r="AS18" s="131"/>
      <c r="AT18" s="145"/>
      <c r="AU18" s="131"/>
      <c r="AV18" s="145"/>
      <c r="AW18" s="131"/>
      <c r="AX18" s="145"/>
      <c r="AY18" s="131"/>
      <c r="AZ18" s="145"/>
      <c r="BA18" s="131"/>
      <c r="BB18" s="146"/>
      <c r="BC18" s="131"/>
      <c r="BD18" s="146"/>
      <c r="BE18" s="131"/>
      <c r="BF18" s="146"/>
      <c r="BG18" s="135"/>
      <c r="BH18" s="135"/>
      <c r="BI18" s="135"/>
      <c r="BJ18" s="135"/>
      <c r="BK18" s="135"/>
      <c r="BL18" s="146"/>
      <c r="BM18" s="135"/>
      <c r="BN18" s="135"/>
      <c r="BO18" s="135"/>
      <c r="BP18" s="135"/>
      <c r="BQ18" s="131"/>
      <c r="BR18" s="146"/>
      <c r="BS18" s="135"/>
      <c r="BT18" s="135"/>
      <c r="BU18" s="135"/>
      <c r="BV18" s="135"/>
      <c r="BW18" s="131"/>
      <c r="BX18" s="146"/>
      <c r="BY18" s="135"/>
      <c r="BZ18" s="135"/>
      <c r="CA18" s="135"/>
      <c r="CB18" s="135"/>
      <c r="CC18" s="131"/>
      <c r="CD18" s="146"/>
      <c r="CE18" s="135"/>
      <c r="CF18" s="135"/>
      <c r="CG18" s="135"/>
      <c r="CH18" s="135"/>
      <c r="CI18" s="131"/>
      <c r="CJ18" s="146"/>
      <c r="CK18" s="135"/>
      <c r="CL18" s="135"/>
      <c r="CM18" s="135"/>
      <c r="CN18" s="135"/>
      <c r="CO18" s="131"/>
      <c r="CP18" s="146"/>
      <c r="CQ18" s="135"/>
      <c r="CR18" s="135"/>
      <c r="CS18" s="135"/>
      <c r="CT18" s="135"/>
      <c r="CU18" s="131"/>
      <c r="CV18" s="146"/>
      <c r="CW18" s="135"/>
      <c r="CX18" s="135"/>
      <c r="CY18" s="135"/>
      <c r="CZ18" s="135"/>
      <c r="DA18" s="131"/>
      <c r="DB18" s="146"/>
      <c r="DC18" s="135"/>
      <c r="DD18" s="135"/>
      <c r="DE18" s="135"/>
      <c r="DF18" s="135"/>
      <c r="DG18" s="131"/>
      <c r="DH18" s="146"/>
      <c r="DI18" s="135"/>
      <c r="DJ18" s="135"/>
      <c r="DK18" s="135"/>
      <c r="DL18" s="135"/>
      <c r="DM18" s="131"/>
      <c r="DN18" s="146"/>
      <c r="DO18" s="135"/>
      <c r="DP18" s="135"/>
      <c r="DQ18" s="135"/>
      <c r="DR18" s="135"/>
      <c r="DS18" s="131"/>
      <c r="DT18" s="146"/>
      <c r="DU18" s="135"/>
      <c r="DV18" s="135"/>
      <c r="DW18" s="135"/>
      <c r="DX18" s="135"/>
      <c r="DY18" s="131"/>
      <c r="DZ18" s="146"/>
      <c r="EA18" s="135"/>
      <c r="EB18" s="135"/>
      <c r="EC18" s="135"/>
      <c r="ED18" s="135"/>
      <c r="EE18" s="131"/>
      <c r="EF18" s="135">
        <f t="shared" si="0"/>
        <v>15</v>
      </c>
    </row>
    <row r="19" spans="1:138" x14ac:dyDescent="0.2">
      <c r="A19" s="144">
        <v>16</v>
      </c>
      <c r="B19" s="135"/>
      <c r="C19" s="131"/>
      <c r="D19" s="148"/>
      <c r="E19" s="491"/>
      <c r="F19" s="148"/>
      <c r="G19" s="491"/>
      <c r="H19" s="148"/>
      <c r="I19" s="491"/>
      <c r="J19" s="148"/>
      <c r="K19" s="491"/>
      <c r="L19" s="148"/>
      <c r="M19" s="491"/>
      <c r="N19" s="148"/>
      <c r="O19" s="491"/>
      <c r="P19" s="148"/>
      <c r="Q19" s="491"/>
      <c r="R19" s="148"/>
      <c r="S19" s="491"/>
      <c r="T19" s="148"/>
      <c r="U19" s="491"/>
      <c r="V19" s="148"/>
      <c r="W19" s="491"/>
      <c r="X19" s="149"/>
      <c r="Y19" s="491"/>
      <c r="Z19" s="148"/>
      <c r="AA19" s="491"/>
      <c r="AB19" s="148"/>
      <c r="AC19" s="491"/>
      <c r="AD19" s="148"/>
      <c r="AE19" s="491"/>
      <c r="AF19" s="148"/>
      <c r="AG19" s="491"/>
      <c r="AH19" s="148"/>
      <c r="AI19" s="141"/>
      <c r="AJ19" s="148"/>
      <c r="AK19" s="131"/>
      <c r="AL19" s="147"/>
      <c r="AM19" s="131"/>
      <c r="AN19" s="147"/>
      <c r="AO19" s="131"/>
      <c r="AP19" s="147"/>
      <c r="AQ19" s="131"/>
      <c r="AR19" s="495"/>
      <c r="AS19" s="131"/>
      <c r="AT19" s="495"/>
      <c r="AU19" s="131"/>
      <c r="AV19" s="145"/>
      <c r="AW19" s="131"/>
      <c r="AX19" s="145"/>
      <c r="AY19" s="131"/>
      <c r="AZ19" s="145"/>
      <c r="BA19" s="131"/>
      <c r="BB19" s="146"/>
      <c r="BC19" s="131"/>
      <c r="BD19" s="142"/>
      <c r="BE19" s="131"/>
      <c r="BF19" s="146"/>
      <c r="BG19" s="135"/>
      <c r="BH19" s="135"/>
      <c r="BI19" s="135"/>
      <c r="BJ19" s="135"/>
      <c r="BK19" s="135"/>
      <c r="BL19" s="146"/>
      <c r="BM19" s="135"/>
      <c r="BN19" s="135"/>
      <c r="BO19" s="135"/>
      <c r="BP19" s="135"/>
      <c r="BQ19" s="131"/>
      <c r="BR19" s="146"/>
      <c r="BS19" s="135"/>
      <c r="BT19" s="135"/>
      <c r="BU19" s="135"/>
      <c r="BV19" s="135"/>
      <c r="BW19" s="131"/>
      <c r="BX19" s="146"/>
      <c r="BY19" s="135"/>
      <c r="BZ19" s="135"/>
      <c r="CA19" s="135"/>
      <c r="CB19" s="135"/>
      <c r="CC19" s="131"/>
      <c r="CD19" s="146"/>
      <c r="CE19" s="135"/>
      <c r="CF19" s="135"/>
      <c r="CG19" s="135"/>
      <c r="CH19" s="135"/>
      <c r="CI19" s="131"/>
      <c r="CJ19" s="146"/>
      <c r="CK19" s="135"/>
      <c r="CL19" s="135"/>
      <c r="CM19" s="135"/>
      <c r="CN19" s="135"/>
      <c r="CO19" s="131"/>
      <c r="CP19" s="146"/>
      <c r="CQ19" s="135"/>
      <c r="CR19" s="135"/>
      <c r="CS19" s="135"/>
      <c r="CT19" s="135"/>
      <c r="CU19" s="131"/>
      <c r="CV19" s="146"/>
      <c r="CW19" s="135"/>
      <c r="CX19" s="135"/>
      <c r="CY19" s="135"/>
      <c r="CZ19" s="135"/>
      <c r="DA19" s="131"/>
      <c r="DB19" s="146"/>
      <c r="DC19" s="135"/>
      <c r="DD19" s="135"/>
      <c r="DE19" s="135"/>
      <c r="DF19" s="135"/>
      <c r="DG19" s="131"/>
      <c r="DH19" s="146"/>
      <c r="DI19" s="135"/>
      <c r="DJ19" s="135"/>
      <c r="DK19" s="135"/>
      <c r="DL19" s="135"/>
      <c r="DM19" s="131"/>
      <c r="DN19" s="146"/>
      <c r="DO19" s="135"/>
      <c r="DP19" s="135"/>
      <c r="DQ19" s="135"/>
      <c r="DR19" s="135"/>
      <c r="DS19" s="131"/>
      <c r="DT19" s="146"/>
      <c r="DU19" s="135"/>
      <c r="DV19" s="135"/>
      <c r="DW19" s="135"/>
      <c r="DX19" s="135"/>
      <c r="DY19" s="131"/>
      <c r="DZ19" s="146"/>
      <c r="EA19" s="135"/>
      <c r="EB19" s="135"/>
      <c r="EC19" s="135"/>
      <c r="ED19" s="135"/>
      <c r="EE19" s="131"/>
      <c r="EF19" s="135">
        <f t="shared" si="0"/>
        <v>16</v>
      </c>
    </row>
    <row r="20" spans="1:138" x14ac:dyDescent="0.2">
      <c r="A20" s="150">
        <v>17</v>
      </c>
      <c r="B20" s="134"/>
      <c r="C20" s="133"/>
      <c r="D20" s="151"/>
      <c r="E20" s="91"/>
      <c r="F20" s="151"/>
      <c r="G20" s="91"/>
      <c r="H20" s="151"/>
      <c r="I20" s="91"/>
      <c r="J20" s="151"/>
      <c r="K20" s="91"/>
      <c r="L20" s="151"/>
      <c r="M20" s="91"/>
      <c r="N20" s="151"/>
      <c r="O20" s="91"/>
      <c r="P20" s="151"/>
      <c r="Q20" s="91"/>
      <c r="R20" s="151"/>
      <c r="S20" s="91"/>
      <c r="T20" s="151"/>
      <c r="U20" s="91"/>
      <c r="V20" s="151"/>
      <c r="W20" s="91"/>
      <c r="X20" s="152"/>
      <c r="Y20" s="91"/>
      <c r="Z20" s="151"/>
      <c r="AA20" s="91"/>
      <c r="AB20" s="151"/>
      <c r="AC20" s="91"/>
      <c r="AD20" s="151"/>
      <c r="AE20" s="91"/>
      <c r="AF20" s="151"/>
      <c r="AG20" s="91"/>
      <c r="AH20" s="151"/>
      <c r="AI20" s="153"/>
      <c r="AJ20" s="151"/>
      <c r="AK20" s="133"/>
      <c r="AL20" s="154"/>
      <c r="AM20" s="133"/>
      <c r="AN20" s="154"/>
      <c r="AO20" s="133"/>
      <c r="AP20" s="154"/>
      <c r="AQ20" s="133"/>
      <c r="AR20" s="9"/>
      <c r="AS20" s="133"/>
      <c r="AT20" s="9"/>
      <c r="AU20" s="133"/>
      <c r="AV20" s="9"/>
      <c r="AW20" s="133"/>
      <c r="AX20" s="155"/>
      <c r="AY20" s="133"/>
      <c r="AZ20" s="9"/>
      <c r="BA20" s="133"/>
      <c r="BB20" s="132"/>
      <c r="BC20" s="133"/>
      <c r="BD20" s="134"/>
      <c r="BE20" s="133"/>
      <c r="BF20" s="146"/>
      <c r="BG20" s="135"/>
      <c r="BH20" s="135"/>
      <c r="BI20" s="135"/>
      <c r="BJ20" s="135"/>
      <c r="BK20" s="135"/>
      <c r="BL20" s="134"/>
      <c r="BM20" s="132"/>
      <c r="BN20" s="132"/>
      <c r="BO20" s="132"/>
      <c r="BP20" s="132"/>
      <c r="BQ20" s="133"/>
      <c r="BR20" s="134"/>
      <c r="BS20" s="132"/>
      <c r="BT20" s="132"/>
      <c r="BU20" s="132"/>
      <c r="BV20" s="132"/>
      <c r="BW20" s="133"/>
      <c r="BX20" s="134"/>
      <c r="BY20" s="132"/>
      <c r="BZ20" s="132"/>
      <c r="CA20" s="132"/>
      <c r="CB20" s="132"/>
      <c r="CC20" s="133"/>
      <c r="CD20" s="134"/>
      <c r="CE20" s="132"/>
      <c r="CF20" s="132"/>
      <c r="CG20" s="132"/>
      <c r="CH20" s="132"/>
      <c r="CI20" s="133"/>
      <c r="CJ20" s="134"/>
      <c r="CK20" s="132"/>
      <c r="CL20" s="132"/>
      <c r="CM20" s="132"/>
      <c r="CN20" s="132"/>
      <c r="CO20" s="133"/>
      <c r="CP20" s="134"/>
      <c r="CQ20" s="132"/>
      <c r="CR20" s="132"/>
      <c r="CS20" s="132"/>
      <c r="CT20" s="132"/>
      <c r="CU20" s="133"/>
      <c r="CV20" s="134"/>
      <c r="CW20" s="132"/>
      <c r="CX20" s="132"/>
      <c r="CY20" s="132"/>
      <c r="CZ20" s="132"/>
      <c r="DA20" s="133"/>
      <c r="DB20" s="134"/>
      <c r="DC20" s="132"/>
      <c r="DD20" s="132"/>
      <c r="DE20" s="132"/>
      <c r="DF20" s="132"/>
      <c r="DG20" s="133"/>
      <c r="DH20" s="134"/>
      <c r="DI20" s="132"/>
      <c r="DJ20" s="132"/>
      <c r="DK20" s="132"/>
      <c r="DL20" s="132"/>
      <c r="DM20" s="133"/>
      <c r="DN20" s="134"/>
      <c r="DO20" s="132"/>
      <c r="DP20" s="132"/>
      <c r="DQ20" s="132"/>
      <c r="DR20" s="132"/>
      <c r="DS20" s="133"/>
      <c r="DT20" s="134"/>
      <c r="DU20" s="132"/>
      <c r="DV20" s="132"/>
      <c r="DW20" s="132"/>
      <c r="DX20" s="132"/>
      <c r="DY20" s="133"/>
      <c r="DZ20" s="134"/>
      <c r="EA20" s="132"/>
      <c r="EB20" s="132"/>
      <c r="EC20" s="132"/>
      <c r="ED20" s="132"/>
      <c r="EE20" s="133"/>
      <c r="EF20" s="135">
        <f t="shared" si="0"/>
        <v>17</v>
      </c>
    </row>
    <row r="21" spans="1:138" x14ac:dyDescent="0.2">
      <c r="A21" s="156">
        <v>18</v>
      </c>
      <c r="B21" s="138"/>
      <c r="C21" s="491"/>
      <c r="D21" s="138"/>
      <c r="E21" s="491"/>
      <c r="F21" s="138"/>
      <c r="G21" s="491"/>
      <c r="H21" s="138"/>
      <c r="I21" s="491"/>
      <c r="J21" s="138"/>
      <c r="K21" s="491"/>
      <c r="L21" s="138"/>
      <c r="M21" s="491"/>
      <c r="N21" s="138"/>
      <c r="O21" s="491"/>
      <c r="P21" s="138"/>
      <c r="Q21" s="491"/>
      <c r="R21" s="138"/>
      <c r="S21" s="491"/>
      <c r="T21" s="138"/>
      <c r="U21" s="491"/>
      <c r="V21" s="138"/>
      <c r="W21" s="491"/>
      <c r="X21" s="138"/>
      <c r="Y21" s="157"/>
      <c r="Z21" s="138"/>
      <c r="AA21" s="157"/>
      <c r="AB21" s="138"/>
      <c r="AC21" s="491"/>
      <c r="AD21" s="138"/>
      <c r="AE21" s="491"/>
      <c r="AF21" s="138"/>
      <c r="AG21" s="491"/>
      <c r="AH21" s="138"/>
      <c r="AI21" s="141"/>
      <c r="AJ21" s="138"/>
      <c r="AK21" s="131"/>
      <c r="AL21" s="158"/>
      <c r="AM21" s="131"/>
      <c r="AN21" s="495"/>
      <c r="AO21" s="131"/>
      <c r="AP21" s="495"/>
      <c r="AQ21" s="131"/>
      <c r="AR21" s="495"/>
      <c r="AS21" s="131"/>
      <c r="AT21" s="495"/>
      <c r="AU21" s="131"/>
      <c r="AV21" s="495"/>
      <c r="AW21" s="131"/>
      <c r="AX21" s="140"/>
      <c r="AY21" s="131"/>
      <c r="AZ21" s="135"/>
      <c r="BA21" s="131"/>
      <c r="BB21" s="146"/>
      <c r="BC21" s="131"/>
      <c r="BD21" s="499"/>
      <c r="BE21" s="253"/>
      <c r="BF21" s="499"/>
      <c r="BG21" s="253"/>
      <c r="BH21" s="253"/>
      <c r="BI21" s="253"/>
      <c r="BJ21" s="253"/>
      <c r="BK21" s="253"/>
      <c r="BL21" s="143"/>
      <c r="BM21" s="253"/>
      <c r="BN21" s="253"/>
      <c r="BO21" s="253"/>
      <c r="BP21" s="253"/>
      <c r="BQ21" s="139"/>
      <c r="BR21" s="143"/>
      <c r="BS21" s="253"/>
      <c r="BT21" s="253"/>
      <c r="BU21" s="253"/>
      <c r="BV21" s="253"/>
      <c r="BW21" s="139"/>
      <c r="BX21" s="143"/>
      <c r="BY21" s="253"/>
      <c r="BZ21" s="253"/>
      <c r="CA21" s="253"/>
      <c r="CB21" s="253"/>
      <c r="CC21" s="139"/>
      <c r="CD21" s="143"/>
      <c r="CE21" s="253"/>
      <c r="CF21" s="253"/>
      <c r="CG21" s="253"/>
      <c r="CH21" s="253"/>
      <c r="CI21" s="139"/>
      <c r="CJ21" s="143"/>
      <c r="CK21" s="253"/>
      <c r="CL21" s="253"/>
      <c r="CM21" s="253"/>
      <c r="CN21" s="253"/>
      <c r="CO21" s="139"/>
      <c r="CP21" s="143"/>
      <c r="CQ21" s="253"/>
      <c r="CR21" s="253"/>
      <c r="CS21" s="253"/>
      <c r="CT21" s="253"/>
      <c r="CU21" s="139"/>
      <c r="CV21" s="143"/>
      <c r="CW21" s="253"/>
      <c r="CX21" s="253"/>
      <c r="CY21" s="253"/>
      <c r="CZ21" s="253"/>
      <c r="DA21" s="139"/>
      <c r="DB21" s="143"/>
      <c r="DC21" s="253"/>
      <c r="DD21" s="253"/>
      <c r="DE21" s="253"/>
      <c r="DF21" s="253"/>
      <c r="DG21" s="139"/>
      <c r="DH21" s="143"/>
      <c r="DI21" s="253"/>
      <c r="DJ21" s="253"/>
      <c r="DK21" s="253"/>
      <c r="DL21" s="253"/>
      <c r="DM21" s="139"/>
      <c r="DN21" s="143"/>
      <c r="DO21" s="253"/>
      <c r="DP21" s="253"/>
      <c r="DQ21" s="253"/>
      <c r="DR21" s="253"/>
      <c r="DS21" s="139"/>
      <c r="DT21" s="143"/>
      <c r="DU21" s="253"/>
      <c r="DV21" s="253"/>
      <c r="DW21" s="253"/>
      <c r="DX21" s="253"/>
      <c r="DY21" s="139"/>
      <c r="DZ21" s="143"/>
      <c r="EA21" s="253"/>
      <c r="EB21" s="253"/>
      <c r="EC21" s="253"/>
      <c r="ED21" s="253"/>
      <c r="EE21" s="139"/>
      <c r="EF21" s="135">
        <f t="shared" si="0"/>
        <v>18</v>
      </c>
      <c r="EH21" s="210"/>
    </row>
    <row r="22" spans="1:138" x14ac:dyDescent="0.2">
      <c r="A22" s="159">
        <v>19</v>
      </c>
      <c r="B22" s="138"/>
      <c r="C22" s="491"/>
      <c r="D22" s="138"/>
      <c r="E22" s="491"/>
      <c r="F22" s="138"/>
      <c r="G22" s="491"/>
      <c r="H22" s="138"/>
      <c r="I22" s="491"/>
      <c r="J22" s="138"/>
      <c r="K22" s="491"/>
      <c r="L22" s="138"/>
      <c r="M22" s="491"/>
      <c r="N22" s="138"/>
      <c r="O22" s="491"/>
      <c r="P22" s="138"/>
      <c r="Q22" s="491"/>
      <c r="R22" s="138"/>
      <c r="S22" s="491"/>
      <c r="T22" s="138"/>
      <c r="U22" s="491"/>
      <c r="V22" s="138"/>
      <c r="W22" s="491"/>
      <c r="X22" s="138"/>
      <c r="Y22" s="157"/>
      <c r="Z22" s="138"/>
      <c r="AA22" s="157"/>
      <c r="AB22" s="138"/>
      <c r="AC22" s="491"/>
      <c r="AD22" s="138"/>
      <c r="AE22" s="491"/>
      <c r="AF22" s="138"/>
      <c r="AG22" s="491"/>
      <c r="AH22" s="138"/>
      <c r="AI22" s="141"/>
      <c r="AJ22" s="138"/>
      <c r="AK22" s="131"/>
      <c r="AL22" s="158"/>
      <c r="AM22" s="131"/>
      <c r="AN22" s="495"/>
      <c r="AO22" s="131"/>
      <c r="AP22" s="495"/>
      <c r="AQ22" s="131"/>
      <c r="AR22" s="495"/>
      <c r="AS22" s="131"/>
      <c r="AT22" s="495"/>
      <c r="AU22" s="131"/>
      <c r="AV22" s="495"/>
      <c r="AW22" s="131"/>
      <c r="AX22" s="140"/>
      <c r="AY22" s="131"/>
      <c r="AZ22" s="160"/>
      <c r="BA22" s="131"/>
      <c r="BB22" s="160"/>
      <c r="BC22" s="131"/>
      <c r="BD22" s="160"/>
      <c r="BE22" s="135"/>
      <c r="BF22" s="142"/>
      <c r="BG22" s="135"/>
      <c r="BH22" s="135"/>
      <c r="BI22" s="135"/>
      <c r="BJ22" s="135"/>
      <c r="BK22" s="135"/>
      <c r="BL22" s="142"/>
      <c r="BM22" s="135"/>
      <c r="BN22" s="135"/>
      <c r="BO22" s="135"/>
      <c r="BP22" s="135"/>
      <c r="BQ22" s="131"/>
      <c r="BR22" s="146"/>
      <c r="BS22" s="135"/>
      <c r="BT22" s="135"/>
      <c r="BU22" s="135"/>
      <c r="BV22" s="135"/>
      <c r="BW22" s="131"/>
      <c r="BX22" s="146"/>
      <c r="BY22" s="135"/>
      <c r="BZ22" s="135"/>
      <c r="CA22" s="135"/>
      <c r="CB22" s="135"/>
      <c r="CC22" s="131"/>
      <c r="CD22" s="146"/>
      <c r="CE22" s="135"/>
      <c r="CF22" s="135"/>
      <c r="CG22" s="135"/>
      <c r="CH22" s="135"/>
      <c r="CI22" s="131"/>
      <c r="CJ22" s="146"/>
      <c r="CK22" s="135"/>
      <c r="CL22" s="135"/>
      <c r="CM22" s="135"/>
      <c r="CN22" s="135"/>
      <c r="CO22" s="131"/>
      <c r="CP22" s="146"/>
      <c r="CQ22" s="135"/>
      <c r="CR22" s="135"/>
      <c r="CS22" s="135"/>
      <c r="CT22" s="135"/>
      <c r="CU22" s="131"/>
      <c r="CV22" s="146"/>
      <c r="CW22" s="135"/>
      <c r="CX22" s="135"/>
      <c r="CY22" s="135"/>
      <c r="CZ22" s="135"/>
      <c r="DA22" s="131"/>
      <c r="DB22" s="146"/>
      <c r="DC22" s="135"/>
      <c r="DD22" s="135"/>
      <c r="DE22" s="135"/>
      <c r="DF22" s="135"/>
      <c r="DG22" s="131"/>
      <c r="DH22" s="146"/>
      <c r="DI22" s="135"/>
      <c r="DJ22" s="135"/>
      <c r="DK22" s="135"/>
      <c r="DL22" s="135"/>
      <c r="DM22" s="131"/>
      <c r="DN22" s="146"/>
      <c r="DO22" s="135"/>
      <c r="DP22" s="135"/>
      <c r="DQ22" s="135"/>
      <c r="DR22" s="135"/>
      <c r="DS22" s="131"/>
      <c r="DT22" s="146"/>
      <c r="DU22" s="135"/>
      <c r="DV22" s="135"/>
      <c r="DW22" s="135"/>
      <c r="DX22" s="135"/>
      <c r="DY22" s="131"/>
      <c r="DZ22" s="146"/>
      <c r="EA22" s="135"/>
      <c r="EB22" s="135"/>
      <c r="EC22" s="135"/>
      <c r="ED22" s="135"/>
      <c r="EE22" s="131"/>
      <c r="EF22" s="135">
        <f t="shared" si="0"/>
        <v>19</v>
      </c>
      <c r="EH22" s="210"/>
    </row>
    <row r="23" spans="1:138" x14ac:dyDescent="0.2">
      <c r="A23" s="159">
        <v>20</v>
      </c>
      <c r="B23" s="138"/>
      <c r="C23" s="491"/>
      <c r="D23" s="138"/>
      <c r="E23" s="491"/>
      <c r="F23" s="138"/>
      <c r="G23" s="491"/>
      <c r="H23" s="138"/>
      <c r="I23" s="491"/>
      <c r="J23" s="138"/>
      <c r="K23" s="491"/>
      <c r="L23" s="138"/>
      <c r="M23" s="491"/>
      <c r="N23" s="138"/>
      <c r="O23" s="491"/>
      <c r="P23" s="138"/>
      <c r="Q23" s="491"/>
      <c r="R23" s="138"/>
      <c r="S23" s="491"/>
      <c r="T23" s="138"/>
      <c r="U23" s="491"/>
      <c r="V23" s="138"/>
      <c r="W23" s="491"/>
      <c r="X23" s="138"/>
      <c r="Y23" s="157"/>
      <c r="Z23" s="138"/>
      <c r="AA23" s="157"/>
      <c r="AB23" s="138"/>
      <c r="AC23" s="491"/>
      <c r="AD23" s="138"/>
      <c r="AE23" s="491"/>
      <c r="AF23" s="138"/>
      <c r="AG23" s="491"/>
      <c r="AH23" s="138"/>
      <c r="AI23" s="141"/>
      <c r="AJ23" s="138"/>
      <c r="AK23" s="131"/>
      <c r="AL23" s="158"/>
      <c r="AM23" s="131"/>
      <c r="AN23" s="495"/>
      <c r="AO23" s="131"/>
      <c r="AP23" s="495"/>
      <c r="AQ23" s="131"/>
      <c r="AR23" s="495"/>
      <c r="AS23" s="131"/>
      <c r="AT23" s="495"/>
      <c r="AU23" s="131"/>
      <c r="AV23" s="495"/>
      <c r="AW23" s="131"/>
      <c r="AX23" s="140"/>
      <c r="AY23" s="131"/>
      <c r="AZ23" s="160"/>
      <c r="BA23" s="131"/>
      <c r="BB23" s="160"/>
      <c r="BC23" s="131"/>
      <c r="BD23" s="142"/>
      <c r="BE23" s="135"/>
      <c r="BF23" s="142"/>
      <c r="BG23" s="135"/>
      <c r="BH23" s="135"/>
      <c r="BI23" s="135"/>
      <c r="BJ23" s="135"/>
      <c r="BK23" s="135"/>
      <c r="BL23" s="142"/>
      <c r="BM23" s="135"/>
      <c r="BN23" s="135"/>
      <c r="BO23" s="135"/>
      <c r="BP23" s="135"/>
      <c r="BQ23" s="131"/>
      <c r="BR23" s="146"/>
      <c r="BS23" s="135"/>
      <c r="BT23" s="135"/>
      <c r="BU23" s="135"/>
      <c r="BV23" s="135"/>
      <c r="BW23" s="131"/>
      <c r="BX23" s="146"/>
      <c r="BY23" s="135"/>
      <c r="BZ23" s="135"/>
      <c r="CA23" s="135"/>
      <c r="CB23" s="135"/>
      <c r="CC23" s="131"/>
      <c r="CD23" s="146"/>
      <c r="CE23" s="135"/>
      <c r="CF23" s="135"/>
      <c r="CG23" s="135"/>
      <c r="CH23" s="135"/>
      <c r="CI23" s="131"/>
      <c r="CJ23" s="146"/>
      <c r="CK23" s="135"/>
      <c r="CL23" s="135"/>
      <c r="CM23" s="135"/>
      <c r="CN23" s="135"/>
      <c r="CO23" s="131"/>
      <c r="CP23" s="146"/>
      <c r="CQ23" s="135"/>
      <c r="CR23" s="135"/>
      <c r="CS23" s="135"/>
      <c r="CT23" s="135"/>
      <c r="CU23" s="131"/>
      <c r="CV23" s="146"/>
      <c r="CW23" s="135"/>
      <c r="CX23" s="135"/>
      <c r="CY23" s="135"/>
      <c r="CZ23" s="135"/>
      <c r="DA23" s="131"/>
      <c r="DB23" s="146"/>
      <c r="DC23" s="135"/>
      <c r="DD23" s="135"/>
      <c r="DE23" s="135"/>
      <c r="DF23" s="135"/>
      <c r="DG23" s="131"/>
      <c r="DH23" s="146"/>
      <c r="DI23" s="135"/>
      <c r="DJ23" s="135"/>
      <c r="DK23" s="135"/>
      <c r="DL23" s="135"/>
      <c r="DM23" s="131"/>
      <c r="DN23" s="146"/>
      <c r="DO23" s="135"/>
      <c r="DP23" s="135"/>
      <c r="DQ23" s="135"/>
      <c r="DR23" s="135"/>
      <c r="DS23" s="131"/>
      <c r="DT23" s="146"/>
      <c r="DU23" s="135"/>
      <c r="DV23" s="135"/>
      <c r="DW23" s="135"/>
      <c r="DX23" s="135"/>
      <c r="DY23" s="131"/>
      <c r="DZ23" s="146"/>
      <c r="EA23" s="135"/>
      <c r="EB23" s="135"/>
      <c r="EC23" s="135"/>
      <c r="ED23" s="135"/>
      <c r="EE23" s="131"/>
      <c r="EF23" s="135">
        <f t="shared" si="0"/>
        <v>20</v>
      </c>
      <c r="EH23" s="210"/>
    </row>
    <row r="24" spans="1:138" ht="12.75" customHeight="1" x14ac:dyDescent="0.2">
      <c r="A24" s="159">
        <v>21</v>
      </c>
      <c r="B24" s="138"/>
      <c r="C24" s="491"/>
      <c r="D24" s="138"/>
      <c r="E24" s="491"/>
      <c r="F24" s="138"/>
      <c r="G24" s="491"/>
      <c r="H24" s="138"/>
      <c r="I24" s="491"/>
      <c r="J24" s="138"/>
      <c r="K24" s="491"/>
      <c r="L24" s="140"/>
      <c r="M24" s="491"/>
      <c r="N24" s="138"/>
      <c r="O24" s="491"/>
      <c r="P24" s="138"/>
      <c r="Q24" s="491"/>
      <c r="R24" s="138"/>
      <c r="S24" s="491"/>
      <c r="T24" s="138"/>
      <c r="U24" s="491"/>
      <c r="V24" s="138"/>
      <c r="W24" s="491"/>
      <c r="X24" s="138"/>
      <c r="Y24" s="157"/>
      <c r="Z24" s="138"/>
      <c r="AA24" s="157"/>
      <c r="AB24" s="138"/>
      <c r="AC24" s="491"/>
      <c r="AD24" s="138"/>
      <c r="AE24" s="491"/>
      <c r="AF24" s="138"/>
      <c r="AG24" s="491"/>
      <c r="AH24" s="138"/>
      <c r="AI24" s="141"/>
      <c r="AJ24" s="138"/>
      <c r="AK24" s="131"/>
      <c r="AL24" s="158"/>
      <c r="AM24" s="131"/>
      <c r="AN24" s="158"/>
      <c r="AO24" s="131"/>
      <c r="AP24" s="158"/>
      <c r="AQ24" s="131"/>
      <c r="AR24" s="138"/>
      <c r="AS24" s="131"/>
      <c r="AT24" s="138"/>
      <c r="AU24" s="131"/>
      <c r="AV24" s="140"/>
      <c r="AW24" s="131"/>
      <c r="AX24" s="158"/>
      <c r="AY24" s="131"/>
      <c r="AZ24" s="160"/>
      <c r="BA24" s="131"/>
      <c r="BB24" s="160"/>
      <c r="BC24" s="131"/>
      <c r="BD24" s="142"/>
      <c r="BE24" s="135"/>
      <c r="BF24" s="142"/>
      <c r="BG24" s="135"/>
      <c r="BH24" s="135"/>
      <c r="BI24" s="135"/>
      <c r="BJ24" s="135"/>
      <c r="BK24" s="135"/>
      <c r="BL24" s="142"/>
      <c r="BM24" s="135"/>
      <c r="BN24" s="135"/>
      <c r="BO24" s="135"/>
      <c r="BP24" s="135"/>
      <c r="BQ24" s="131"/>
      <c r="BR24" s="146"/>
      <c r="BS24" s="135"/>
      <c r="BT24" s="135"/>
      <c r="BU24" s="135"/>
      <c r="BV24" s="135"/>
      <c r="BW24" s="131"/>
      <c r="BX24" s="146"/>
      <c r="BY24" s="135"/>
      <c r="BZ24" s="135"/>
      <c r="CA24" s="135"/>
      <c r="CB24" s="135"/>
      <c r="CC24" s="131"/>
      <c r="CD24" s="146"/>
      <c r="CE24" s="135"/>
      <c r="CF24" s="135"/>
      <c r="CG24" s="135"/>
      <c r="CH24" s="135"/>
      <c r="CI24" s="131"/>
      <c r="CJ24" s="146"/>
      <c r="CK24" s="135"/>
      <c r="CL24" s="135"/>
      <c r="CM24" s="135"/>
      <c r="CN24" s="135"/>
      <c r="CO24" s="131"/>
      <c r="CP24" s="146"/>
      <c r="CQ24" s="135"/>
      <c r="CR24" s="135"/>
      <c r="CS24" s="135"/>
      <c r="CT24" s="135"/>
      <c r="CU24" s="131"/>
      <c r="CV24" s="146"/>
      <c r="CW24" s="135"/>
      <c r="CX24" s="135"/>
      <c r="CY24" s="135"/>
      <c r="CZ24" s="135"/>
      <c r="DA24" s="131"/>
      <c r="DB24" s="146"/>
      <c r="DC24" s="135"/>
      <c r="DD24" s="135"/>
      <c r="DE24" s="135"/>
      <c r="DF24" s="135"/>
      <c r="DG24" s="131"/>
      <c r="DH24" s="146"/>
      <c r="DI24" s="135"/>
      <c r="DJ24" s="135"/>
      <c r="DK24" s="135"/>
      <c r="DL24" s="135"/>
      <c r="DM24" s="131"/>
      <c r="DN24" s="146"/>
      <c r="DO24" s="135"/>
      <c r="DP24" s="135"/>
      <c r="DQ24" s="135"/>
      <c r="DR24" s="135"/>
      <c r="DS24" s="131"/>
      <c r="DT24" s="146"/>
      <c r="DU24" s="135"/>
      <c r="DV24" s="135"/>
      <c r="DW24" s="135"/>
      <c r="DX24" s="135"/>
      <c r="DY24" s="131"/>
      <c r="DZ24" s="146"/>
      <c r="EA24" s="135"/>
      <c r="EB24" s="135"/>
      <c r="EC24" s="135"/>
      <c r="ED24" s="135"/>
      <c r="EE24" s="131"/>
      <c r="EF24" s="135">
        <f t="shared" si="0"/>
        <v>21</v>
      </c>
      <c r="EH24" s="210"/>
    </row>
    <row r="25" spans="1:138" x14ac:dyDescent="0.2">
      <c r="A25" s="159">
        <v>22</v>
      </c>
      <c r="B25" s="138"/>
      <c r="C25" s="491"/>
      <c r="D25" s="138"/>
      <c r="E25" s="491"/>
      <c r="F25" s="138"/>
      <c r="G25" s="491"/>
      <c r="H25" s="138"/>
      <c r="I25" s="491"/>
      <c r="J25" s="138"/>
      <c r="K25" s="491"/>
      <c r="L25" s="140"/>
      <c r="M25" s="491"/>
      <c r="N25" s="138"/>
      <c r="O25" s="491"/>
      <c r="P25" s="138"/>
      <c r="Q25" s="491"/>
      <c r="R25" s="138"/>
      <c r="S25" s="491"/>
      <c r="T25" s="138"/>
      <c r="U25" s="491"/>
      <c r="V25" s="138"/>
      <c r="W25" s="491"/>
      <c r="X25" s="138"/>
      <c r="Y25" s="157"/>
      <c r="Z25" s="138"/>
      <c r="AA25" s="157"/>
      <c r="AB25" s="138"/>
      <c r="AC25" s="491"/>
      <c r="AD25" s="138"/>
      <c r="AE25" s="491"/>
      <c r="AF25" s="138"/>
      <c r="AG25" s="491"/>
      <c r="AH25" s="138"/>
      <c r="AI25" s="141"/>
      <c r="AJ25" s="138"/>
      <c r="AK25" s="131"/>
      <c r="AL25" s="158"/>
      <c r="AM25" s="131"/>
      <c r="AN25" s="158"/>
      <c r="AO25" s="131"/>
      <c r="AP25" s="158"/>
      <c r="AQ25" s="131"/>
      <c r="AR25" s="158"/>
      <c r="AS25" s="131"/>
      <c r="AT25" s="158"/>
      <c r="AU25" s="131"/>
      <c r="AV25" s="158"/>
      <c r="AW25" s="131"/>
      <c r="AX25" s="140"/>
      <c r="AY25" s="131"/>
      <c r="AZ25" s="135"/>
      <c r="BA25" s="131"/>
      <c r="BB25" s="146"/>
      <c r="BC25" s="131"/>
      <c r="BD25" s="146"/>
      <c r="BE25" s="135"/>
      <c r="BF25" s="142"/>
      <c r="BG25" s="135"/>
      <c r="BH25" s="135"/>
      <c r="BI25" s="135"/>
      <c r="BJ25" s="135"/>
      <c r="BK25" s="135"/>
      <c r="BL25" s="146"/>
      <c r="BM25" s="135"/>
      <c r="BN25" s="135"/>
      <c r="BO25" s="135"/>
      <c r="BP25" s="135"/>
      <c r="BQ25" s="131"/>
      <c r="BR25" s="146"/>
      <c r="BS25" s="135"/>
      <c r="BT25" s="135"/>
      <c r="BU25" s="135"/>
      <c r="BV25" s="135"/>
      <c r="BW25" s="131"/>
      <c r="BX25" s="146"/>
      <c r="BY25" s="135"/>
      <c r="BZ25" s="135"/>
      <c r="CA25" s="135"/>
      <c r="CB25" s="135"/>
      <c r="CC25" s="131"/>
      <c r="CD25" s="146"/>
      <c r="CE25" s="135"/>
      <c r="CF25" s="135"/>
      <c r="CG25" s="135"/>
      <c r="CH25" s="135"/>
      <c r="CI25" s="131"/>
      <c r="CJ25" s="146"/>
      <c r="CK25" s="135"/>
      <c r="CL25" s="135"/>
      <c r="CM25" s="135"/>
      <c r="CN25" s="135"/>
      <c r="CO25" s="131"/>
      <c r="CP25" s="146"/>
      <c r="CQ25" s="135"/>
      <c r="CR25" s="135"/>
      <c r="CS25" s="135"/>
      <c r="CT25" s="135"/>
      <c r="CU25" s="131"/>
      <c r="CV25" s="146"/>
      <c r="CW25" s="135"/>
      <c r="CX25" s="135"/>
      <c r="CY25" s="135"/>
      <c r="CZ25" s="135"/>
      <c r="DA25" s="131"/>
      <c r="DB25" s="146"/>
      <c r="DC25" s="135"/>
      <c r="DD25" s="135"/>
      <c r="DE25" s="135"/>
      <c r="DF25" s="135"/>
      <c r="DG25" s="131"/>
      <c r="DH25" s="146"/>
      <c r="DI25" s="135"/>
      <c r="DJ25" s="135"/>
      <c r="DK25" s="135"/>
      <c r="DL25" s="135"/>
      <c r="DM25" s="131"/>
      <c r="DN25" s="146"/>
      <c r="DO25" s="135"/>
      <c r="DP25" s="135"/>
      <c r="DQ25" s="135"/>
      <c r="DR25" s="135"/>
      <c r="DS25" s="131"/>
      <c r="DT25" s="146"/>
      <c r="DU25" s="135"/>
      <c r="DV25" s="135"/>
      <c r="DW25" s="135"/>
      <c r="DX25" s="135"/>
      <c r="DY25" s="131"/>
      <c r="DZ25" s="146"/>
      <c r="EA25" s="135"/>
      <c r="EB25" s="135"/>
      <c r="EC25" s="135"/>
      <c r="ED25" s="135"/>
      <c r="EE25" s="131"/>
      <c r="EF25" s="135">
        <f t="shared" si="0"/>
        <v>22</v>
      </c>
      <c r="EH25" s="210"/>
    </row>
    <row r="26" spans="1:138" x14ac:dyDescent="0.2">
      <c r="A26" s="159">
        <v>23</v>
      </c>
      <c r="B26" s="138"/>
      <c r="C26" s="491"/>
      <c r="D26" s="138"/>
      <c r="E26" s="491"/>
      <c r="F26" s="138"/>
      <c r="G26" s="491"/>
      <c r="H26" s="138"/>
      <c r="I26" s="491"/>
      <c r="J26" s="138"/>
      <c r="K26" s="491"/>
      <c r="L26" s="140"/>
      <c r="M26" s="491"/>
      <c r="N26" s="138"/>
      <c r="O26" s="491"/>
      <c r="P26" s="138"/>
      <c r="Q26" s="491"/>
      <c r="R26" s="138"/>
      <c r="S26" s="491"/>
      <c r="T26" s="138"/>
      <c r="U26" s="491"/>
      <c r="V26" s="138"/>
      <c r="W26" s="491"/>
      <c r="X26" s="138"/>
      <c r="Y26" s="157"/>
      <c r="Z26" s="138"/>
      <c r="AA26" s="157"/>
      <c r="AB26" s="138"/>
      <c r="AC26" s="491"/>
      <c r="AD26" s="138"/>
      <c r="AE26" s="491"/>
      <c r="AF26" s="138"/>
      <c r="AG26" s="491"/>
      <c r="AH26" s="138"/>
      <c r="AI26" s="141"/>
      <c r="AJ26" s="138"/>
      <c r="AK26" s="131"/>
      <c r="AL26" s="158"/>
      <c r="AM26" s="131"/>
      <c r="AN26" s="158"/>
      <c r="AO26" s="131"/>
      <c r="AP26" s="158"/>
      <c r="AQ26" s="131"/>
      <c r="AR26" s="158"/>
      <c r="AS26" s="131"/>
      <c r="AT26" s="158"/>
      <c r="AU26" s="131"/>
      <c r="AW26" s="131"/>
      <c r="AY26" s="131"/>
      <c r="AZ26" s="135"/>
      <c r="BA26" s="131"/>
      <c r="BB26" s="146"/>
      <c r="BC26" s="131"/>
      <c r="BD26" s="146"/>
      <c r="BE26" s="135"/>
      <c r="BF26" s="146"/>
      <c r="BG26" s="135"/>
      <c r="BH26" s="135"/>
      <c r="BI26" s="135"/>
      <c r="BJ26" s="135"/>
      <c r="BK26" s="135"/>
      <c r="BL26" s="146"/>
      <c r="BM26" s="135"/>
      <c r="BN26" s="135"/>
      <c r="BO26" s="135"/>
      <c r="BP26" s="135"/>
      <c r="BQ26" s="131"/>
      <c r="BR26" s="146"/>
      <c r="BS26" s="135"/>
      <c r="BT26" s="135"/>
      <c r="BU26" s="135"/>
      <c r="BV26" s="135"/>
      <c r="BW26" s="131"/>
      <c r="BX26" s="146"/>
      <c r="BY26" s="135"/>
      <c r="BZ26" s="135"/>
      <c r="CA26" s="135"/>
      <c r="CB26" s="135"/>
      <c r="CC26" s="131"/>
      <c r="CD26" s="146"/>
      <c r="CE26" s="135"/>
      <c r="CF26" s="135"/>
      <c r="CG26" s="135"/>
      <c r="CH26" s="135"/>
      <c r="CI26" s="131"/>
      <c r="CJ26" s="146"/>
      <c r="CK26" s="135"/>
      <c r="CL26" s="135"/>
      <c r="CM26" s="135"/>
      <c r="CN26" s="135"/>
      <c r="CO26" s="131"/>
      <c r="CP26" s="146"/>
      <c r="CQ26" s="135"/>
      <c r="CR26" s="135"/>
      <c r="CS26" s="135"/>
      <c r="CT26" s="135"/>
      <c r="CU26" s="131"/>
      <c r="CV26" s="146"/>
      <c r="CW26" s="135"/>
      <c r="CX26" s="135"/>
      <c r="CY26" s="135"/>
      <c r="CZ26" s="135"/>
      <c r="DA26" s="131"/>
      <c r="DB26" s="146"/>
      <c r="DC26" s="135"/>
      <c r="DD26" s="135"/>
      <c r="DE26" s="135"/>
      <c r="DF26" s="135"/>
      <c r="DG26" s="131"/>
      <c r="DH26" s="146"/>
      <c r="DI26" s="135"/>
      <c r="DJ26" s="135"/>
      <c r="DK26" s="135"/>
      <c r="DL26" s="135"/>
      <c r="DM26" s="131"/>
      <c r="DN26" s="146"/>
      <c r="DO26" s="135"/>
      <c r="DP26" s="135"/>
      <c r="DQ26" s="135"/>
      <c r="DR26" s="135"/>
      <c r="DS26" s="131"/>
      <c r="DT26" s="146"/>
      <c r="DU26" s="135"/>
      <c r="DV26" s="135"/>
      <c r="DW26" s="135"/>
      <c r="DX26" s="135"/>
      <c r="DY26" s="131"/>
      <c r="DZ26" s="146"/>
      <c r="EA26" s="135"/>
      <c r="EB26" s="135"/>
      <c r="EC26" s="135"/>
      <c r="ED26" s="135"/>
      <c r="EE26" s="131"/>
      <c r="EF26" s="135">
        <f t="shared" si="0"/>
        <v>23</v>
      </c>
      <c r="EH26" s="210"/>
    </row>
    <row r="27" spans="1:138" x14ac:dyDescent="0.2">
      <c r="A27" s="161">
        <v>24</v>
      </c>
      <c r="B27" s="138"/>
      <c r="C27" s="491"/>
      <c r="D27" s="138"/>
      <c r="E27" s="491"/>
      <c r="F27" s="138"/>
      <c r="G27" s="491"/>
      <c r="H27" s="138"/>
      <c r="I27" s="491"/>
      <c r="J27" s="138"/>
      <c r="K27" s="491"/>
      <c r="L27" s="140"/>
      <c r="M27" s="491"/>
      <c r="N27" s="138"/>
      <c r="O27" s="491"/>
      <c r="P27" s="138"/>
      <c r="Q27" s="491"/>
      <c r="R27" s="138"/>
      <c r="S27" s="491"/>
      <c r="T27" s="138"/>
      <c r="U27" s="491"/>
      <c r="V27" s="138"/>
      <c r="W27" s="491"/>
      <c r="X27" s="138"/>
      <c r="Y27" s="157"/>
      <c r="Z27" s="138"/>
      <c r="AA27" s="157"/>
      <c r="AB27" s="138"/>
      <c r="AC27" s="491"/>
      <c r="AD27" s="138"/>
      <c r="AE27" s="491"/>
      <c r="AF27" s="138"/>
      <c r="AG27" s="491"/>
      <c r="AH27" s="138"/>
      <c r="AI27" s="141"/>
      <c r="AJ27" s="138"/>
      <c r="AK27" s="131"/>
      <c r="AL27" s="158"/>
      <c r="AM27" s="131"/>
      <c r="AN27" s="158"/>
      <c r="AO27" s="131"/>
      <c r="AP27" s="158"/>
      <c r="AQ27" s="131"/>
      <c r="AR27" s="158"/>
      <c r="AS27" s="131"/>
      <c r="AT27" s="158"/>
      <c r="AU27" s="131"/>
      <c r="AV27" s="135"/>
      <c r="AW27" s="131"/>
      <c r="AX27" s="135"/>
      <c r="AY27" s="131"/>
      <c r="AZ27" s="135"/>
      <c r="BA27" s="131"/>
      <c r="BB27" s="135"/>
      <c r="BC27" s="131"/>
      <c r="BD27" s="146"/>
      <c r="BE27" s="135"/>
      <c r="BF27" s="146"/>
      <c r="BG27" s="135"/>
      <c r="BH27" s="135"/>
      <c r="BI27" s="135"/>
      <c r="BJ27" s="135"/>
      <c r="BK27" s="135"/>
      <c r="BL27" s="146"/>
      <c r="BM27" s="135"/>
      <c r="BN27" s="135"/>
      <c r="BO27" s="135"/>
      <c r="BP27" s="135"/>
      <c r="BQ27" s="131"/>
      <c r="BR27" s="146"/>
      <c r="BS27" s="135"/>
      <c r="BT27" s="135"/>
      <c r="BU27" s="135"/>
      <c r="BV27" s="135"/>
      <c r="BW27" s="131"/>
      <c r="BX27" s="146"/>
      <c r="BY27" s="135"/>
      <c r="BZ27" s="135"/>
      <c r="CA27" s="135"/>
      <c r="CB27" s="135"/>
      <c r="CC27" s="131"/>
      <c r="CD27" s="146"/>
      <c r="CE27" s="135"/>
      <c r="CF27" s="135"/>
      <c r="CG27" s="135"/>
      <c r="CH27" s="135"/>
      <c r="CI27" s="131"/>
      <c r="CJ27" s="146"/>
      <c r="CK27" s="135"/>
      <c r="CL27" s="135"/>
      <c r="CM27" s="135"/>
      <c r="CN27" s="135"/>
      <c r="CO27" s="131"/>
      <c r="CP27" s="146"/>
      <c r="CQ27" s="135"/>
      <c r="CR27" s="135"/>
      <c r="CS27" s="135"/>
      <c r="CT27" s="135"/>
      <c r="CU27" s="131"/>
      <c r="CV27" s="146"/>
      <c r="CW27" s="135"/>
      <c r="CX27" s="135"/>
      <c r="CY27" s="135"/>
      <c r="CZ27" s="135"/>
      <c r="DA27" s="131"/>
      <c r="DB27" s="146"/>
      <c r="DC27" s="135"/>
      <c r="DD27" s="135"/>
      <c r="DE27" s="135"/>
      <c r="DF27" s="135"/>
      <c r="DG27" s="131"/>
      <c r="DH27" s="146"/>
      <c r="DI27" s="135"/>
      <c r="DJ27" s="135"/>
      <c r="DK27" s="135"/>
      <c r="DL27" s="135"/>
      <c r="DM27" s="131"/>
      <c r="DN27" s="146"/>
      <c r="DO27" s="135"/>
      <c r="DP27" s="135"/>
      <c r="DQ27" s="135"/>
      <c r="DR27" s="135"/>
      <c r="DS27" s="131"/>
      <c r="DT27" s="146"/>
      <c r="DU27" s="135"/>
      <c r="DV27" s="135"/>
      <c r="DW27" s="135"/>
      <c r="DX27" s="135"/>
      <c r="DY27" s="131"/>
      <c r="DZ27" s="146"/>
      <c r="EA27" s="135"/>
      <c r="EB27" s="135"/>
      <c r="EC27" s="135"/>
      <c r="ED27" s="135"/>
      <c r="EE27" s="131"/>
      <c r="EF27" s="135">
        <f t="shared" si="0"/>
        <v>24</v>
      </c>
      <c r="EH27" s="210"/>
    </row>
    <row r="28" spans="1:138" x14ac:dyDescent="0.2">
      <c r="A28" s="159">
        <v>25</v>
      </c>
      <c r="B28" s="140"/>
      <c r="C28" s="491"/>
      <c r="D28" s="140"/>
      <c r="E28" s="491"/>
      <c r="F28" s="140"/>
      <c r="G28" s="491"/>
      <c r="H28" s="140"/>
      <c r="I28" s="491"/>
      <c r="J28" s="138"/>
      <c r="K28" s="491"/>
      <c r="L28" s="140"/>
      <c r="M28" s="491"/>
      <c r="N28" s="140"/>
      <c r="O28" s="491"/>
      <c r="P28" s="140"/>
      <c r="Q28" s="491"/>
      <c r="R28" s="140"/>
      <c r="S28" s="491"/>
      <c r="T28" s="140"/>
      <c r="U28" s="491"/>
      <c r="V28" s="140"/>
      <c r="W28" s="491"/>
      <c r="X28" s="138"/>
      <c r="Y28" s="491"/>
      <c r="Z28" s="138"/>
      <c r="AA28" s="491"/>
      <c r="AB28" s="138"/>
      <c r="AC28" s="491"/>
      <c r="AD28" s="138"/>
      <c r="AE28" s="491"/>
      <c r="AF28" s="138"/>
      <c r="AG28" s="491"/>
      <c r="AH28" s="138"/>
      <c r="AI28" s="141"/>
      <c r="AJ28" s="138"/>
      <c r="AK28" s="131"/>
      <c r="AL28" s="138"/>
      <c r="AM28" s="131"/>
      <c r="AN28" s="138"/>
      <c r="AO28" s="131"/>
      <c r="AP28" s="158"/>
      <c r="AQ28" s="131"/>
      <c r="AR28" s="158"/>
      <c r="AS28" s="131"/>
      <c r="AT28" s="158"/>
      <c r="AU28" s="131"/>
      <c r="AV28" s="158"/>
      <c r="AW28" s="131"/>
      <c r="AX28" s="158"/>
      <c r="AY28" s="131"/>
      <c r="AZ28" s="135"/>
      <c r="BA28" s="131"/>
      <c r="BB28" s="146"/>
      <c r="BC28" s="131"/>
      <c r="BD28" s="142"/>
      <c r="BE28" s="135"/>
      <c r="BF28" s="142"/>
      <c r="BG28" s="135"/>
      <c r="BH28" s="135"/>
      <c r="BI28" s="135"/>
      <c r="BJ28" s="135"/>
      <c r="BK28" s="135"/>
      <c r="BL28" s="142"/>
      <c r="BM28" s="135"/>
      <c r="BN28" s="135"/>
      <c r="BO28" s="135"/>
      <c r="BP28" s="135"/>
      <c r="BQ28" s="131"/>
      <c r="BR28" s="146"/>
      <c r="BS28" s="135"/>
      <c r="BT28" s="135"/>
      <c r="BU28" s="135"/>
      <c r="BV28" s="135"/>
      <c r="BW28" s="131"/>
      <c r="BX28" s="146"/>
      <c r="BY28" s="135"/>
      <c r="BZ28" s="135"/>
      <c r="CA28" s="135"/>
      <c r="CB28" s="135"/>
      <c r="CC28" s="131"/>
      <c r="CD28" s="146"/>
      <c r="CE28" s="135"/>
      <c r="CF28" s="135"/>
      <c r="CG28" s="135"/>
      <c r="CH28" s="135"/>
      <c r="CI28" s="131"/>
      <c r="CJ28" s="146"/>
      <c r="CK28" s="135"/>
      <c r="CL28" s="135"/>
      <c r="CM28" s="135"/>
      <c r="CN28" s="135"/>
      <c r="CO28" s="131"/>
      <c r="CP28" s="146"/>
      <c r="CQ28" s="135"/>
      <c r="CR28" s="135"/>
      <c r="CS28" s="135"/>
      <c r="CT28" s="135"/>
      <c r="CU28" s="131"/>
      <c r="CV28" s="146"/>
      <c r="CW28" s="135"/>
      <c r="CX28" s="135"/>
      <c r="CY28" s="135"/>
      <c r="CZ28" s="135"/>
      <c r="DA28" s="131"/>
      <c r="DB28" s="146"/>
      <c r="DC28" s="135"/>
      <c r="DD28" s="135"/>
      <c r="DE28" s="135"/>
      <c r="DF28" s="135"/>
      <c r="DG28" s="131"/>
      <c r="DH28" s="146"/>
      <c r="DI28" s="135"/>
      <c r="DJ28" s="135"/>
      <c r="DK28" s="135"/>
      <c r="DL28" s="135"/>
      <c r="DM28" s="131"/>
      <c r="DN28" s="146"/>
      <c r="DO28" s="135"/>
      <c r="DP28" s="135"/>
      <c r="DQ28" s="135"/>
      <c r="DR28" s="135"/>
      <c r="DS28" s="131"/>
      <c r="DT28" s="146"/>
      <c r="DU28" s="135"/>
      <c r="DV28" s="135"/>
      <c r="DW28" s="135"/>
      <c r="DX28" s="135"/>
      <c r="DY28" s="131"/>
      <c r="DZ28" s="146"/>
      <c r="EA28" s="135"/>
      <c r="EB28" s="135"/>
      <c r="EC28" s="135"/>
      <c r="ED28" s="135"/>
      <c r="EE28" s="131"/>
      <c r="EF28" s="135">
        <f t="shared" si="0"/>
        <v>25</v>
      </c>
      <c r="EH28" s="210"/>
    </row>
    <row r="29" spans="1:138" x14ac:dyDescent="0.2">
      <c r="A29" s="159">
        <v>26</v>
      </c>
      <c r="B29" s="162"/>
      <c r="C29" s="91"/>
      <c r="D29" s="163"/>
      <c r="E29" s="91"/>
      <c r="F29" s="163"/>
      <c r="G29" s="91"/>
      <c r="H29" s="163"/>
      <c r="I29" s="91"/>
      <c r="J29" s="163"/>
      <c r="K29" s="91"/>
      <c r="L29" s="163"/>
      <c r="M29" s="91"/>
      <c r="N29" s="163"/>
      <c r="O29" s="91"/>
      <c r="P29" s="163"/>
      <c r="Q29" s="91"/>
      <c r="R29" s="163"/>
      <c r="S29" s="91"/>
      <c r="T29" s="163"/>
      <c r="U29" s="91"/>
      <c r="V29" s="163"/>
      <c r="W29" s="91"/>
      <c r="X29" s="164"/>
      <c r="Y29" s="91"/>
      <c r="Z29" s="164"/>
      <c r="AA29" s="91"/>
      <c r="AB29" s="164"/>
      <c r="AC29" s="91"/>
      <c r="AD29" s="164"/>
      <c r="AE29" s="91"/>
      <c r="AF29" s="164"/>
      <c r="AG29" s="91"/>
      <c r="AH29" s="164"/>
      <c r="AI29" s="153"/>
      <c r="AJ29" s="164"/>
      <c r="AK29" s="133"/>
      <c r="AL29" s="164"/>
      <c r="AM29" s="133"/>
      <c r="AN29" s="164"/>
      <c r="AO29" s="133"/>
      <c r="AP29" s="165"/>
      <c r="AQ29" s="133"/>
      <c r="AR29" s="165"/>
      <c r="AS29" s="133"/>
      <c r="AT29" s="165"/>
      <c r="AU29" s="133"/>
      <c r="AV29" s="165"/>
      <c r="AW29" s="133"/>
      <c r="AX29" s="163"/>
      <c r="AY29" s="133"/>
      <c r="AZ29" s="132"/>
      <c r="BA29" s="133"/>
      <c r="BB29" s="134"/>
      <c r="BC29" s="133"/>
      <c r="BD29" s="512"/>
      <c r="BE29" s="132"/>
      <c r="BF29" s="512"/>
      <c r="BG29" s="132"/>
      <c r="BH29" s="132"/>
      <c r="BI29" s="132"/>
      <c r="BJ29" s="132"/>
      <c r="BK29" s="132"/>
      <c r="BL29" s="512"/>
      <c r="BM29" s="132"/>
      <c r="BN29" s="132"/>
      <c r="BO29" s="132"/>
      <c r="BP29" s="132"/>
      <c r="BQ29" s="133"/>
      <c r="BR29" s="134"/>
      <c r="BS29" s="132"/>
      <c r="BT29" s="132"/>
      <c r="BU29" s="132"/>
      <c r="BV29" s="132"/>
      <c r="BW29" s="133"/>
      <c r="BX29" s="134"/>
      <c r="BY29" s="132"/>
      <c r="BZ29" s="132"/>
      <c r="CA29" s="132"/>
      <c r="CB29" s="132"/>
      <c r="CC29" s="133"/>
      <c r="CD29" s="134"/>
      <c r="CE29" s="132"/>
      <c r="CF29" s="132"/>
      <c r="CG29" s="132"/>
      <c r="CH29" s="132"/>
      <c r="CI29" s="133"/>
      <c r="CJ29" s="134"/>
      <c r="CK29" s="132"/>
      <c r="CL29" s="132"/>
      <c r="CM29" s="132"/>
      <c r="CN29" s="132"/>
      <c r="CO29" s="133"/>
      <c r="CP29" s="134"/>
      <c r="CQ29" s="132"/>
      <c r="CR29" s="132"/>
      <c r="CS29" s="132"/>
      <c r="CT29" s="132"/>
      <c r="CU29" s="133"/>
      <c r="CV29" s="134"/>
      <c r="CW29" s="132"/>
      <c r="CX29" s="132"/>
      <c r="CY29" s="132"/>
      <c r="CZ29" s="132"/>
      <c r="DA29" s="133"/>
      <c r="DB29" s="134"/>
      <c r="DC29" s="132"/>
      <c r="DD29" s="132"/>
      <c r="DE29" s="132"/>
      <c r="DF29" s="132"/>
      <c r="DG29" s="133"/>
      <c r="DH29" s="134"/>
      <c r="DI29" s="132"/>
      <c r="DJ29" s="132"/>
      <c r="DK29" s="132"/>
      <c r="DL29" s="132"/>
      <c r="DM29" s="133"/>
      <c r="DN29" s="134"/>
      <c r="DO29" s="132"/>
      <c r="DP29" s="132"/>
      <c r="DQ29" s="132"/>
      <c r="DR29" s="132"/>
      <c r="DS29" s="133"/>
      <c r="DT29" s="134"/>
      <c r="DU29" s="132"/>
      <c r="DV29" s="132"/>
      <c r="DW29" s="132"/>
      <c r="DX29" s="132"/>
      <c r="DY29" s="133"/>
      <c r="DZ29" s="134"/>
      <c r="EA29" s="132"/>
      <c r="EB29" s="132"/>
      <c r="EC29" s="132"/>
      <c r="ED29" s="132"/>
      <c r="EE29" s="133"/>
      <c r="EF29" s="135">
        <f t="shared" si="0"/>
        <v>26</v>
      </c>
      <c r="EH29" s="210"/>
    </row>
    <row r="30" spans="1:138" x14ac:dyDescent="0.2">
      <c r="A30" s="166">
        <v>27</v>
      </c>
      <c r="B30" s="140"/>
      <c r="C30" s="491"/>
      <c r="D30" s="140"/>
      <c r="E30" s="491"/>
      <c r="F30" s="140"/>
      <c r="G30" s="491"/>
      <c r="H30" s="140"/>
      <c r="I30" s="491"/>
      <c r="J30" s="140"/>
      <c r="K30" s="491"/>
      <c r="L30" s="140"/>
      <c r="M30" s="491"/>
      <c r="N30" s="140"/>
      <c r="O30" s="491"/>
      <c r="P30" s="140"/>
      <c r="Q30" s="491"/>
      <c r="R30" s="140"/>
      <c r="S30" s="491"/>
      <c r="T30" s="140"/>
      <c r="U30" s="491"/>
      <c r="V30" s="140"/>
      <c r="W30" s="491"/>
      <c r="X30" s="138"/>
      <c r="Y30" s="491"/>
      <c r="Z30" s="138"/>
      <c r="AA30" s="491"/>
      <c r="AB30" s="138"/>
      <c r="AC30" s="491"/>
      <c r="AD30" s="138"/>
      <c r="AE30" s="491"/>
      <c r="AF30" s="138"/>
      <c r="AG30" s="491"/>
      <c r="AH30" s="138"/>
      <c r="AI30" s="141"/>
      <c r="AJ30" s="138"/>
      <c r="AK30" s="131"/>
      <c r="AL30" s="138"/>
      <c r="AM30" s="131"/>
      <c r="AN30" s="138"/>
      <c r="AO30" s="131"/>
      <c r="AP30" s="167"/>
      <c r="AQ30" s="131"/>
      <c r="AR30" s="167"/>
      <c r="AS30" s="131"/>
      <c r="AT30" s="140"/>
      <c r="AU30" s="131"/>
      <c r="AV30" s="140"/>
      <c r="AW30" s="131"/>
      <c r="AX30" s="140"/>
      <c r="AY30" s="131"/>
      <c r="AZ30" s="135"/>
      <c r="BA30" s="131"/>
      <c r="BB30" s="146"/>
      <c r="BC30" s="131"/>
      <c r="BD30" s="499"/>
      <c r="BE30" s="139"/>
      <c r="BF30" s="142"/>
      <c r="BG30" s="135"/>
      <c r="BH30" s="135"/>
      <c r="BI30" s="135"/>
      <c r="BJ30" s="135"/>
      <c r="BK30" s="135"/>
      <c r="BL30" s="499"/>
      <c r="BM30" s="253"/>
      <c r="BN30" s="253"/>
      <c r="BO30" s="253"/>
      <c r="BP30" s="253"/>
      <c r="BQ30" s="139"/>
      <c r="BR30" s="143"/>
      <c r="BS30" s="253"/>
      <c r="BT30" s="253"/>
      <c r="BU30" s="253"/>
      <c r="BV30" s="253"/>
      <c r="BW30" s="139"/>
      <c r="BX30" s="143"/>
      <c r="BY30" s="253"/>
      <c r="BZ30" s="253"/>
      <c r="CA30" s="253"/>
      <c r="CB30" s="253"/>
      <c r="CC30" s="139"/>
      <c r="CD30" s="143"/>
      <c r="CE30" s="253"/>
      <c r="CF30" s="253"/>
      <c r="CG30" s="253"/>
      <c r="CH30" s="253"/>
      <c r="CI30" s="139"/>
      <c r="CJ30" s="143"/>
      <c r="CK30" s="253"/>
      <c r="CL30" s="253"/>
      <c r="CM30" s="253"/>
      <c r="CN30" s="253"/>
      <c r="CO30" s="139"/>
      <c r="CP30" s="143"/>
      <c r="CQ30" s="253"/>
      <c r="CR30" s="253"/>
      <c r="CS30" s="253"/>
      <c r="CT30" s="253"/>
      <c r="CU30" s="139"/>
      <c r="CV30" s="143"/>
      <c r="CW30" s="253"/>
      <c r="CX30" s="253"/>
      <c r="CY30" s="253"/>
      <c r="CZ30" s="253"/>
      <c r="DA30" s="139"/>
      <c r="DB30" s="143"/>
      <c r="DC30" s="253"/>
      <c r="DD30" s="253"/>
      <c r="DE30" s="253"/>
      <c r="DF30" s="253"/>
      <c r="DG30" s="139"/>
      <c r="DH30" s="143"/>
      <c r="DI30" s="253"/>
      <c r="DJ30" s="253"/>
      <c r="DK30" s="253"/>
      <c r="DL30" s="253"/>
      <c r="DM30" s="139"/>
      <c r="DN30" s="143"/>
      <c r="DO30" s="253"/>
      <c r="DP30" s="253"/>
      <c r="DQ30" s="253"/>
      <c r="DR30" s="253"/>
      <c r="DS30" s="139"/>
      <c r="DT30" s="143"/>
      <c r="DU30" s="253"/>
      <c r="DV30" s="253"/>
      <c r="DW30" s="253"/>
      <c r="DX30" s="253"/>
      <c r="DY30" s="139"/>
      <c r="DZ30" s="143"/>
      <c r="EA30" s="253"/>
      <c r="EB30" s="253"/>
      <c r="EC30" s="253"/>
      <c r="ED30" s="253"/>
      <c r="EE30" s="139"/>
      <c r="EF30" s="135">
        <f t="shared" si="0"/>
        <v>27</v>
      </c>
      <c r="EH30" s="210"/>
    </row>
    <row r="31" spans="1:138" x14ac:dyDescent="0.2">
      <c r="A31" s="159">
        <v>28</v>
      </c>
      <c r="B31" s="140"/>
      <c r="C31" s="491"/>
      <c r="D31" s="140"/>
      <c r="E31" s="491"/>
      <c r="F31" s="140"/>
      <c r="G31" s="491"/>
      <c r="H31" s="138"/>
      <c r="I31" s="491"/>
      <c r="J31" s="140"/>
      <c r="K31" s="491"/>
      <c r="L31" s="140"/>
      <c r="M31" s="491"/>
      <c r="N31" s="140"/>
      <c r="O31" s="491"/>
      <c r="P31" s="138"/>
      <c r="Q31" s="491"/>
      <c r="R31" s="140"/>
      <c r="S31" s="491"/>
      <c r="T31" s="138"/>
      <c r="U31" s="491"/>
      <c r="V31" s="138"/>
      <c r="W31" s="491"/>
      <c r="X31" s="138"/>
      <c r="Y31" s="491"/>
      <c r="Z31" s="138"/>
      <c r="AA31" s="491"/>
      <c r="AB31" s="138"/>
      <c r="AC31" s="491"/>
      <c r="AD31" s="138"/>
      <c r="AE31" s="491"/>
      <c r="AF31" s="138"/>
      <c r="AG31" s="491"/>
      <c r="AH31" s="138"/>
      <c r="AI31" s="141"/>
      <c r="AJ31" s="138"/>
      <c r="AK31" s="131"/>
      <c r="AL31" s="138"/>
      <c r="AM31" s="131"/>
      <c r="AN31" s="140"/>
      <c r="AO31" s="131"/>
      <c r="AP31" s="140"/>
      <c r="AQ31" s="131"/>
      <c r="AR31" s="140"/>
      <c r="AS31" s="131"/>
      <c r="AT31" s="167"/>
      <c r="AU31" s="131"/>
      <c r="AV31" s="140"/>
      <c r="AW31" s="131"/>
      <c r="AX31" s="140"/>
      <c r="AY31" s="131"/>
      <c r="AZ31" s="160"/>
      <c r="BA31" s="131"/>
      <c r="BB31" s="146"/>
      <c r="BC31" s="131"/>
      <c r="BD31" s="142"/>
      <c r="BE31" s="131"/>
      <c r="BF31" s="142"/>
      <c r="BG31" s="135"/>
      <c r="BH31" s="135"/>
      <c r="BI31" s="135"/>
      <c r="BJ31" s="135"/>
      <c r="BK31" s="135"/>
      <c r="BL31" s="142"/>
      <c r="BM31" s="135"/>
      <c r="BN31" s="135"/>
      <c r="BO31" s="135"/>
      <c r="BP31" s="135"/>
      <c r="BQ31" s="131"/>
      <c r="BR31" s="146"/>
      <c r="BS31" s="135"/>
      <c r="BT31" s="135"/>
      <c r="BU31" s="135"/>
      <c r="BV31" s="135"/>
      <c r="BW31" s="131"/>
      <c r="BX31" s="146"/>
      <c r="BY31" s="135"/>
      <c r="BZ31" s="135"/>
      <c r="CA31" s="135"/>
      <c r="CB31" s="135"/>
      <c r="CC31" s="131"/>
      <c r="CD31" s="146"/>
      <c r="CE31" s="135"/>
      <c r="CF31" s="135"/>
      <c r="CG31" s="135"/>
      <c r="CH31" s="135"/>
      <c r="CI31" s="131"/>
      <c r="CJ31" s="146"/>
      <c r="CK31" s="135"/>
      <c r="CL31" s="135"/>
      <c r="CM31" s="135"/>
      <c r="CN31" s="135"/>
      <c r="CO31" s="131"/>
      <c r="CP31" s="146"/>
      <c r="CQ31" s="135"/>
      <c r="CR31" s="135"/>
      <c r="CS31" s="135"/>
      <c r="CT31" s="135"/>
      <c r="CU31" s="131"/>
      <c r="CV31" s="146"/>
      <c r="CW31" s="135"/>
      <c r="CX31" s="135"/>
      <c r="CY31" s="135"/>
      <c r="CZ31" s="135"/>
      <c r="DA31" s="131"/>
      <c r="DB31" s="146"/>
      <c r="DC31" s="135"/>
      <c r="DD31" s="135"/>
      <c r="DE31" s="135"/>
      <c r="DF31" s="135"/>
      <c r="DG31" s="131"/>
      <c r="DH31" s="146"/>
      <c r="DI31" s="135"/>
      <c r="DJ31" s="135"/>
      <c r="DK31" s="135"/>
      <c r="DL31" s="135"/>
      <c r="DM31" s="131"/>
      <c r="DN31" s="146"/>
      <c r="DO31" s="135"/>
      <c r="DP31" s="135"/>
      <c r="DQ31" s="135"/>
      <c r="DR31" s="135"/>
      <c r="DS31" s="131"/>
      <c r="DT31" s="146"/>
      <c r="DU31" s="135"/>
      <c r="DV31" s="135"/>
      <c r="DW31" s="135"/>
      <c r="DX31" s="135"/>
      <c r="DY31" s="131"/>
      <c r="DZ31" s="146"/>
      <c r="EA31" s="135"/>
      <c r="EB31" s="135"/>
      <c r="EC31" s="135"/>
      <c r="ED31" s="135"/>
      <c r="EE31" s="131"/>
      <c r="EF31" s="135">
        <f t="shared" si="0"/>
        <v>28</v>
      </c>
      <c r="EH31" s="210"/>
    </row>
    <row r="32" spans="1:138" x14ac:dyDescent="0.2">
      <c r="A32" s="159">
        <v>29</v>
      </c>
      <c r="B32" s="140"/>
      <c r="C32" s="491"/>
      <c r="D32" s="140"/>
      <c r="E32" s="491"/>
      <c r="F32" s="140"/>
      <c r="G32" s="491"/>
      <c r="H32" s="138"/>
      <c r="I32" s="491"/>
      <c r="J32" s="140"/>
      <c r="K32" s="491"/>
      <c r="L32" s="140"/>
      <c r="M32" s="491"/>
      <c r="N32" s="140"/>
      <c r="O32" s="491"/>
      <c r="P32" s="138"/>
      <c r="Q32" s="491"/>
      <c r="R32" s="140"/>
      <c r="S32" s="491"/>
      <c r="T32" s="138"/>
      <c r="U32" s="491"/>
      <c r="V32" s="138"/>
      <c r="W32" s="491"/>
      <c r="X32" s="138"/>
      <c r="Y32" s="491"/>
      <c r="Z32" s="138"/>
      <c r="AA32" s="491"/>
      <c r="AB32" s="138"/>
      <c r="AC32" s="491"/>
      <c r="AD32" s="140"/>
      <c r="AE32" s="491"/>
      <c r="AF32" s="138"/>
      <c r="AG32" s="491"/>
      <c r="AH32" s="140"/>
      <c r="AI32" s="141"/>
      <c r="AJ32" s="138"/>
      <c r="AK32" s="131"/>
      <c r="AL32" s="138"/>
      <c r="AM32" s="131"/>
      <c r="AN32" s="140"/>
      <c r="AO32" s="131"/>
      <c r="AP32" s="167"/>
      <c r="AQ32" s="131"/>
      <c r="AR32" s="167"/>
      <c r="AS32" s="131"/>
      <c r="AT32" s="167"/>
      <c r="AU32" s="131"/>
      <c r="AV32" s="167"/>
      <c r="AW32" s="131"/>
      <c r="AX32" s="140"/>
      <c r="AY32" s="131"/>
      <c r="AZ32" s="160"/>
      <c r="BA32" s="131"/>
      <c r="BB32" s="142"/>
      <c r="BC32" s="131"/>
      <c r="BD32" s="142"/>
      <c r="BE32" s="131"/>
      <c r="BF32" s="146"/>
      <c r="BG32" s="135"/>
      <c r="BH32" s="135"/>
      <c r="BI32" s="135"/>
      <c r="BJ32" s="135"/>
      <c r="BK32" s="135"/>
      <c r="BL32" s="146"/>
      <c r="BM32" s="135"/>
      <c r="BN32" s="135"/>
      <c r="BO32" s="135"/>
      <c r="BP32" s="135"/>
      <c r="BQ32" s="131"/>
      <c r="BR32" s="146"/>
      <c r="BS32" s="135"/>
      <c r="BT32" s="135"/>
      <c r="BU32" s="135"/>
      <c r="BV32" s="135"/>
      <c r="BW32" s="131"/>
      <c r="BX32" s="146"/>
      <c r="BY32" s="135"/>
      <c r="BZ32" s="135"/>
      <c r="CA32" s="135"/>
      <c r="CB32" s="135"/>
      <c r="CC32" s="131"/>
      <c r="CD32" s="146"/>
      <c r="CE32" s="135"/>
      <c r="CF32" s="135"/>
      <c r="CG32" s="135"/>
      <c r="CH32" s="135"/>
      <c r="CI32" s="131"/>
      <c r="CJ32" s="146"/>
      <c r="CK32" s="135"/>
      <c r="CL32" s="135"/>
      <c r="CM32" s="135"/>
      <c r="CN32" s="135"/>
      <c r="CO32" s="131"/>
      <c r="CP32" s="146"/>
      <c r="CQ32" s="135"/>
      <c r="CR32" s="135"/>
      <c r="CS32" s="135"/>
      <c r="CT32" s="135"/>
      <c r="CU32" s="131"/>
      <c r="CV32" s="146"/>
      <c r="CW32" s="135"/>
      <c r="CX32" s="135"/>
      <c r="CY32" s="135"/>
      <c r="CZ32" s="135"/>
      <c r="DA32" s="131"/>
      <c r="DB32" s="146"/>
      <c r="DC32" s="135"/>
      <c r="DD32" s="135"/>
      <c r="DE32" s="135"/>
      <c r="DF32" s="135"/>
      <c r="DG32" s="131"/>
      <c r="DH32" s="146"/>
      <c r="DI32" s="135"/>
      <c r="DJ32" s="135"/>
      <c r="DK32" s="135"/>
      <c r="DL32" s="135"/>
      <c r="DM32" s="131"/>
      <c r="DN32" s="146"/>
      <c r="DO32" s="135"/>
      <c r="DP32" s="135"/>
      <c r="DQ32" s="135"/>
      <c r="DR32" s="135"/>
      <c r="DS32" s="131"/>
      <c r="DT32" s="146"/>
      <c r="DU32" s="135"/>
      <c r="DV32" s="135"/>
      <c r="DW32" s="135"/>
      <c r="DX32" s="135"/>
      <c r="DY32" s="131"/>
      <c r="DZ32" s="146"/>
      <c r="EA32" s="135"/>
      <c r="EB32" s="135"/>
      <c r="EC32" s="135"/>
      <c r="ED32" s="135"/>
      <c r="EE32" s="131"/>
      <c r="EF32" s="135">
        <f t="shared" si="0"/>
        <v>29</v>
      </c>
      <c r="EH32" s="210"/>
    </row>
    <row r="33" spans="1:138" x14ac:dyDescent="0.2">
      <c r="A33" s="159">
        <v>30</v>
      </c>
      <c r="B33" s="138"/>
      <c r="C33" s="491"/>
      <c r="D33" s="140"/>
      <c r="E33" s="491"/>
      <c r="F33" s="140"/>
      <c r="G33" s="491"/>
      <c r="H33" s="138"/>
      <c r="I33" s="491"/>
      <c r="J33" s="140"/>
      <c r="K33" s="491"/>
      <c r="L33" s="140"/>
      <c r="M33" s="491"/>
      <c r="N33" s="138"/>
      <c r="O33" s="491"/>
      <c r="P33" s="138"/>
      <c r="Q33" s="491"/>
      <c r="R33" s="140"/>
      <c r="S33" s="491"/>
      <c r="T33" s="138"/>
      <c r="U33" s="491"/>
      <c r="V33" s="138"/>
      <c r="W33" s="491"/>
      <c r="X33" s="138"/>
      <c r="Y33" s="491"/>
      <c r="Z33" s="138"/>
      <c r="AA33" s="491"/>
      <c r="AB33" s="138"/>
      <c r="AC33" s="491"/>
      <c r="AD33" s="140"/>
      <c r="AE33" s="491"/>
      <c r="AF33" s="138"/>
      <c r="AG33" s="491"/>
      <c r="AH33" s="138"/>
      <c r="AI33" s="141"/>
      <c r="AJ33" s="138"/>
      <c r="AK33" s="131"/>
      <c r="AL33" s="138"/>
      <c r="AM33" s="131"/>
      <c r="AN33" s="138"/>
      <c r="AO33" s="131"/>
      <c r="AP33" s="167"/>
      <c r="AQ33" s="131"/>
      <c r="AR33" s="167"/>
      <c r="AS33" s="131"/>
      <c r="AT33" s="140"/>
      <c r="AU33" s="131"/>
      <c r="AV33" s="167"/>
      <c r="AW33" s="131"/>
      <c r="AX33" s="140"/>
      <c r="AY33" s="131"/>
      <c r="AZ33" s="160"/>
      <c r="BA33" s="131"/>
      <c r="BB33" s="142"/>
      <c r="BC33" s="131"/>
      <c r="BD33" s="146"/>
      <c r="BE33" s="131"/>
      <c r="BF33" s="146"/>
      <c r="BG33" s="135"/>
      <c r="BH33" s="135"/>
      <c r="BI33" s="135"/>
      <c r="BJ33" s="135"/>
      <c r="BK33" s="135"/>
      <c r="BL33" s="146"/>
      <c r="BM33" s="135"/>
      <c r="BN33" s="135"/>
      <c r="BO33" s="135"/>
      <c r="BP33" s="135"/>
      <c r="BQ33" s="131"/>
      <c r="BR33" s="146"/>
      <c r="BS33" s="135"/>
      <c r="BT33" s="135"/>
      <c r="BU33" s="135"/>
      <c r="BV33" s="135"/>
      <c r="BW33" s="131"/>
      <c r="BX33" s="146"/>
      <c r="BY33" s="135"/>
      <c r="BZ33" s="135"/>
      <c r="CA33" s="135"/>
      <c r="CB33" s="135"/>
      <c r="CC33" s="131"/>
      <c r="CD33" s="146"/>
      <c r="CE33" s="135"/>
      <c r="CF33" s="135"/>
      <c r="CG33" s="135"/>
      <c r="CH33" s="135"/>
      <c r="CI33" s="131"/>
      <c r="CJ33" s="146"/>
      <c r="CK33" s="135"/>
      <c r="CL33" s="135"/>
      <c r="CM33" s="135"/>
      <c r="CN33" s="135"/>
      <c r="CO33" s="131"/>
      <c r="CP33" s="146"/>
      <c r="CQ33" s="135"/>
      <c r="CR33" s="135"/>
      <c r="CS33" s="135"/>
      <c r="CT33" s="135"/>
      <c r="CU33" s="131"/>
      <c r="CV33" s="146"/>
      <c r="CW33" s="135"/>
      <c r="CX33" s="135"/>
      <c r="CY33" s="135"/>
      <c r="CZ33" s="135"/>
      <c r="DA33" s="131"/>
      <c r="DB33" s="146"/>
      <c r="DC33" s="135"/>
      <c r="DD33" s="135"/>
      <c r="DE33" s="135"/>
      <c r="DF33" s="135"/>
      <c r="DG33" s="131"/>
      <c r="DH33" s="146"/>
      <c r="DI33" s="135"/>
      <c r="DJ33" s="135"/>
      <c r="DK33" s="135"/>
      <c r="DL33" s="135"/>
      <c r="DM33" s="131"/>
      <c r="DN33" s="146"/>
      <c r="DO33" s="135"/>
      <c r="DP33" s="135"/>
      <c r="DQ33" s="135"/>
      <c r="DR33" s="135"/>
      <c r="DS33" s="131"/>
      <c r="DT33" s="146"/>
      <c r="DU33" s="135"/>
      <c r="DV33" s="135"/>
      <c r="DW33" s="135"/>
      <c r="DX33" s="135"/>
      <c r="DY33" s="131"/>
      <c r="DZ33" s="146"/>
      <c r="EA33" s="135"/>
      <c r="EB33" s="135"/>
      <c r="EC33" s="135"/>
      <c r="ED33" s="135"/>
      <c r="EE33" s="131"/>
      <c r="EF33" s="135">
        <f t="shared" si="0"/>
        <v>30</v>
      </c>
      <c r="EH33" s="210"/>
    </row>
    <row r="34" spans="1:138" x14ac:dyDescent="0.2">
      <c r="A34" s="159">
        <v>31</v>
      </c>
      <c r="B34" s="138"/>
      <c r="C34" s="491"/>
      <c r="D34" s="138"/>
      <c r="E34" s="491"/>
      <c r="F34" s="138"/>
      <c r="G34" s="491"/>
      <c r="H34" s="138"/>
      <c r="I34" s="491"/>
      <c r="J34" s="140"/>
      <c r="K34" s="491"/>
      <c r="L34" s="140"/>
      <c r="M34" s="491"/>
      <c r="N34" s="138"/>
      <c r="O34" s="491"/>
      <c r="P34" s="138"/>
      <c r="Q34" s="491"/>
      <c r="R34" s="140"/>
      <c r="S34" s="491"/>
      <c r="T34" s="140"/>
      <c r="U34" s="491"/>
      <c r="V34" s="138"/>
      <c r="W34" s="491"/>
      <c r="X34" s="138"/>
      <c r="Y34" s="491"/>
      <c r="Z34" s="138"/>
      <c r="AA34" s="491"/>
      <c r="AB34" s="138"/>
      <c r="AC34" s="491"/>
      <c r="AD34" s="138"/>
      <c r="AE34" s="491"/>
      <c r="AF34" s="138"/>
      <c r="AG34" s="491"/>
      <c r="AH34" s="138"/>
      <c r="AI34" s="141"/>
      <c r="AJ34" s="138"/>
      <c r="AK34" s="131"/>
      <c r="AL34" s="138"/>
      <c r="AM34" s="131"/>
      <c r="AN34" s="138"/>
      <c r="AO34" s="131"/>
      <c r="AP34" s="167"/>
      <c r="AQ34" s="131"/>
      <c r="AR34" s="167"/>
      <c r="AS34" s="131"/>
      <c r="AT34" s="140"/>
      <c r="AU34" s="131"/>
      <c r="AV34" s="167"/>
      <c r="AW34" s="131"/>
      <c r="AX34" s="140"/>
      <c r="AY34" s="131"/>
      <c r="AZ34" s="160"/>
      <c r="BA34" s="131"/>
      <c r="BB34" s="146"/>
      <c r="BC34" s="131"/>
      <c r="BD34" s="146"/>
      <c r="BE34" s="131"/>
      <c r="BF34" s="146"/>
      <c r="BG34" s="135"/>
      <c r="BH34" s="135"/>
      <c r="BI34" s="135"/>
      <c r="BJ34" s="135"/>
      <c r="BK34" s="135"/>
      <c r="BL34" s="146"/>
      <c r="BM34" s="135"/>
      <c r="BN34" s="135"/>
      <c r="BO34" s="135"/>
      <c r="BP34" s="135"/>
      <c r="BQ34" s="131"/>
      <c r="BR34" s="146"/>
      <c r="BS34" s="135"/>
      <c r="BT34" s="135"/>
      <c r="BU34" s="135"/>
      <c r="BV34" s="135"/>
      <c r="BW34" s="131"/>
      <c r="BX34" s="146"/>
      <c r="BY34" s="135"/>
      <c r="BZ34" s="135"/>
      <c r="CA34" s="135"/>
      <c r="CB34" s="135"/>
      <c r="CC34" s="131"/>
      <c r="CD34" s="146"/>
      <c r="CE34" s="135"/>
      <c r="CF34" s="135"/>
      <c r="CG34" s="135"/>
      <c r="CH34" s="135"/>
      <c r="CI34" s="131"/>
      <c r="CJ34" s="146"/>
      <c r="CK34" s="135"/>
      <c r="CL34" s="135"/>
      <c r="CM34" s="135"/>
      <c r="CN34" s="135"/>
      <c r="CO34" s="131"/>
      <c r="CP34" s="146"/>
      <c r="CQ34" s="135"/>
      <c r="CR34" s="135"/>
      <c r="CS34" s="135"/>
      <c r="CT34" s="135"/>
      <c r="CU34" s="131"/>
      <c r="CV34" s="146"/>
      <c r="CW34" s="135"/>
      <c r="CX34" s="135"/>
      <c r="CY34" s="135"/>
      <c r="CZ34" s="135"/>
      <c r="DA34" s="131"/>
      <c r="DB34" s="146"/>
      <c r="DC34" s="135"/>
      <c r="DD34" s="135"/>
      <c r="DE34" s="135"/>
      <c r="DF34" s="135"/>
      <c r="DG34" s="131"/>
      <c r="DH34" s="146"/>
      <c r="DI34" s="135"/>
      <c r="DJ34" s="135"/>
      <c r="DK34" s="135"/>
      <c r="DL34" s="135"/>
      <c r="DM34" s="131"/>
      <c r="DN34" s="146"/>
      <c r="DO34" s="135"/>
      <c r="DP34" s="135"/>
      <c r="DQ34" s="135"/>
      <c r="DR34" s="135"/>
      <c r="DS34" s="131"/>
      <c r="DT34" s="146"/>
      <c r="DU34" s="135"/>
      <c r="DV34" s="135"/>
      <c r="DW34" s="135"/>
      <c r="DX34" s="135"/>
      <c r="DY34" s="131"/>
      <c r="DZ34" s="146"/>
      <c r="EA34" s="135"/>
      <c r="EB34" s="135"/>
      <c r="EC34" s="135"/>
      <c r="ED34" s="135"/>
      <c r="EE34" s="131"/>
      <c r="EF34" s="135">
        <f t="shared" si="0"/>
        <v>31</v>
      </c>
      <c r="EH34" s="210"/>
    </row>
    <row r="35" spans="1:138" x14ac:dyDescent="0.2">
      <c r="A35" s="159">
        <v>32</v>
      </c>
      <c r="B35" s="138"/>
      <c r="C35" s="491"/>
      <c r="D35" s="138"/>
      <c r="E35" s="491"/>
      <c r="F35" s="138"/>
      <c r="G35" s="491"/>
      <c r="H35" s="138"/>
      <c r="I35" s="491"/>
      <c r="J35" s="138"/>
      <c r="K35" s="491"/>
      <c r="L35" s="140"/>
      <c r="M35" s="491"/>
      <c r="N35" s="138"/>
      <c r="O35" s="491"/>
      <c r="P35" s="138"/>
      <c r="Q35" s="491"/>
      <c r="R35" s="138"/>
      <c r="S35" s="491"/>
      <c r="T35" s="138"/>
      <c r="U35" s="491"/>
      <c r="V35" s="138"/>
      <c r="W35" s="491"/>
      <c r="X35" s="138"/>
      <c r="Y35" s="491"/>
      <c r="Z35" s="138"/>
      <c r="AA35" s="491"/>
      <c r="AB35" s="138"/>
      <c r="AC35" s="491"/>
      <c r="AD35" s="138"/>
      <c r="AE35" s="491"/>
      <c r="AF35" s="138"/>
      <c r="AG35" s="491"/>
      <c r="AH35" s="138"/>
      <c r="AI35" s="141"/>
      <c r="AJ35" s="138"/>
      <c r="AK35" s="131"/>
      <c r="AL35" s="138"/>
      <c r="AM35" s="131"/>
      <c r="AN35" s="138"/>
      <c r="AO35" s="131"/>
      <c r="AP35" s="167"/>
      <c r="AQ35" s="131"/>
      <c r="AR35" s="167"/>
      <c r="AS35" s="131"/>
      <c r="AT35" s="140"/>
      <c r="AU35" s="131"/>
      <c r="AV35" s="140"/>
      <c r="AW35" s="131"/>
      <c r="AX35" s="140"/>
      <c r="AY35" s="131"/>
      <c r="AZ35" s="160"/>
      <c r="BA35" s="131"/>
      <c r="BB35" s="146"/>
      <c r="BC35" s="131"/>
      <c r="BD35" s="146"/>
      <c r="BE35" s="131"/>
      <c r="BF35" s="146"/>
      <c r="BG35" s="135"/>
      <c r="BH35" s="135"/>
      <c r="BI35" s="135"/>
      <c r="BJ35" s="135"/>
      <c r="BK35" s="135"/>
      <c r="BL35" s="146"/>
      <c r="BM35" s="135"/>
      <c r="BN35" s="135"/>
      <c r="BO35" s="135"/>
      <c r="BP35" s="135"/>
      <c r="BQ35" s="131"/>
      <c r="BR35" s="146"/>
      <c r="BS35" s="135"/>
      <c r="BT35" s="135"/>
      <c r="BU35" s="135"/>
      <c r="BV35" s="135"/>
      <c r="BW35" s="131"/>
      <c r="BX35" s="146"/>
      <c r="BY35" s="135"/>
      <c r="BZ35" s="135"/>
      <c r="CA35" s="135"/>
      <c r="CB35" s="135"/>
      <c r="CC35" s="131"/>
      <c r="CD35" s="146"/>
      <c r="CE35" s="135"/>
      <c r="CF35" s="135"/>
      <c r="CG35" s="135"/>
      <c r="CH35" s="135"/>
      <c r="CI35" s="131"/>
      <c r="CJ35" s="146"/>
      <c r="CK35" s="135"/>
      <c r="CL35" s="135"/>
      <c r="CM35" s="135"/>
      <c r="CN35" s="135"/>
      <c r="CO35" s="131"/>
      <c r="CP35" s="146"/>
      <c r="CQ35" s="135"/>
      <c r="CR35" s="135"/>
      <c r="CS35" s="135"/>
      <c r="CT35" s="135"/>
      <c r="CU35" s="131"/>
      <c r="CV35" s="146"/>
      <c r="CW35" s="135"/>
      <c r="CX35" s="135"/>
      <c r="CY35" s="135"/>
      <c r="CZ35" s="135"/>
      <c r="DA35" s="131"/>
      <c r="DB35" s="146"/>
      <c r="DC35" s="135"/>
      <c r="DD35" s="135"/>
      <c r="DE35" s="135"/>
      <c r="DF35" s="135"/>
      <c r="DG35" s="131"/>
      <c r="DH35" s="146"/>
      <c r="DI35" s="135"/>
      <c r="DJ35" s="135"/>
      <c r="DK35" s="135"/>
      <c r="DL35" s="135"/>
      <c r="DM35" s="131"/>
      <c r="DN35" s="146"/>
      <c r="DO35" s="135"/>
      <c r="DP35" s="135"/>
      <c r="DQ35" s="135"/>
      <c r="DR35" s="135"/>
      <c r="DS35" s="131"/>
      <c r="DT35" s="146"/>
      <c r="DU35" s="135"/>
      <c r="DV35" s="135"/>
      <c r="DW35" s="135"/>
      <c r="DX35" s="135"/>
      <c r="DY35" s="131"/>
      <c r="DZ35" s="146"/>
      <c r="EA35" s="135"/>
      <c r="EB35" s="135"/>
      <c r="EC35" s="135"/>
      <c r="ED35" s="135"/>
      <c r="EE35" s="131"/>
      <c r="EF35" s="135">
        <f t="shared" si="0"/>
        <v>32</v>
      </c>
      <c r="EH35" s="210"/>
    </row>
    <row r="36" spans="1:138" x14ac:dyDescent="0.2">
      <c r="A36" s="159">
        <v>33</v>
      </c>
      <c r="B36" s="138"/>
      <c r="C36" s="491"/>
      <c r="D36" s="138"/>
      <c r="E36" s="491"/>
      <c r="F36" s="138"/>
      <c r="G36" s="491"/>
      <c r="H36" s="138"/>
      <c r="I36" s="491"/>
      <c r="J36" s="138"/>
      <c r="K36" s="491"/>
      <c r="L36" s="140"/>
      <c r="M36" s="491"/>
      <c r="N36" s="138"/>
      <c r="O36" s="491"/>
      <c r="P36" s="138"/>
      <c r="Q36" s="491"/>
      <c r="R36" s="138"/>
      <c r="S36" s="491"/>
      <c r="T36" s="138"/>
      <c r="U36" s="491"/>
      <c r="V36" s="138"/>
      <c r="W36" s="491"/>
      <c r="X36" s="138"/>
      <c r="Y36" s="491"/>
      <c r="Z36" s="138"/>
      <c r="AA36" s="491"/>
      <c r="AB36" s="138"/>
      <c r="AC36" s="491"/>
      <c r="AD36" s="138"/>
      <c r="AE36" s="491"/>
      <c r="AF36" s="138"/>
      <c r="AG36" s="491"/>
      <c r="AH36" s="138"/>
      <c r="AI36" s="141"/>
      <c r="AJ36" s="138"/>
      <c r="AK36" s="131"/>
      <c r="AL36" s="138"/>
      <c r="AM36" s="131"/>
      <c r="AN36" s="138"/>
      <c r="AO36" s="131"/>
      <c r="AP36" s="167"/>
      <c r="AQ36" s="131"/>
      <c r="AR36" s="167"/>
      <c r="AS36" s="131"/>
      <c r="AT36" s="140"/>
      <c r="AU36" s="131"/>
      <c r="AV36" s="140"/>
      <c r="AW36" s="131"/>
      <c r="AX36" s="140"/>
      <c r="AY36" s="131"/>
      <c r="AZ36" s="135"/>
      <c r="BA36" s="131"/>
      <c r="BB36" s="146"/>
      <c r="BC36" s="131"/>
      <c r="BD36" s="146"/>
      <c r="BE36" s="131"/>
      <c r="BF36" s="146"/>
      <c r="BG36" s="135"/>
      <c r="BH36" s="135"/>
      <c r="BI36" s="135"/>
      <c r="BJ36" s="135"/>
      <c r="BK36" s="135"/>
      <c r="BL36" s="146"/>
      <c r="BM36" s="135"/>
      <c r="BN36" s="135"/>
      <c r="BO36" s="135"/>
      <c r="BP36" s="135"/>
      <c r="BQ36" s="131"/>
      <c r="BR36" s="146"/>
      <c r="BS36" s="135"/>
      <c r="BT36" s="135"/>
      <c r="BU36" s="135"/>
      <c r="BV36" s="135"/>
      <c r="BW36" s="131"/>
      <c r="BX36" s="146"/>
      <c r="BY36" s="135"/>
      <c r="BZ36" s="135"/>
      <c r="CA36" s="135"/>
      <c r="CB36" s="135"/>
      <c r="CC36" s="131"/>
      <c r="CD36" s="146"/>
      <c r="CE36" s="135"/>
      <c r="CF36" s="135"/>
      <c r="CG36" s="135"/>
      <c r="CH36" s="135"/>
      <c r="CI36" s="131"/>
      <c r="CJ36" s="146"/>
      <c r="CK36" s="135"/>
      <c r="CL36" s="135"/>
      <c r="CM36" s="135"/>
      <c r="CN36" s="135"/>
      <c r="CO36" s="131"/>
      <c r="CP36" s="146"/>
      <c r="CQ36" s="135"/>
      <c r="CR36" s="135"/>
      <c r="CS36" s="135"/>
      <c r="CT36" s="135"/>
      <c r="CU36" s="131"/>
      <c r="CV36" s="146"/>
      <c r="CW36" s="135"/>
      <c r="CX36" s="135"/>
      <c r="CY36" s="135"/>
      <c r="CZ36" s="135"/>
      <c r="DA36" s="131"/>
      <c r="DB36" s="146"/>
      <c r="DC36" s="135"/>
      <c r="DD36" s="135"/>
      <c r="DE36" s="135"/>
      <c r="DF36" s="135"/>
      <c r="DG36" s="131"/>
      <c r="DH36" s="146"/>
      <c r="DI36" s="135"/>
      <c r="DJ36" s="135"/>
      <c r="DK36" s="135"/>
      <c r="DL36" s="135"/>
      <c r="DM36" s="131"/>
      <c r="DN36" s="146"/>
      <c r="DO36" s="135"/>
      <c r="DP36" s="135"/>
      <c r="DQ36" s="135"/>
      <c r="DR36" s="135"/>
      <c r="DS36" s="131"/>
      <c r="DT36" s="146"/>
      <c r="DU36" s="135"/>
      <c r="DV36" s="135"/>
      <c r="DW36" s="135"/>
      <c r="DX36" s="135"/>
      <c r="DY36" s="131"/>
      <c r="DZ36" s="146"/>
      <c r="EA36" s="135"/>
      <c r="EB36" s="135"/>
      <c r="EC36" s="135"/>
      <c r="ED36" s="135"/>
      <c r="EE36" s="131"/>
      <c r="EF36" s="135">
        <f t="shared" ref="EF36:EF56" si="1">A36</f>
        <v>33</v>
      </c>
      <c r="EH36" s="210"/>
    </row>
    <row r="37" spans="1:138" x14ac:dyDescent="0.2">
      <c r="A37" s="159">
        <v>34</v>
      </c>
      <c r="B37" s="138"/>
      <c r="C37" s="491"/>
      <c r="D37" s="140"/>
      <c r="E37" s="491"/>
      <c r="F37" s="138"/>
      <c r="G37" s="491"/>
      <c r="H37" s="140"/>
      <c r="I37" s="491"/>
      <c r="J37" s="138"/>
      <c r="K37" s="491"/>
      <c r="L37" s="140"/>
      <c r="M37" s="491"/>
      <c r="N37" s="138"/>
      <c r="O37" s="491"/>
      <c r="P37" s="140"/>
      <c r="Q37" s="491"/>
      <c r="R37" s="138"/>
      <c r="S37" s="491"/>
      <c r="T37" s="138"/>
      <c r="U37" s="491"/>
      <c r="V37" s="138"/>
      <c r="W37" s="491"/>
      <c r="X37" s="140"/>
      <c r="Y37" s="491"/>
      <c r="Z37" s="138"/>
      <c r="AA37" s="491"/>
      <c r="AB37" s="138"/>
      <c r="AC37" s="491"/>
      <c r="AD37" s="138"/>
      <c r="AE37" s="491"/>
      <c r="AF37" s="138"/>
      <c r="AG37" s="491"/>
      <c r="AH37" s="138"/>
      <c r="AI37" s="141"/>
      <c r="AJ37" s="147"/>
      <c r="AK37" s="131"/>
      <c r="AL37" s="147"/>
      <c r="AM37" s="131"/>
      <c r="AN37" s="147"/>
      <c r="AO37" s="131"/>
      <c r="AP37" s="168"/>
      <c r="AQ37" s="131"/>
      <c r="AR37" s="168"/>
      <c r="AS37" s="131"/>
      <c r="AT37" s="140"/>
      <c r="AU37" s="131"/>
      <c r="AV37" s="140"/>
      <c r="AW37" s="131"/>
      <c r="AX37" s="140"/>
      <c r="AY37" s="131"/>
      <c r="AZ37" s="160"/>
      <c r="BA37" s="131"/>
      <c r="BB37" s="146"/>
      <c r="BC37" s="131"/>
      <c r="BD37" s="142"/>
      <c r="BE37" s="131"/>
      <c r="BF37" s="146"/>
      <c r="BG37" s="135"/>
      <c r="BH37" s="135"/>
      <c r="BI37" s="135"/>
      <c r="BJ37" s="135"/>
      <c r="BK37" s="135"/>
      <c r="BL37" s="146"/>
      <c r="BM37" s="135"/>
      <c r="BN37" s="135"/>
      <c r="BO37" s="135"/>
      <c r="BP37" s="135"/>
      <c r="BQ37" s="131"/>
      <c r="BR37" s="146"/>
      <c r="BS37" s="135"/>
      <c r="BT37" s="135"/>
      <c r="BU37" s="135"/>
      <c r="BV37" s="135"/>
      <c r="BW37" s="131"/>
      <c r="BX37" s="146"/>
      <c r="BY37" s="135"/>
      <c r="BZ37" s="135"/>
      <c r="CA37" s="135"/>
      <c r="CB37" s="135"/>
      <c r="CC37" s="131"/>
      <c r="CD37" s="146"/>
      <c r="CE37" s="135"/>
      <c r="CF37" s="135"/>
      <c r="CG37" s="135"/>
      <c r="CH37" s="135"/>
      <c r="CI37" s="131"/>
      <c r="CJ37" s="146"/>
      <c r="CK37" s="135"/>
      <c r="CL37" s="135"/>
      <c r="CM37" s="135"/>
      <c r="CN37" s="135"/>
      <c r="CO37" s="131"/>
      <c r="CP37" s="146"/>
      <c r="CQ37" s="135"/>
      <c r="CR37" s="135"/>
      <c r="CS37" s="135"/>
      <c r="CT37" s="135"/>
      <c r="CU37" s="131"/>
      <c r="CV37" s="146"/>
      <c r="CW37" s="135"/>
      <c r="CX37" s="135"/>
      <c r="CY37" s="135"/>
      <c r="CZ37" s="135"/>
      <c r="DA37" s="131"/>
      <c r="DB37" s="146"/>
      <c r="DC37" s="135"/>
      <c r="DD37" s="135"/>
      <c r="DE37" s="135"/>
      <c r="DF37" s="135"/>
      <c r="DG37" s="131"/>
      <c r="DH37" s="146"/>
      <c r="DI37" s="135"/>
      <c r="DJ37" s="135"/>
      <c r="DK37" s="135"/>
      <c r="DL37" s="135"/>
      <c r="DM37" s="131"/>
      <c r="DN37" s="146"/>
      <c r="DO37" s="135"/>
      <c r="DP37" s="135"/>
      <c r="DQ37" s="135"/>
      <c r="DR37" s="135"/>
      <c r="DS37" s="131"/>
      <c r="DT37" s="146"/>
      <c r="DU37" s="135"/>
      <c r="DV37" s="135"/>
      <c r="DW37" s="135"/>
      <c r="DX37" s="135"/>
      <c r="DY37" s="131"/>
      <c r="DZ37" s="146"/>
      <c r="EA37" s="135"/>
      <c r="EB37" s="135"/>
      <c r="EC37" s="135"/>
      <c r="ED37" s="135"/>
      <c r="EE37" s="131"/>
      <c r="EF37" s="135">
        <f t="shared" si="1"/>
        <v>34</v>
      </c>
      <c r="EH37" s="210"/>
    </row>
    <row r="38" spans="1:138" x14ac:dyDescent="0.2">
      <c r="A38" s="159">
        <v>35</v>
      </c>
      <c r="B38" s="138"/>
      <c r="C38" s="491"/>
      <c r="D38" s="140"/>
      <c r="E38" s="491"/>
      <c r="F38" s="138"/>
      <c r="G38" s="491"/>
      <c r="H38" s="140"/>
      <c r="I38" s="491"/>
      <c r="J38" s="138"/>
      <c r="K38" s="491"/>
      <c r="L38" s="140"/>
      <c r="M38" s="491"/>
      <c r="N38" s="138"/>
      <c r="O38" s="491"/>
      <c r="P38" s="140"/>
      <c r="Q38" s="491"/>
      <c r="R38" s="138"/>
      <c r="S38" s="491"/>
      <c r="T38" s="140"/>
      <c r="U38" s="491"/>
      <c r="V38" s="138"/>
      <c r="W38" s="491"/>
      <c r="X38" s="140"/>
      <c r="Y38" s="491"/>
      <c r="Z38" s="138"/>
      <c r="AA38" s="491"/>
      <c r="AB38" s="140"/>
      <c r="AC38" s="491"/>
      <c r="AD38" s="138"/>
      <c r="AE38" s="491"/>
      <c r="AF38" s="140"/>
      <c r="AG38" s="491"/>
      <c r="AH38" s="138"/>
      <c r="AI38" s="141"/>
      <c r="AJ38" s="140"/>
      <c r="AK38" s="131"/>
      <c r="AL38" s="147"/>
      <c r="AM38" s="131"/>
      <c r="AN38" s="140"/>
      <c r="AO38" s="131"/>
      <c r="AP38" s="168"/>
      <c r="AQ38" s="131"/>
      <c r="AR38" s="140"/>
      <c r="AS38" s="131"/>
      <c r="AT38" s="140"/>
      <c r="AU38" s="131"/>
      <c r="AV38" s="140"/>
      <c r="AW38" s="131"/>
      <c r="AX38" s="168"/>
      <c r="AY38" s="131"/>
      <c r="AZ38" s="160"/>
      <c r="BA38" s="131"/>
      <c r="BB38" s="146"/>
      <c r="BC38" s="131"/>
      <c r="BD38" s="142"/>
      <c r="BE38" s="131"/>
      <c r="BF38" s="146"/>
      <c r="BG38" s="135"/>
      <c r="BH38" s="135"/>
      <c r="BI38" s="135"/>
      <c r="BJ38" s="135"/>
      <c r="BK38" s="135"/>
      <c r="BL38" s="142"/>
      <c r="BM38" s="135"/>
      <c r="BN38" s="135"/>
      <c r="BO38" s="135"/>
      <c r="BP38" s="135"/>
      <c r="BQ38" s="131"/>
      <c r="BR38" s="146"/>
      <c r="BS38" s="135"/>
      <c r="BT38" s="135"/>
      <c r="BU38" s="135"/>
      <c r="BV38" s="135"/>
      <c r="BW38" s="131"/>
      <c r="BX38" s="146"/>
      <c r="BY38" s="135"/>
      <c r="BZ38" s="135"/>
      <c r="CA38" s="135"/>
      <c r="CB38" s="135"/>
      <c r="CC38" s="131"/>
      <c r="CD38" s="146"/>
      <c r="CE38" s="135"/>
      <c r="CF38" s="135"/>
      <c r="CG38" s="135"/>
      <c r="CH38" s="135"/>
      <c r="CI38" s="131"/>
      <c r="CJ38" s="146"/>
      <c r="CK38" s="135"/>
      <c r="CL38" s="135"/>
      <c r="CM38" s="135"/>
      <c r="CN38" s="135"/>
      <c r="CO38" s="131"/>
      <c r="CP38" s="146"/>
      <c r="CQ38" s="135"/>
      <c r="CR38" s="135"/>
      <c r="CS38" s="135"/>
      <c r="CT38" s="135"/>
      <c r="CU38" s="131"/>
      <c r="CV38" s="146"/>
      <c r="CW38" s="135"/>
      <c r="CX38" s="135"/>
      <c r="CY38" s="135"/>
      <c r="CZ38" s="135"/>
      <c r="DA38" s="131"/>
      <c r="DB38" s="146"/>
      <c r="DC38" s="135"/>
      <c r="DD38" s="135"/>
      <c r="DE38" s="135"/>
      <c r="DF38" s="135"/>
      <c r="DG38" s="131"/>
      <c r="DH38" s="146"/>
      <c r="DI38" s="135"/>
      <c r="DJ38" s="135"/>
      <c r="DK38" s="135"/>
      <c r="DL38" s="135"/>
      <c r="DM38" s="131"/>
      <c r="DN38" s="146"/>
      <c r="DO38" s="135"/>
      <c r="DP38" s="135"/>
      <c r="DQ38" s="135"/>
      <c r="DR38" s="135"/>
      <c r="DS38" s="131"/>
      <c r="DT38" s="146"/>
      <c r="DU38" s="135"/>
      <c r="DV38" s="135"/>
      <c r="DW38" s="135"/>
      <c r="DX38" s="135"/>
      <c r="DY38" s="131"/>
      <c r="DZ38" s="146"/>
      <c r="EA38" s="135"/>
      <c r="EB38" s="135"/>
      <c r="EC38" s="135"/>
      <c r="ED38" s="135"/>
      <c r="EE38" s="131"/>
      <c r="EF38" s="135">
        <f t="shared" si="1"/>
        <v>35</v>
      </c>
      <c r="EH38" s="210"/>
    </row>
    <row r="39" spans="1:138" x14ac:dyDescent="0.2">
      <c r="A39" s="159">
        <v>36</v>
      </c>
      <c r="B39" s="138"/>
      <c r="C39" s="491"/>
      <c r="D39" s="140"/>
      <c r="E39" s="491"/>
      <c r="F39" s="138"/>
      <c r="G39" s="491"/>
      <c r="H39" s="140"/>
      <c r="I39" s="491"/>
      <c r="J39" s="138"/>
      <c r="K39" s="491"/>
      <c r="L39" s="140"/>
      <c r="M39" s="491"/>
      <c r="N39" s="138"/>
      <c r="O39" s="491"/>
      <c r="P39" s="140"/>
      <c r="Q39" s="491"/>
      <c r="R39" s="138"/>
      <c r="S39" s="491"/>
      <c r="T39" s="140"/>
      <c r="U39" s="491"/>
      <c r="V39" s="138"/>
      <c r="W39" s="491"/>
      <c r="X39" s="140"/>
      <c r="Y39" s="491"/>
      <c r="Z39" s="138"/>
      <c r="AA39" s="491"/>
      <c r="AB39" s="140"/>
      <c r="AC39" s="491"/>
      <c r="AD39" s="138"/>
      <c r="AE39" s="491"/>
      <c r="AF39" s="140"/>
      <c r="AG39" s="491"/>
      <c r="AH39" s="138"/>
      <c r="AI39" s="141"/>
      <c r="AJ39" s="140"/>
      <c r="AK39" s="131"/>
      <c r="AL39" s="147"/>
      <c r="AM39" s="131"/>
      <c r="AN39" s="140"/>
      <c r="AO39" s="131"/>
      <c r="AP39" s="168"/>
      <c r="AQ39" s="131"/>
      <c r="AR39" s="140"/>
      <c r="AS39" s="131"/>
      <c r="AT39" s="140"/>
      <c r="AU39" s="131"/>
      <c r="AV39" s="140"/>
      <c r="AW39" s="131"/>
      <c r="AX39" s="168"/>
      <c r="AY39" s="131"/>
      <c r="AZ39" s="160"/>
      <c r="BA39" s="131"/>
      <c r="BB39" s="146"/>
      <c r="BC39" s="131"/>
      <c r="BD39" s="142"/>
      <c r="BE39" s="131"/>
      <c r="BF39" s="146"/>
      <c r="BG39" s="135"/>
      <c r="BH39" s="135"/>
      <c r="BI39" s="135"/>
      <c r="BJ39" s="135"/>
      <c r="BK39" s="135"/>
      <c r="BL39" s="142"/>
      <c r="BM39" s="135"/>
      <c r="BN39" s="135"/>
      <c r="BO39" s="135"/>
      <c r="BP39" s="135"/>
      <c r="BQ39" s="131"/>
      <c r="BR39" s="146"/>
      <c r="BS39" s="135"/>
      <c r="BT39" s="135"/>
      <c r="BU39" s="135"/>
      <c r="BV39" s="135"/>
      <c r="BW39" s="131"/>
      <c r="BX39" s="146"/>
      <c r="BY39" s="135"/>
      <c r="BZ39" s="135"/>
      <c r="CA39" s="135"/>
      <c r="CB39" s="135"/>
      <c r="CC39" s="131"/>
      <c r="CD39" s="146"/>
      <c r="CE39" s="135"/>
      <c r="CF39" s="135"/>
      <c r="CG39" s="135"/>
      <c r="CH39" s="135"/>
      <c r="CI39" s="131"/>
      <c r="CJ39" s="146"/>
      <c r="CK39" s="135"/>
      <c r="CL39" s="135"/>
      <c r="CM39" s="135"/>
      <c r="CN39" s="135"/>
      <c r="CO39" s="131"/>
      <c r="CP39" s="146"/>
      <c r="CQ39" s="135"/>
      <c r="CR39" s="135"/>
      <c r="CS39" s="135"/>
      <c r="CT39" s="135"/>
      <c r="CU39" s="131"/>
      <c r="CV39" s="146"/>
      <c r="CW39" s="135"/>
      <c r="CX39" s="135"/>
      <c r="CY39" s="135"/>
      <c r="CZ39" s="135"/>
      <c r="DA39" s="131"/>
      <c r="DB39" s="146"/>
      <c r="DC39" s="135"/>
      <c r="DD39" s="135"/>
      <c r="DE39" s="135"/>
      <c r="DF39" s="135"/>
      <c r="DG39" s="131"/>
      <c r="DH39" s="146"/>
      <c r="DI39" s="135"/>
      <c r="DJ39" s="135"/>
      <c r="DK39" s="135"/>
      <c r="DL39" s="135"/>
      <c r="DM39" s="131"/>
      <c r="DN39" s="146"/>
      <c r="DO39" s="135"/>
      <c r="DP39" s="135"/>
      <c r="DQ39" s="135"/>
      <c r="DR39" s="135"/>
      <c r="DS39" s="131"/>
      <c r="DT39" s="146"/>
      <c r="DU39" s="135"/>
      <c r="DV39" s="135"/>
      <c r="DW39" s="135"/>
      <c r="DX39" s="135"/>
      <c r="DY39" s="131"/>
      <c r="DZ39" s="146"/>
      <c r="EA39" s="135"/>
      <c r="EB39" s="135"/>
      <c r="EC39" s="135"/>
      <c r="ED39" s="135"/>
      <c r="EE39" s="131"/>
      <c r="EF39" s="135">
        <f t="shared" si="1"/>
        <v>36</v>
      </c>
      <c r="EH39" s="210"/>
    </row>
    <row r="40" spans="1:138" x14ac:dyDescent="0.2">
      <c r="A40" s="159">
        <v>37</v>
      </c>
      <c r="B40" s="138"/>
      <c r="C40" s="491"/>
      <c r="D40" s="140"/>
      <c r="E40" s="491"/>
      <c r="F40" s="140"/>
      <c r="G40" s="491"/>
      <c r="H40" s="140"/>
      <c r="I40" s="491"/>
      <c r="J40" s="140"/>
      <c r="K40" s="491"/>
      <c r="L40" s="140"/>
      <c r="M40" s="491"/>
      <c r="N40" s="140"/>
      <c r="O40" s="491"/>
      <c r="P40" s="140"/>
      <c r="Q40" s="491"/>
      <c r="R40" s="140"/>
      <c r="S40" s="491"/>
      <c r="T40" s="140"/>
      <c r="U40" s="491"/>
      <c r="V40" s="140"/>
      <c r="W40" s="491"/>
      <c r="X40" s="140"/>
      <c r="Y40" s="491"/>
      <c r="Z40" s="140"/>
      <c r="AA40" s="491"/>
      <c r="AB40" s="140"/>
      <c r="AC40" s="491"/>
      <c r="AD40" s="140"/>
      <c r="AE40" s="491"/>
      <c r="AF40" s="140"/>
      <c r="AG40" s="491"/>
      <c r="AH40" s="140"/>
      <c r="AI40" s="141"/>
      <c r="AJ40" s="140"/>
      <c r="AK40" s="131"/>
      <c r="AL40" s="147"/>
      <c r="AM40" s="131"/>
      <c r="AN40" s="140"/>
      <c r="AO40" s="131"/>
      <c r="AP40" s="168"/>
      <c r="AQ40" s="131"/>
      <c r="AR40" s="140"/>
      <c r="AS40" s="131"/>
      <c r="AT40" s="140"/>
      <c r="AU40" s="131"/>
      <c r="AV40" s="168"/>
      <c r="AW40" s="131"/>
      <c r="AX40" s="168"/>
      <c r="AY40" s="131"/>
      <c r="AZ40" s="160"/>
      <c r="BA40" s="131"/>
      <c r="BB40" s="146"/>
      <c r="BC40" s="131"/>
      <c r="BD40" s="142"/>
      <c r="BE40" s="131"/>
      <c r="BF40" s="146"/>
      <c r="BG40" s="135"/>
      <c r="BH40" s="135"/>
      <c r="BI40" s="135"/>
      <c r="BJ40" s="135"/>
      <c r="BK40" s="135"/>
      <c r="BL40" s="142"/>
      <c r="BM40" s="135"/>
      <c r="BN40" s="135"/>
      <c r="BO40" s="135"/>
      <c r="BP40" s="135"/>
      <c r="BQ40" s="131"/>
      <c r="BR40" s="146"/>
      <c r="BS40" s="135"/>
      <c r="BT40" s="135"/>
      <c r="BU40" s="135"/>
      <c r="BV40" s="135"/>
      <c r="BW40" s="131"/>
      <c r="BX40" s="146"/>
      <c r="BY40" s="135"/>
      <c r="BZ40" s="135"/>
      <c r="CA40" s="135"/>
      <c r="CB40" s="135"/>
      <c r="CC40" s="131"/>
      <c r="CD40" s="146"/>
      <c r="CE40" s="135"/>
      <c r="CF40" s="135"/>
      <c r="CG40" s="135"/>
      <c r="CH40" s="135"/>
      <c r="CI40" s="131"/>
      <c r="CJ40" s="146"/>
      <c r="CK40" s="135"/>
      <c r="CL40" s="135"/>
      <c r="CM40" s="135"/>
      <c r="CN40" s="135"/>
      <c r="CO40" s="131"/>
      <c r="CP40" s="146"/>
      <c r="CQ40" s="135"/>
      <c r="CR40" s="135"/>
      <c r="CS40" s="135"/>
      <c r="CT40" s="135"/>
      <c r="CU40" s="131"/>
      <c r="CV40" s="146"/>
      <c r="CW40" s="135"/>
      <c r="CX40" s="135"/>
      <c r="CY40" s="135"/>
      <c r="CZ40" s="135"/>
      <c r="DA40" s="131"/>
      <c r="DB40" s="146"/>
      <c r="DC40" s="135"/>
      <c r="DD40" s="135"/>
      <c r="DE40" s="135"/>
      <c r="DF40" s="135"/>
      <c r="DG40" s="131"/>
      <c r="DH40" s="146"/>
      <c r="DI40" s="135"/>
      <c r="DJ40" s="135"/>
      <c r="DK40" s="135"/>
      <c r="DL40" s="135"/>
      <c r="DM40" s="131"/>
      <c r="DN40" s="146"/>
      <c r="DO40" s="135"/>
      <c r="DP40" s="135"/>
      <c r="DQ40" s="135"/>
      <c r="DR40" s="135"/>
      <c r="DS40" s="131"/>
      <c r="DT40" s="146"/>
      <c r="DU40" s="135"/>
      <c r="DV40" s="135"/>
      <c r="DW40" s="135"/>
      <c r="DX40" s="135"/>
      <c r="DY40" s="131"/>
      <c r="DZ40" s="146"/>
      <c r="EA40" s="135"/>
      <c r="EB40" s="135"/>
      <c r="EC40" s="135"/>
      <c r="ED40" s="135"/>
      <c r="EE40" s="131"/>
      <c r="EF40" s="135">
        <f t="shared" si="1"/>
        <v>37</v>
      </c>
    </row>
    <row r="41" spans="1:138" x14ac:dyDescent="0.2">
      <c r="A41" s="159">
        <v>38</v>
      </c>
      <c r="B41" s="138"/>
      <c r="C41" s="491"/>
      <c r="D41" s="140"/>
      <c r="E41" s="491"/>
      <c r="F41" s="138"/>
      <c r="G41" s="491"/>
      <c r="H41" s="140"/>
      <c r="I41" s="491"/>
      <c r="J41" s="138"/>
      <c r="K41" s="491"/>
      <c r="L41" s="138"/>
      <c r="M41" s="491"/>
      <c r="N41" s="140"/>
      <c r="O41" s="491"/>
      <c r="P41" s="140"/>
      <c r="Q41" s="491"/>
      <c r="R41" s="138"/>
      <c r="S41" s="491"/>
      <c r="T41" s="140"/>
      <c r="U41" s="491"/>
      <c r="V41" s="138"/>
      <c r="W41" s="491"/>
      <c r="X41" s="140"/>
      <c r="Y41" s="491"/>
      <c r="Z41" s="138"/>
      <c r="AA41" s="491"/>
      <c r="AB41" s="140"/>
      <c r="AC41" s="491"/>
      <c r="AD41" s="138"/>
      <c r="AE41" s="491"/>
      <c r="AF41" s="138"/>
      <c r="AG41" s="491"/>
      <c r="AH41" s="138"/>
      <c r="AI41" s="141"/>
      <c r="AJ41" s="140"/>
      <c r="AK41" s="131"/>
      <c r="AL41" s="147"/>
      <c r="AM41" s="131"/>
      <c r="AN41" s="140"/>
      <c r="AO41" s="131"/>
      <c r="AP41" s="168"/>
      <c r="AQ41" s="131"/>
      <c r="AR41" s="140"/>
      <c r="AS41" s="131"/>
      <c r="AT41" s="140"/>
      <c r="AU41" s="131"/>
      <c r="AV41" s="168"/>
      <c r="AW41" s="131"/>
      <c r="AX41" s="168"/>
      <c r="AY41" s="131"/>
      <c r="AZ41" s="160"/>
      <c r="BA41" s="131"/>
      <c r="BB41" s="146"/>
      <c r="BC41" s="131"/>
      <c r="BD41" s="142"/>
      <c r="BE41" s="131"/>
      <c r="BF41" s="142"/>
      <c r="BG41" s="135"/>
      <c r="BH41" s="135"/>
      <c r="BI41" s="135"/>
      <c r="BJ41" s="135"/>
      <c r="BK41" s="135"/>
      <c r="BL41" s="146"/>
      <c r="BM41" s="135"/>
      <c r="BN41" s="135"/>
      <c r="BO41" s="135"/>
      <c r="BP41" s="135"/>
      <c r="BQ41" s="131"/>
      <c r="BR41" s="146"/>
      <c r="BS41" s="135"/>
      <c r="BT41" s="135"/>
      <c r="BU41" s="135"/>
      <c r="BV41" s="135"/>
      <c r="BW41" s="131"/>
      <c r="BX41" s="146"/>
      <c r="BY41" s="135"/>
      <c r="BZ41" s="135"/>
      <c r="CA41" s="135"/>
      <c r="CB41" s="135"/>
      <c r="CC41" s="131"/>
      <c r="CD41" s="146"/>
      <c r="CE41" s="135"/>
      <c r="CF41" s="135"/>
      <c r="CG41" s="135"/>
      <c r="CH41" s="135"/>
      <c r="CI41" s="131"/>
      <c r="CJ41" s="146"/>
      <c r="CK41" s="135"/>
      <c r="CL41" s="135"/>
      <c r="CM41" s="135"/>
      <c r="CN41" s="135"/>
      <c r="CO41" s="131"/>
      <c r="CP41" s="146"/>
      <c r="CQ41" s="135"/>
      <c r="CR41" s="135"/>
      <c r="CS41" s="135"/>
      <c r="CT41" s="135"/>
      <c r="CU41" s="131"/>
      <c r="CV41" s="146"/>
      <c r="CW41" s="135"/>
      <c r="CX41" s="135"/>
      <c r="CY41" s="135"/>
      <c r="CZ41" s="135"/>
      <c r="DA41" s="131"/>
      <c r="DB41" s="146"/>
      <c r="DC41" s="135"/>
      <c r="DD41" s="135"/>
      <c r="DE41" s="135"/>
      <c r="DF41" s="135"/>
      <c r="DG41" s="131"/>
      <c r="DH41" s="146"/>
      <c r="DI41" s="135"/>
      <c r="DJ41" s="135"/>
      <c r="DK41" s="135"/>
      <c r="DL41" s="135"/>
      <c r="DM41" s="131"/>
      <c r="DN41" s="146"/>
      <c r="DO41" s="135"/>
      <c r="DP41" s="135"/>
      <c r="DQ41" s="135"/>
      <c r="DR41" s="135"/>
      <c r="DS41" s="131"/>
      <c r="DT41" s="146"/>
      <c r="DU41" s="135"/>
      <c r="DV41" s="135"/>
      <c r="DW41" s="135"/>
      <c r="DX41" s="135"/>
      <c r="DY41" s="131"/>
      <c r="DZ41" s="146"/>
      <c r="EA41" s="135"/>
      <c r="EB41" s="135"/>
      <c r="EC41" s="135"/>
      <c r="ED41" s="135"/>
      <c r="EE41" s="131"/>
      <c r="EF41" s="135">
        <f t="shared" si="1"/>
        <v>38</v>
      </c>
    </row>
    <row r="42" spans="1:138" x14ac:dyDescent="0.2">
      <c r="A42" s="159">
        <v>39</v>
      </c>
      <c r="B42" s="138"/>
      <c r="C42" s="491"/>
      <c r="D42" s="138"/>
      <c r="E42" s="491"/>
      <c r="F42" s="140"/>
      <c r="G42" s="491"/>
      <c r="H42" s="138"/>
      <c r="I42" s="491"/>
      <c r="J42" s="140"/>
      <c r="K42" s="491"/>
      <c r="L42" s="138"/>
      <c r="M42" s="491"/>
      <c r="N42" s="140"/>
      <c r="O42" s="491"/>
      <c r="P42" s="138"/>
      <c r="Q42" s="491"/>
      <c r="R42" s="140"/>
      <c r="S42" s="491"/>
      <c r="T42" s="138"/>
      <c r="U42" s="491"/>
      <c r="V42" s="138"/>
      <c r="W42" s="491"/>
      <c r="X42" s="138"/>
      <c r="Y42" s="491"/>
      <c r="Z42" s="138"/>
      <c r="AA42" s="491"/>
      <c r="AB42" s="138"/>
      <c r="AC42" s="491"/>
      <c r="AD42" s="140"/>
      <c r="AE42" s="491"/>
      <c r="AF42" s="138"/>
      <c r="AG42" s="491"/>
      <c r="AH42" s="138"/>
      <c r="AI42" s="141"/>
      <c r="AJ42" s="140"/>
      <c r="AK42" s="131"/>
      <c r="AL42" s="140"/>
      <c r="AM42" s="131"/>
      <c r="AN42" s="140"/>
      <c r="AO42" s="131"/>
      <c r="AP42" s="140"/>
      <c r="AQ42" s="131"/>
      <c r="AR42" s="140"/>
      <c r="AS42" s="131"/>
      <c r="AT42" s="140"/>
      <c r="AU42" s="131"/>
      <c r="AV42" s="140"/>
      <c r="AW42" s="131"/>
      <c r="AX42" s="140"/>
      <c r="AY42" s="131"/>
      <c r="AZ42" s="135"/>
      <c r="BA42" s="131"/>
      <c r="BB42" s="160"/>
      <c r="BC42" s="131"/>
      <c r="BD42" s="142"/>
      <c r="BE42" s="131"/>
      <c r="BF42" s="142"/>
      <c r="BG42" s="135"/>
      <c r="BH42" s="135"/>
      <c r="BI42" s="135"/>
      <c r="BJ42" s="135"/>
      <c r="BK42" s="135"/>
      <c r="BL42" s="142"/>
      <c r="BM42" s="135"/>
      <c r="BN42" s="135"/>
      <c r="BO42" s="135"/>
      <c r="BP42" s="135"/>
      <c r="BQ42" s="131"/>
      <c r="BR42" s="146"/>
      <c r="BS42" s="135"/>
      <c r="BT42" s="135"/>
      <c r="BU42" s="135"/>
      <c r="BV42" s="135"/>
      <c r="BW42" s="131"/>
      <c r="BX42" s="146"/>
      <c r="BY42" s="135"/>
      <c r="BZ42" s="135"/>
      <c r="CA42" s="135"/>
      <c r="CB42" s="135"/>
      <c r="CC42" s="131"/>
      <c r="CD42" s="146"/>
      <c r="CE42" s="135"/>
      <c r="CF42" s="135"/>
      <c r="CG42" s="135"/>
      <c r="CH42" s="135"/>
      <c r="CI42" s="131"/>
      <c r="CJ42" s="146"/>
      <c r="CK42" s="135"/>
      <c r="CL42" s="135"/>
      <c r="CM42" s="135"/>
      <c r="CN42" s="135"/>
      <c r="CO42" s="131"/>
      <c r="CP42" s="146"/>
      <c r="CQ42" s="135"/>
      <c r="CR42" s="135"/>
      <c r="CS42" s="135"/>
      <c r="CT42" s="135"/>
      <c r="CU42" s="131"/>
      <c r="CV42" s="146"/>
      <c r="CW42" s="135"/>
      <c r="CX42" s="135"/>
      <c r="CY42" s="135"/>
      <c r="CZ42" s="135"/>
      <c r="DA42" s="131"/>
      <c r="DB42" s="146"/>
      <c r="DC42" s="135"/>
      <c r="DD42" s="135"/>
      <c r="DE42" s="135"/>
      <c r="DF42" s="135"/>
      <c r="DG42" s="131"/>
      <c r="DH42" s="146"/>
      <c r="DI42" s="135"/>
      <c r="DJ42" s="135"/>
      <c r="DK42" s="135"/>
      <c r="DL42" s="135"/>
      <c r="DM42" s="131"/>
      <c r="DN42" s="146"/>
      <c r="DO42" s="135"/>
      <c r="DP42" s="135"/>
      <c r="DQ42" s="135"/>
      <c r="DR42" s="135"/>
      <c r="DS42" s="131"/>
      <c r="DT42" s="146"/>
      <c r="DU42" s="135"/>
      <c r="DV42" s="135"/>
      <c r="DW42" s="135"/>
      <c r="DX42" s="135"/>
      <c r="DY42" s="131"/>
      <c r="DZ42" s="146"/>
      <c r="EA42" s="135"/>
      <c r="EB42" s="135"/>
      <c r="EC42" s="135"/>
      <c r="ED42" s="135"/>
      <c r="EE42" s="131"/>
      <c r="EF42" s="135">
        <f t="shared" si="1"/>
        <v>39</v>
      </c>
    </row>
    <row r="43" spans="1:138" x14ac:dyDescent="0.2">
      <c r="A43" s="159">
        <v>40</v>
      </c>
      <c r="B43" s="138"/>
      <c r="C43" s="491"/>
      <c r="D43" s="138"/>
      <c r="E43" s="491"/>
      <c r="F43" s="140"/>
      <c r="G43" s="491"/>
      <c r="H43" s="138"/>
      <c r="I43" s="491"/>
      <c r="J43" s="140"/>
      <c r="K43" s="491"/>
      <c r="L43" s="138"/>
      <c r="M43" s="491"/>
      <c r="N43" s="140"/>
      <c r="O43" s="491"/>
      <c r="P43" s="138"/>
      <c r="Q43" s="491"/>
      <c r="R43" s="140"/>
      <c r="S43" s="491"/>
      <c r="T43" s="138"/>
      <c r="U43" s="491"/>
      <c r="V43" s="138"/>
      <c r="W43" s="491"/>
      <c r="X43" s="138"/>
      <c r="Y43" s="491"/>
      <c r="Z43" s="138"/>
      <c r="AA43" s="491"/>
      <c r="AB43" s="138"/>
      <c r="AC43" s="491"/>
      <c r="AD43" s="140"/>
      <c r="AE43" s="491"/>
      <c r="AF43" s="140"/>
      <c r="AG43" s="491"/>
      <c r="AH43" s="140"/>
      <c r="AI43" s="141"/>
      <c r="AJ43" s="140"/>
      <c r="AK43" s="131"/>
      <c r="AL43" s="140"/>
      <c r="AM43" s="131"/>
      <c r="AN43" s="140"/>
      <c r="AO43" s="131"/>
      <c r="AP43" s="140"/>
      <c r="AQ43" s="131"/>
      <c r="AR43" s="140"/>
      <c r="AS43" s="131"/>
      <c r="AT43" s="140"/>
      <c r="AU43" s="131"/>
      <c r="AV43" s="140"/>
      <c r="AW43" s="131"/>
      <c r="AX43" s="140"/>
      <c r="AY43" s="131"/>
      <c r="AZ43" s="135"/>
      <c r="BA43" s="131"/>
      <c r="BB43" s="160"/>
      <c r="BC43" s="131"/>
      <c r="BD43" s="142"/>
      <c r="BE43" s="131"/>
      <c r="BF43" s="142"/>
      <c r="BG43" s="135"/>
      <c r="BH43" s="135"/>
      <c r="BI43" s="135"/>
      <c r="BJ43" s="135"/>
      <c r="BK43" s="135"/>
      <c r="BL43" s="142"/>
      <c r="BM43" s="135"/>
      <c r="BN43" s="135"/>
      <c r="BO43" s="135"/>
      <c r="BP43" s="135"/>
      <c r="BQ43" s="131"/>
      <c r="BR43" s="146"/>
      <c r="BS43" s="135"/>
      <c r="BT43" s="135"/>
      <c r="BU43" s="135"/>
      <c r="BV43" s="135"/>
      <c r="BW43" s="131"/>
      <c r="BX43" s="146"/>
      <c r="BY43" s="135"/>
      <c r="BZ43" s="135"/>
      <c r="CA43" s="135"/>
      <c r="CB43" s="135"/>
      <c r="CC43" s="131"/>
      <c r="CD43" s="146"/>
      <c r="CE43" s="135"/>
      <c r="CF43" s="135"/>
      <c r="CG43" s="135"/>
      <c r="CH43" s="135"/>
      <c r="CI43" s="131"/>
      <c r="CJ43" s="146"/>
      <c r="CK43" s="135"/>
      <c r="CL43" s="135"/>
      <c r="CM43" s="135"/>
      <c r="CN43" s="135"/>
      <c r="CO43" s="131"/>
      <c r="CP43" s="146"/>
      <c r="CQ43" s="135"/>
      <c r="CR43" s="135"/>
      <c r="CS43" s="135"/>
      <c r="CT43" s="135"/>
      <c r="CU43" s="131"/>
      <c r="CV43" s="146"/>
      <c r="CW43" s="135"/>
      <c r="CX43" s="135"/>
      <c r="CY43" s="135"/>
      <c r="CZ43" s="135"/>
      <c r="DA43" s="131"/>
      <c r="DB43" s="146"/>
      <c r="DC43" s="135"/>
      <c r="DD43" s="135"/>
      <c r="DE43" s="135"/>
      <c r="DF43" s="135"/>
      <c r="DG43" s="131"/>
      <c r="DH43" s="146"/>
      <c r="DI43" s="135"/>
      <c r="DJ43" s="135"/>
      <c r="DK43" s="135"/>
      <c r="DL43" s="135"/>
      <c r="DM43" s="131"/>
      <c r="DN43" s="146"/>
      <c r="DO43" s="135"/>
      <c r="DP43" s="135"/>
      <c r="DQ43" s="135"/>
      <c r="DR43" s="135"/>
      <c r="DS43" s="131"/>
      <c r="DT43" s="146"/>
      <c r="DU43" s="135"/>
      <c r="DV43" s="135"/>
      <c r="DW43" s="135"/>
      <c r="DX43" s="135"/>
      <c r="DY43" s="131"/>
      <c r="DZ43" s="146"/>
      <c r="EA43" s="135"/>
      <c r="EB43" s="135"/>
      <c r="EC43" s="135"/>
      <c r="ED43" s="135"/>
      <c r="EE43" s="131"/>
      <c r="EF43" s="135">
        <f t="shared" si="1"/>
        <v>40</v>
      </c>
    </row>
    <row r="44" spans="1:138" x14ac:dyDescent="0.2">
      <c r="A44" s="159">
        <v>41</v>
      </c>
      <c r="B44" s="138"/>
      <c r="C44" s="491"/>
      <c r="D44" s="138"/>
      <c r="E44" s="491"/>
      <c r="F44" s="140"/>
      <c r="G44" s="491"/>
      <c r="H44" s="138"/>
      <c r="I44" s="491"/>
      <c r="J44" s="138"/>
      <c r="K44" s="491"/>
      <c r="L44" s="138"/>
      <c r="M44" s="491"/>
      <c r="N44" s="138"/>
      <c r="O44" s="491"/>
      <c r="P44" s="138"/>
      <c r="Q44" s="491"/>
      <c r="R44" s="138"/>
      <c r="S44" s="491"/>
      <c r="T44" s="138"/>
      <c r="U44" s="491"/>
      <c r="V44" s="138"/>
      <c r="W44" s="491"/>
      <c r="X44" s="138"/>
      <c r="Y44" s="491"/>
      <c r="Z44" s="138"/>
      <c r="AA44" s="491"/>
      <c r="AB44" s="138"/>
      <c r="AC44" s="491"/>
      <c r="AD44" s="140"/>
      <c r="AE44" s="491"/>
      <c r="AF44" s="140"/>
      <c r="AG44" s="491"/>
      <c r="AH44" s="140"/>
      <c r="AI44" s="141"/>
      <c r="AJ44" s="140"/>
      <c r="AK44" s="131"/>
      <c r="AL44" s="140"/>
      <c r="AM44" s="131"/>
      <c r="AN44" s="140"/>
      <c r="AO44" s="131"/>
      <c r="AP44" s="140"/>
      <c r="AQ44" s="131"/>
      <c r="AR44" s="140"/>
      <c r="AS44" s="131"/>
      <c r="AT44" s="140"/>
      <c r="AU44" s="131"/>
      <c r="AV44" s="140"/>
      <c r="AW44" s="131"/>
      <c r="AX44" s="140"/>
      <c r="AY44" s="131"/>
      <c r="AZ44" s="135"/>
      <c r="BA44" s="131"/>
      <c r="BB44" s="160"/>
      <c r="BC44" s="131"/>
      <c r="BD44" s="142"/>
      <c r="BE44" s="131"/>
      <c r="BF44" s="142"/>
      <c r="BG44" s="135"/>
      <c r="BH44" s="135"/>
      <c r="BI44" s="135"/>
      <c r="BJ44" s="135"/>
      <c r="BK44" s="135"/>
      <c r="BL44" s="142"/>
      <c r="BM44" s="135"/>
      <c r="BN44" s="135"/>
      <c r="BO44" s="135"/>
      <c r="BP44" s="135"/>
      <c r="BQ44" s="131"/>
      <c r="BR44" s="146"/>
      <c r="BS44" s="135"/>
      <c r="BT44" s="135"/>
      <c r="BU44" s="135"/>
      <c r="BV44" s="135"/>
      <c r="BW44" s="131"/>
      <c r="BX44" s="146"/>
      <c r="BY44" s="135"/>
      <c r="BZ44" s="135"/>
      <c r="CA44" s="135"/>
      <c r="CB44" s="135"/>
      <c r="CC44" s="131"/>
      <c r="CD44" s="146"/>
      <c r="CE44" s="135"/>
      <c r="CF44" s="135"/>
      <c r="CG44" s="135"/>
      <c r="CH44" s="135"/>
      <c r="CI44" s="131"/>
      <c r="CJ44" s="146"/>
      <c r="CK44" s="135"/>
      <c r="CL44" s="135"/>
      <c r="CM44" s="135"/>
      <c r="CN44" s="135"/>
      <c r="CO44" s="131"/>
      <c r="CP44" s="146"/>
      <c r="CQ44" s="135"/>
      <c r="CR44" s="135"/>
      <c r="CS44" s="135"/>
      <c r="CT44" s="135"/>
      <c r="CU44" s="131"/>
      <c r="CV44" s="146"/>
      <c r="CW44" s="135"/>
      <c r="CX44" s="135"/>
      <c r="CY44" s="135"/>
      <c r="CZ44" s="135"/>
      <c r="DA44" s="131"/>
      <c r="DB44" s="146"/>
      <c r="DC44" s="135"/>
      <c r="DD44" s="135"/>
      <c r="DE44" s="135"/>
      <c r="DF44" s="135"/>
      <c r="DG44" s="131"/>
      <c r="DH44" s="146"/>
      <c r="DI44" s="135"/>
      <c r="DJ44" s="135"/>
      <c r="DK44" s="135"/>
      <c r="DL44" s="135"/>
      <c r="DM44" s="131"/>
      <c r="DN44" s="146"/>
      <c r="DO44" s="135"/>
      <c r="DP44" s="135"/>
      <c r="DQ44" s="135"/>
      <c r="DR44" s="135"/>
      <c r="DS44" s="131"/>
      <c r="DT44" s="146"/>
      <c r="DU44" s="135"/>
      <c r="DV44" s="135"/>
      <c r="DW44" s="135"/>
      <c r="DX44" s="135"/>
      <c r="DY44" s="131"/>
      <c r="DZ44" s="146"/>
      <c r="EA44" s="135"/>
      <c r="EB44" s="135"/>
      <c r="EC44" s="135"/>
      <c r="ED44" s="135"/>
      <c r="EE44" s="131"/>
      <c r="EF44" s="135">
        <f t="shared" si="1"/>
        <v>41</v>
      </c>
    </row>
    <row r="45" spans="1:138" x14ac:dyDescent="0.2">
      <c r="A45" s="159">
        <v>42</v>
      </c>
      <c r="B45" s="138"/>
      <c r="C45" s="491"/>
      <c r="D45" s="138"/>
      <c r="E45" s="491"/>
      <c r="F45" s="140"/>
      <c r="G45" s="491"/>
      <c r="H45" s="138"/>
      <c r="I45" s="491"/>
      <c r="J45" s="138"/>
      <c r="K45" s="491"/>
      <c r="L45" s="138"/>
      <c r="M45" s="491"/>
      <c r="N45" s="138"/>
      <c r="O45" s="491"/>
      <c r="P45" s="138"/>
      <c r="Q45" s="491"/>
      <c r="R45" s="138"/>
      <c r="S45" s="491"/>
      <c r="T45" s="138"/>
      <c r="U45" s="491"/>
      <c r="V45" s="138"/>
      <c r="W45" s="491"/>
      <c r="X45" s="138"/>
      <c r="Y45" s="491"/>
      <c r="Z45" s="138"/>
      <c r="AA45" s="491"/>
      <c r="AB45" s="138"/>
      <c r="AC45" s="491"/>
      <c r="AD45" s="140"/>
      <c r="AE45" s="491"/>
      <c r="AF45" s="140"/>
      <c r="AG45" s="491"/>
      <c r="AH45" s="140"/>
      <c r="AI45" s="141"/>
      <c r="AJ45" s="140"/>
      <c r="AK45" s="131"/>
      <c r="AL45" s="140"/>
      <c r="AM45" s="131"/>
      <c r="AN45" s="140"/>
      <c r="AO45" s="131"/>
      <c r="AP45" s="140"/>
      <c r="AQ45" s="131"/>
      <c r="AR45" s="140"/>
      <c r="AS45" s="131"/>
      <c r="AT45" s="168"/>
      <c r="AU45" s="131"/>
      <c r="AV45" s="140"/>
      <c r="AW45" s="131"/>
      <c r="AX45" s="168"/>
      <c r="AY45" s="131"/>
      <c r="AZ45" s="135"/>
      <c r="BA45" s="131"/>
      <c r="BB45" s="160"/>
      <c r="BC45" s="131"/>
      <c r="BD45" s="142"/>
      <c r="BE45" s="131"/>
      <c r="BF45" s="142"/>
      <c r="BG45" s="135"/>
      <c r="BH45" s="135"/>
      <c r="BI45" s="135"/>
      <c r="BJ45" s="135"/>
      <c r="BK45" s="135"/>
      <c r="BL45" s="146"/>
      <c r="BM45" s="135"/>
      <c r="BN45" s="135"/>
      <c r="BO45" s="135"/>
      <c r="BP45" s="135"/>
      <c r="BQ45" s="131"/>
      <c r="BR45" s="146"/>
      <c r="BS45" s="135"/>
      <c r="BT45" s="135"/>
      <c r="BU45" s="135"/>
      <c r="BV45" s="135"/>
      <c r="BW45" s="131"/>
      <c r="BX45" s="146"/>
      <c r="BY45" s="135"/>
      <c r="BZ45" s="135"/>
      <c r="CA45" s="135"/>
      <c r="CB45" s="135"/>
      <c r="CC45" s="131"/>
      <c r="CD45" s="146"/>
      <c r="CE45" s="135"/>
      <c r="CF45" s="135"/>
      <c r="CG45" s="135"/>
      <c r="CH45" s="135"/>
      <c r="CI45" s="131"/>
      <c r="CJ45" s="146"/>
      <c r="CK45" s="135"/>
      <c r="CL45" s="135"/>
      <c r="CM45" s="135"/>
      <c r="CN45" s="135"/>
      <c r="CO45" s="131"/>
      <c r="CP45" s="146"/>
      <c r="CQ45" s="135"/>
      <c r="CR45" s="135"/>
      <c r="CS45" s="135"/>
      <c r="CT45" s="135"/>
      <c r="CU45" s="131"/>
      <c r="CV45" s="146"/>
      <c r="CW45" s="135"/>
      <c r="CX45" s="135"/>
      <c r="CY45" s="135"/>
      <c r="CZ45" s="135"/>
      <c r="DA45" s="131"/>
      <c r="DB45" s="146"/>
      <c r="DC45" s="135"/>
      <c r="DD45" s="135"/>
      <c r="DE45" s="135"/>
      <c r="DF45" s="135"/>
      <c r="DG45" s="131"/>
      <c r="DH45" s="146"/>
      <c r="DI45" s="135"/>
      <c r="DJ45" s="135"/>
      <c r="DK45" s="135"/>
      <c r="DL45" s="135"/>
      <c r="DM45" s="131"/>
      <c r="DN45" s="146"/>
      <c r="DO45" s="135"/>
      <c r="DP45" s="135"/>
      <c r="DQ45" s="135"/>
      <c r="DR45" s="135"/>
      <c r="DS45" s="131"/>
      <c r="DT45" s="146"/>
      <c r="DU45" s="135"/>
      <c r="DV45" s="135"/>
      <c r="DW45" s="135"/>
      <c r="DX45" s="135"/>
      <c r="DY45" s="131"/>
      <c r="DZ45" s="146"/>
      <c r="EA45" s="135"/>
      <c r="EB45" s="135"/>
      <c r="EC45" s="135"/>
      <c r="ED45" s="135"/>
      <c r="EE45" s="131"/>
      <c r="EF45" s="135">
        <f t="shared" si="1"/>
        <v>42</v>
      </c>
    </row>
    <row r="46" spans="1:138" x14ac:dyDescent="0.2">
      <c r="A46" s="159">
        <v>43</v>
      </c>
      <c r="B46" s="138"/>
      <c r="C46" s="491"/>
      <c r="D46" s="138"/>
      <c r="E46" s="491"/>
      <c r="F46" s="140"/>
      <c r="G46" s="491"/>
      <c r="H46" s="138"/>
      <c r="I46" s="491"/>
      <c r="J46" s="138"/>
      <c r="K46" s="491"/>
      <c r="L46" s="138"/>
      <c r="M46" s="491"/>
      <c r="N46" s="138"/>
      <c r="O46" s="491"/>
      <c r="P46" s="138"/>
      <c r="Q46" s="491"/>
      <c r="R46" s="138"/>
      <c r="S46" s="491"/>
      <c r="T46" s="138"/>
      <c r="U46" s="491"/>
      <c r="V46" s="138"/>
      <c r="W46" s="491"/>
      <c r="X46" s="138"/>
      <c r="Y46" s="491"/>
      <c r="Z46" s="140"/>
      <c r="AA46" s="491"/>
      <c r="AB46" s="138"/>
      <c r="AC46" s="491"/>
      <c r="AD46" s="140"/>
      <c r="AE46" s="491"/>
      <c r="AF46" s="140"/>
      <c r="AG46" s="491"/>
      <c r="AH46" s="140"/>
      <c r="AI46" s="141"/>
      <c r="AJ46" s="140"/>
      <c r="AK46" s="131"/>
      <c r="AL46" s="140"/>
      <c r="AM46" s="131"/>
      <c r="AN46" s="140"/>
      <c r="AO46" s="131"/>
      <c r="AP46" s="168"/>
      <c r="AQ46" s="131"/>
      <c r="AR46" s="140"/>
      <c r="AS46" s="131"/>
      <c r="AT46" s="140"/>
      <c r="AU46" s="131"/>
      <c r="AV46" s="140"/>
      <c r="AW46" s="131"/>
      <c r="AX46" s="168"/>
      <c r="AY46" s="131"/>
      <c r="AZ46" s="160"/>
      <c r="BA46" s="131"/>
      <c r="BB46" s="160"/>
      <c r="BC46" s="131"/>
      <c r="BD46" s="142"/>
      <c r="BE46" s="131"/>
      <c r="BF46" s="146"/>
      <c r="BG46" s="135"/>
      <c r="BH46" s="135"/>
      <c r="BI46" s="135"/>
      <c r="BJ46" s="135"/>
      <c r="BK46" s="135"/>
      <c r="BL46" s="146"/>
      <c r="BM46" s="135"/>
      <c r="BN46" s="135"/>
      <c r="BO46" s="135"/>
      <c r="BP46" s="135"/>
      <c r="BQ46" s="131"/>
      <c r="BR46" s="146"/>
      <c r="BS46" s="135"/>
      <c r="BT46" s="135"/>
      <c r="BU46" s="135"/>
      <c r="BV46" s="135"/>
      <c r="BW46" s="131"/>
      <c r="BX46" s="146"/>
      <c r="BY46" s="135"/>
      <c r="BZ46" s="135"/>
      <c r="CA46" s="135"/>
      <c r="CB46" s="135"/>
      <c r="CC46" s="131"/>
      <c r="CD46" s="146"/>
      <c r="CE46" s="135"/>
      <c r="CF46" s="135"/>
      <c r="CG46" s="135"/>
      <c r="CH46" s="135"/>
      <c r="CI46" s="131"/>
      <c r="CJ46" s="146"/>
      <c r="CK46" s="135"/>
      <c r="CL46" s="135"/>
      <c r="CM46" s="135"/>
      <c r="CN46" s="135"/>
      <c r="CO46" s="131"/>
      <c r="CP46" s="146"/>
      <c r="CQ46" s="135"/>
      <c r="CR46" s="135"/>
      <c r="CS46" s="135"/>
      <c r="CT46" s="135"/>
      <c r="CU46" s="131"/>
      <c r="CV46" s="146"/>
      <c r="CW46" s="135"/>
      <c r="CX46" s="135"/>
      <c r="CY46" s="135"/>
      <c r="CZ46" s="135"/>
      <c r="DA46" s="131"/>
      <c r="DB46" s="146"/>
      <c r="DC46" s="135"/>
      <c r="DD46" s="135"/>
      <c r="DE46" s="135"/>
      <c r="DF46" s="135"/>
      <c r="DG46" s="131"/>
      <c r="DH46" s="146"/>
      <c r="DI46" s="135"/>
      <c r="DJ46" s="135"/>
      <c r="DK46" s="135"/>
      <c r="DL46" s="135"/>
      <c r="DM46" s="131"/>
      <c r="DN46" s="146"/>
      <c r="DO46" s="135"/>
      <c r="DP46" s="135"/>
      <c r="DQ46" s="135"/>
      <c r="DR46" s="135"/>
      <c r="DS46" s="131"/>
      <c r="DT46" s="146"/>
      <c r="DU46" s="135"/>
      <c r="DV46" s="135"/>
      <c r="DW46" s="135"/>
      <c r="DX46" s="135"/>
      <c r="DY46" s="131"/>
      <c r="DZ46" s="146"/>
      <c r="EA46" s="135"/>
      <c r="EB46" s="135"/>
      <c r="EC46" s="135"/>
      <c r="ED46" s="135"/>
      <c r="EE46" s="131"/>
      <c r="EF46" s="135">
        <f t="shared" si="1"/>
        <v>43</v>
      </c>
    </row>
    <row r="47" spans="1:138" x14ac:dyDescent="0.2">
      <c r="A47" s="169">
        <v>44</v>
      </c>
      <c r="B47" s="170"/>
      <c r="C47" s="91"/>
      <c r="D47" s="163"/>
      <c r="E47" s="91"/>
      <c r="F47" s="163"/>
      <c r="G47" s="91"/>
      <c r="H47" s="164"/>
      <c r="I47" s="91"/>
      <c r="J47" s="163"/>
      <c r="K47" s="91"/>
      <c r="L47" s="163"/>
      <c r="M47" s="91"/>
      <c r="N47" s="163"/>
      <c r="O47" s="91"/>
      <c r="P47" s="163"/>
      <c r="Q47" s="91"/>
      <c r="R47" s="163"/>
      <c r="S47" s="91"/>
      <c r="T47" s="164"/>
      <c r="U47" s="91"/>
      <c r="V47" s="164"/>
      <c r="W47" s="91"/>
      <c r="X47" s="164"/>
      <c r="Y47" s="91"/>
      <c r="Z47" s="163"/>
      <c r="AA47" s="91"/>
      <c r="AB47" s="163"/>
      <c r="AC47" s="91"/>
      <c r="AD47" s="163"/>
      <c r="AE47" s="91"/>
      <c r="AF47" s="163"/>
      <c r="AG47" s="91"/>
      <c r="AH47" s="163"/>
      <c r="AI47" s="153"/>
      <c r="AJ47" s="154"/>
      <c r="AK47" s="133"/>
      <c r="AL47" s="163"/>
      <c r="AM47" s="133"/>
      <c r="AN47" s="163"/>
      <c r="AO47" s="133"/>
      <c r="AP47" s="171"/>
      <c r="AQ47" s="133"/>
      <c r="AR47" s="163"/>
      <c r="AS47" s="133"/>
      <c r="AT47" s="163"/>
      <c r="AU47" s="133"/>
      <c r="AV47" s="163"/>
      <c r="AW47" s="133"/>
      <c r="AX47" s="163"/>
      <c r="AY47" s="133"/>
      <c r="AZ47" s="132"/>
      <c r="BA47" s="133"/>
      <c r="BB47" s="134"/>
      <c r="BC47" s="133"/>
      <c r="BD47" s="134"/>
      <c r="BE47" s="133"/>
      <c r="BF47" s="134"/>
      <c r="BG47" s="132"/>
      <c r="BH47" s="132"/>
      <c r="BI47" s="132"/>
      <c r="BJ47" s="132"/>
      <c r="BK47" s="132"/>
      <c r="BL47" s="134"/>
      <c r="BM47" s="132"/>
      <c r="BN47" s="132"/>
      <c r="BO47" s="132"/>
      <c r="BP47" s="132"/>
      <c r="BQ47" s="133"/>
      <c r="BR47" s="134"/>
      <c r="BS47" s="132"/>
      <c r="BT47" s="132"/>
      <c r="BU47" s="132"/>
      <c r="BV47" s="132"/>
      <c r="BW47" s="133"/>
      <c r="BX47" s="134"/>
      <c r="BY47" s="132"/>
      <c r="BZ47" s="132"/>
      <c r="CA47" s="132"/>
      <c r="CB47" s="132"/>
      <c r="CC47" s="133"/>
      <c r="CD47" s="134"/>
      <c r="CE47" s="132"/>
      <c r="CF47" s="132"/>
      <c r="CG47" s="132"/>
      <c r="CH47" s="132"/>
      <c r="CI47" s="133"/>
      <c r="CJ47" s="134"/>
      <c r="CK47" s="132"/>
      <c r="CL47" s="132"/>
      <c r="CM47" s="132"/>
      <c r="CN47" s="132"/>
      <c r="CO47" s="133"/>
      <c r="CP47" s="134"/>
      <c r="CQ47" s="132"/>
      <c r="CR47" s="132"/>
      <c r="CS47" s="132"/>
      <c r="CT47" s="132"/>
      <c r="CU47" s="133"/>
      <c r="CV47" s="134"/>
      <c r="CW47" s="132"/>
      <c r="CX47" s="132"/>
      <c r="CY47" s="132"/>
      <c r="CZ47" s="132"/>
      <c r="DA47" s="133"/>
      <c r="DB47" s="134"/>
      <c r="DC47" s="132"/>
      <c r="DD47" s="132"/>
      <c r="DE47" s="132"/>
      <c r="DF47" s="132"/>
      <c r="DG47" s="133"/>
      <c r="DH47" s="134"/>
      <c r="DI47" s="132"/>
      <c r="DJ47" s="132"/>
      <c r="DK47" s="132"/>
      <c r="DL47" s="132"/>
      <c r="DM47" s="133"/>
      <c r="DN47" s="134"/>
      <c r="DO47" s="132"/>
      <c r="DP47" s="132"/>
      <c r="DQ47" s="132"/>
      <c r="DR47" s="132"/>
      <c r="DS47" s="133"/>
      <c r="DT47" s="134"/>
      <c r="DU47" s="132"/>
      <c r="DV47" s="132"/>
      <c r="DW47" s="132"/>
      <c r="DX47" s="132"/>
      <c r="DY47" s="133"/>
      <c r="DZ47" s="134"/>
      <c r="EA47" s="132"/>
      <c r="EB47" s="132"/>
      <c r="EC47" s="132"/>
      <c r="ED47" s="132"/>
      <c r="EE47" s="133"/>
      <c r="EF47" s="135">
        <f t="shared" si="1"/>
        <v>44</v>
      </c>
    </row>
    <row r="48" spans="1:138" x14ac:dyDescent="0.2">
      <c r="A48" s="172">
        <v>45</v>
      </c>
      <c r="B48" s="138"/>
      <c r="C48" s="491"/>
      <c r="D48" s="140"/>
      <c r="E48" s="491"/>
      <c r="F48" s="140"/>
      <c r="G48" s="491"/>
      <c r="H48" s="138"/>
      <c r="I48" s="491"/>
      <c r="J48" s="140"/>
      <c r="K48" s="491"/>
      <c r="L48" s="140"/>
      <c r="M48" s="491"/>
      <c r="N48" s="140"/>
      <c r="O48" s="491"/>
      <c r="P48" s="140"/>
      <c r="Q48" s="491"/>
      <c r="R48" s="140"/>
      <c r="S48" s="491"/>
      <c r="T48" s="140"/>
      <c r="U48" s="491"/>
      <c r="V48" s="140"/>
      <c r="W48" s="491"/>
      <c r="X48" s="140"/>
      <c r="Y48" s="491"/>
      <c r="Z48" s="140"/>
      <c r="AA48" s="491"/>
      <c r="AB48" s="140"/>
      <c r="AC48" s="491"/>
      <c r="AD48" s="140"/>
      <c r="AE48" s="491"/>
      <c r="AF48" s="140"/>
      <c r="AG48" s="491"/>
      <c r="AH48" s="140"/>
      <c r="AI48" s="141"/>
      <c r="AJ48" s="140"/>
      <c r="AK48" s="131"/>
      <c r="AL48" s="140"/>
      <c r="AM48" s="131"/>
      <c r="AN48" s="140"/>
      <c r="AO48" s="131"/>
      <c r="AP48" s="140"/>
      <c r="AQ48" s="131"/>
      <c r="AR48" s="168"/>
      <c r="AS48" s="131"/>
      <c r="AT48" s="140"/>
      <c r="AU48" s="131"/>
      <c r="AV48" s="140"/>
      <c r="AW48" s="131"/>
      <c r="AX48" s="140"/>
      <c r="AY48" s="131"/>
      <c r="AZ48" s="135"/>
      <c r="BA48" s="131"/>
      <c r="BB48" s="146"/>
      <c r="BC48" s="131"/>
      <c r="BD48" s="143"/>
      <c r="BE48" s="139"/>
      <c r="BF48" s="143"/>
      <c r="BG48" s="253"/>
      <c r="BH48" s="253"/>
      <c r="BI48" s="253"/>
      <c r="BJ48" s="253"/>
      <c r="BK48" s="253"/>
      <c r="BL48" s="146"/>
      <c r="BM48" s="135"/>
      <c r="BN48" s="135"/>
      <c r="BO48" s="135"/>
      <c r="BP48" s="135"/>
      <c r="BQ48" s="131"/>
      <c r="BR48" s="146"/>
      <c r="BS48" s="135"/>
      <c r="BT48" s="135"/>
      <c r="BU48" s="135"/>
      <c r="BV48" s="135"/>
      <c r="BW48" s="131"/>
      <c r="BX48" s="146"/>
      <c r="BY48" s="135"/>
      <c r="BZ48" s="135"/>
      <c r="CA48" s="135"/>
      <c r="CB48" s="135"/>
      <c r="CC48" s="131"/>
      <c r="CD48" s="146"/>
      <c r="CE48" s="135"/>
      <c r="CF48" s="135"/>
      <c r="CG48" s="135"/>
      <c r="CH48" s="135"/>
      <c r="CI48" s="131"/>
      <c r="CJ48" s="146"/>
      <c r="CK48" s="135"/>
      <c r="CL48" s="135"/>
      <c r="CM48" s="135"/>
      <c r="CN48" s="135"/>
      <c r="CO48" s="131"/>
      <c r="CP48" s="146"/>
      <c r="CQ48" s="135"/>
      <c r="CR48" s="135"/>
      <c r="CS48" s="135"/>
      <c r="CT48" s="135"/>
      <c r="CU48" s="131"/>
      <c r="CV48" s="146"/>
      <c r="CW48" s="135"/>
      <c r="CX48" s="135"/>
      <c r="CY48" s="135"/>
      <c r="CZ48" s="135"/>
      <c r="DA48" s="131"/>
      <c r="DB48" s="146"/>
      <c r="DC48" s="135"/>
      <c r="DD48" s="135"/>
      <c r="DE48" s="135"/>
      <c r="DF48" s="135"/>
      <c r="DG48" s="131"/>
      <c r="DH48" s="146"/>
      <c r="DI48" s="135"/>
      <c r="DJ48" s="135"/>
      <c r="DK48" s="135"/>
      <c r="DL48" s="135"/>
      <c r="DM48" s="131"/>
      <c r="DN48" s="146"/>
      <c r="DO48" s="135"/>
      <c r="DP48" s="135"/>
      <c r="DQ48" s="135"/>
      <c r="DR48" s="135"/>
      <c r="DS48" s="131"/>
      <c r="DT48" s="146"/>
      <c r="DU48" s="135"/>
      <c r="DV48" s="135"/>
      <c r="DW48" s="135"/>
      <c r="DX48" s="135"/>
      <c r="DY48" s="131"/>
      <c r="DZ48" s="146"/>
      <c r="EA48" s="135"/>
      <c r="EB48" s="135"/>
      <c r="EC48" s="135"/>
      <c r="ED48" s="135"/>
      <c r="EE48" s="131"/>
      <c r="EF48" s="135">
        <f t="shared" si="1"/>
        <v>45</v>
      </c>
    </row>
    <row r="49" spans="1:164" x14ac:dyDescent="0.2">
      <c r="A49" s="173">
        <v>46</v>
      </c>
      <c r="B49" s="138"/>
      <c r="C49" s="491"/>
      <c r="D49" s="140"/>
      <c r="E49" s="491"/>
      <c r="F49" s="140"/>
      <c r="G49" s="491"/>
      <c r="H49" s="140"/>
      <c r="I49" s="491"/>
      <c r="J49" s="140"/>
      <c r="K49" s="491"/>
      <c r="L49" s="140"/>
      <c r="M49" s="491"/>
      <c r="N49" s="140"/>
      <c r="O49" s="491"/>
      <c r="P49" s="140"/>
      <c r="Q49" s="491"/>
      <c r="R49" s="140"/>
      <c r="S49" s="491"/>
      <c r="T49" s="140"/>
      <c r="U49" s="491"/>
      <c r="V49" s="140"/>
      <c r="W49" s="491"/>
      <c r="X49" s="140"/>
      <c r="Y49" s="491"/>
      <c r="Z49" s="140"/>
      <c r="AA49" s="491"/>
      <c r="AB49" s="140"/>
      <c r="AC49" s="491"/>
      <c r="AD49" s="140"/>
      <c r="AE49" s="491"/>
      <c r="AF49" s="140"/>
      <c r="AG49" s="491"/>
      <c r="AH49" s="140"/>
      <c r="AI49" s="141"/>
      <c r="AJ49" s="140"/>
      <c r="AK49" s="131"/>
      <c r="AL49" s="140"/>
      <c r="AM49" s="131"/>
      <c r="AN49" s="140"/>
      <c r="AO49" s="131"/>
      <c r="AP49" s="140"/>
      <c r="AQ49" s="131"/>
      <c r="AR49" s="140"/>
      <c r="AS49" s="131"/>
      <c r="AT49" s="140"/>
      <c r="AU49" s="131"/>
      <c r="AV49" s="140"/>
      <c r="AW49" s="131"/>
      <c r="AX49" s="168"/>
      <c r="AY49" s="131"/>
      <c r="AZ49" s="135"/>
      <c r="BA49" s="131"/>
      <c r="BB49" s="135"/>
      <c r="BC49" s="131"/>
      <c r="BD49" s="146"/>
      <c r="BE49" s="131"/>
      <c r="BF49" s="146"/>
      <c r="BG49" s="135"/>
      <c r="BH49" s="135"/>
      <c r="BI49" s="135"/>
      <c r="BJ49" s="135"/>
      <c r="BK49" s="135"/>
      <c r="BL49" s="146"/>
      <c r="BM49" s="135"/>
      <c r="BN49" s="135"/>
      <c r="BO49" s="135"/>
      <c r="BP49" s="135"/>
      <c r="BQ49" s="131"/>
      <c r="BR49" s="146"/>
      <c r="BS49" s="135"/>
      <c r="BT49" s="135"/>
      <c r="BU49" s="135"/>
      <c r="BV49" s="135"/>
      <c r="BW49" s="131"/>
      <c r="BX49" s="146"/>
      <c r="BY49" s="135"/>
      <c r="BZ49" s="135"/>
      <c r="CA49" s="135"/>
      <c r="CB49" s="135"/>
      <c r="CC49" s="131"/>
      <c r="CD49" s="146"/>
      <c r="CE49" s="135"/>
      <c r="CF49" s="135"/>
      <c r="CG49" s="135"/>
      <c r="CH49" s="135"/>
      <c r="CI49" s="131"/>
      <c r="CJ49" s="146"/>
      <c r="CK49" s="135"/>
      <c r="CL49" s="135"/>
      <c r="CM49" s="135"/>
      <c r="CN49" s="135"/>
      <c r="CO49" s="131"/>
      <c r="CP49" s="146"/>
      <c r="CQ49" s="135"/>
      <c r="CR49" s="135"/>
      <c r="CS49" s="135"/>
      <c r="CT49" s="135"/>
      <c r="CU49" s="131"/>
      <c r="CV49" s="146"/>
      <c r="CW49" s="135"/>
      <c r="CX49" s="135"/>
      <c r="CY49" s="135"/>
      <c r="CZ49" s="135"/>
      <c r="DA49" s="131"/>
      <c r="DB49" s="146"/>
      <c r="DC49" s="135"/>
      <c r="DD49" s="135"/>
      <c r="DE49" s="135"/>
      <c r="DF49" s="135"/>
      <c r="DG49" s="131"/>
      <c r="DH49" s="146"/>
      <c r="DI49" s="135"/>
      <c r="DJ49" s="135"/>
      <c r="DK49" s="135"/>
      <c r="DL49" s="135"/>
      <c r="DM49" s="131"/>
      <c r="DN49" s="146"/>
      <c r="DO49" s="135"/>
      <c r="DP49" s="135"/>
      <c r="DQ49" s="135"/>
      <c r="DR49" s="135"/>
      <c r="DS49" s="131"/>
      <c r="DT49" s="146"/>
      <c r="DU49" s="135"/>
      <c r="DV49" s="135"/>
      <c r="DW49" s="135"/>
      <c r="DX49" s="135"/>
      <c r="DY49" s="131"/>
      <c r="DZ49" s="146"/>
      <c r="EA49" s="135"/>
      <c r="EB49" s="135"/>
      <c r="EC49" s="135"/>
      <c r="ED49" s="135"/>
      <c r="EE49" s="131"/>
      <c r="EF49" s="135">
        <f t="shared" si="1"/>
        <v>46</v>
      </c>
    </row>
    <row r="50" spans="1:164" x14ac:dyDescent="0.2">
      <c r="A50" s="144">
        <v>47</v>
      </c>
      <c r="B50" s="138"/>
      <c r="C50" s="491"/>
      <c r="D50" s="140"/>
      <c r="E50" s="491"/>
      <c r="F50" s="140"/>
      <c r="G50" s="491"/>
      <c r="H50" s="138"/>
      <c r="I50" s="491"/>
      <c r="J50" s="138"/>
      <c r="K50" s="491"/>
      <c r="L50" s="138"/>
      <c r="M50" s="491"/>
      <c r="N50" s="138"/>
      <c r="O50" s="491"/>
      <c r="P50" s="140"/>
      <c r="Q50" s="491"/>
      <c r="R50" s="138"/>
      <c r="S50" s="491"/>
      <c r="T50" s="140"/>
      <c r="U50" s="491"/>
      <c r="V50" s="140"/>
      <c r="W50" s="491"/>
      <c r="X50" s="140"/>
      <c r="Y50" s="491"/>
      <c r="Z50" s="140"/>
      <c r="AA50" s="491"/>
      <c r="AB50" s="138"/>
      <c r="AC50" s="491"/>
      <c r="AD50" s="140"/>
      <c r="AE50" s="491"/>
      <c r="AF50" s="138"/>
      <c r="AG50" s="491"/>
      <c r="AH50" s="138"/>
      <c r="AI50" s="141"/>
      <c r="AJ50" s="140"/>
      <c r="AK50" s="131"/>
      <c r="AL50" s="140"/>
      <c r="AM50" s="131"/>
      <c r="AN50" s="140"/>
      <c r="AO50" s="131"/>
      <c r="AP50" s="168"/>
      <c r="AQ50" s="131"/>
      <c r="AR50" s="140"/>
      <c r="AS50" s="131"/>
      <c r="AT50" s="140"/>
      <c r="AU50" s="131"/>
      <c r="AV50" s="140"/>
      <c r="AW50" s="131"/>
      <c r="AX50" s="168"/>
      <c r="AY50" s="131"/>
      <c r="AZ50" s="135"/>
      <c r="BA50" s="131"/>
      <c r="BB50" s="146"/>
      <c r="BC50" s="131"/>
      <c r="BD50" s="146"/>
      <c r="BE50" s="131"/>
      <c r="BF50" s="146"/>
      <c r="BG50" s="135"/>
      <c r="BH50" s="135"/>
      <c r="BI50" s="135"/>
      <c r="BJ50" s="135"/>
      <c r="BK50" s="135"/>
      <c r="BL50" s="146"/>
      <c r="BM50" s="135"/>
      <c r="BN50" s="135"/>
      <c r="BO50" s="135"/>
      <c r="BP50" s="135"/>
      <c r="BQ50" s="131"/>
      <c r="BR50" s="146"/>
      <c r="BS50" s="135"/>
      <c r="BT50" s="135"/>
      <c r="BU50" s="135"/>
      <c r="BV50" s="135"/>
      <c r="BW50" s="131"/>
      <c r="BX50" s="146"/>
      <c r="BY50" s="135"/>
      <c r="BZ50" s="135"/>
      <c r="CA50" s="135"/>
      <c r="CB50" s="135"/>
      <c r="CC50" s="131"/>
      <c r="CD50" s="146"/>
      <c r="CE50" s="135"/>
      <c r="CF50" s="135"/>
      <c r="CG50" s="135"/>
      <c r="CH50" s="135"/>
      <c r="CI50" s="131"/>
      <c r="CJ50" s="146"/>
      <c r="CK50" s="135"/>
      <c r="CL50" s="135"/>
      <c r="CM50" s="135"/>
      <c r="CN50" s="135"/>
      <c r="CO50" s="131"/>
      <c r="CP50" s="146"/>
      <c r="CQ50" s="135"/>
      <c r="CR50" s="135"/>
      <c r="CS50" s="135"/>
      <c r="CT50" s="135"/>
      <c r="CU50" s="131"/>
      <c r="CV50" s="146"/>
      <c r="CW50" s="135"/>
      <c r="CX50" s="135"/>
      <c r="CY50" s="135"/>
      <c r="CZ50" s="135"/>
      <c r="DA50" s="131"/>
      <c r="DB50" s="146"/>
      <c r="DC50" s="135"/>
      <c r="DD50" s="135"/>
      <c r="DE50" s="135"/>
      <c r="DF50" s="135"/>
      <c r="DG50" s="131"/>
      <c r="DH50" s="146"/>
      <c r="DI50" s="135"/>
      <c r="DJ50" s="135"/>
      <c r="DK50" s="135"/>
      <c r="DL50" s="135"/>
      <c r="DM50" s="131"/>
      <c r="DN50" s="146"/>
      <c r="DO50" s="135"/>
      <c r="DP50" s="135"/>
      <c r="DQ50" s="135"/>
      <c r="DR50" s="135"/>
      <c r="DS50" s="131"/>
      <c r="DT50" s="146"/>
      <c r="DU50" s="135"/>
      <c r="DV50" s="135"/>
      <c r="DW50" s="135"/>
      <c r="DX50" s="135"/>
      <c r="DY50" s="131"/>
      <c r="DZ50" s="146"/>
      <c r="EA50" s="135"/>
      <c r="EB50" s="135"/>
      <c r="EC50" s="135"/>
      <c r="ED50" s="135"/>
      <c r="EE50" s="131"/>
      <c r="EF50" s="135">
        <f t="shared" si="1"/>
        <v>47</v>
      </c>
    </row>
    <row r="51" spans="1:164" x14ac:dyDescent="0.2">
      <c r="A51" s="144">
        <v>48</v>
      </c>
      <c r="B51" s="138"/>
      <c r="C51" s="491"/>
      <c r="D51" s="140"/>
      <c r="E51" s="491"/>
      <c r="F51" s="140"/>
      <c r="G51" s="491"/>
      <c r="H51" s="138"/>
      <c r="I51" s="491"/>
      <c r="J51" s="138"/>
      <c r="K51" s="491"/>
      <c r="L51" s="138"/>
      <c r="M51" s="491"/>
      <c r="N51" s="138"/>
      <c r="O51" s="491"/>
      <c r="P51" s="140"/>
      <c r="Q51" s="491"/>
      <c r="R51" s="138"/>
      <c r="S51" s="491"/>
      <c r="T51" s="140"/>
      <c r="U51" s="491"/>
      <c r="V51" s="140"/>
      <c r="W51" s="491"/>
      <c r="X51" s="138"/>
      <c r="Y51" s="491"/>
      <c r="Z51" s="140"/>
      <c r="AA51" s="491"/>
      <c r="AB51" s="138"/>
      <c r="AC51" s="491"/>
      <c r="AD51" s="138"/>
      <c r="AE51" s="491"/>
      <c r="AF51" s="140"/>
      <c r="AG51" s="491"/>
      <c r="AH51" s="138"/>
      <c r="AI51" s="141"/>
      <c r="AJ51" s="140"/>
      <c r="AK51" s="131"/>
      <c r="AL51" s="140"/>
      <c r="AM51" s="131"/>
      <c r="AN51" s="140"/>
      <c r="AO51" s="131"/>
      <c r="AP51" s="168"/>
      <c r="AQ51" s="131"/>
      <c r="AR51" s="140"/>
      <c r="AS51" s="131"/>
      <c r="AT51" s="140"/>
      <c r="AU51" s="131"/>
      <c r="AV51" s="140"/>
      <c r="AW51" s="131"/>
      <c r="AX51" s="168"/>
      <c r="AY51" s="131"/>
      <c r="AZ51" s="135"/>
      <c r="BA51" s="131"/>
      <c r="BB51" s="146"/>
      <c r="BC51" s="131"/>
      <c r="BD51" s="146"/>
      <c r="BE51" s="131"/>
      <c r="BF51" s="146"/>
      <c r="BG51" s="135"/>
      <c r="BH51" s="135"/>
      <c r="BI51" s="135"/>
      <c r="BJ51" s="135"/>
      <c r="BK51" s="135"/>
      <c r="BL51" s="146"/>
      <c r="BM51" s="135"/>
      <c r="BN51" s="135"/>
      <c r="BO51" s="135"/>
      <c r="BP51" s="135"/>
      <c r="BQ51" s="131"/>
      <c r="BR51" s="146"/>
      <c r="BS51" s="135"/>
      <c r="BT51" s="135"/>
      <c r="BU51" s="135"/>
      <c r="BV51" s="135"/>
      <c r="BW51" s="131"/>
      <c r="BX51" s="146"/>
      <c r="BY51" s="135"/>
      <c r="BZ51" s="135"/>
      <c r="CA51" s="135"/>
      <c r="CB51" s="135"/>
      <c r="CC51" s="131"/>
      <c r="CD51" s="146"/>
      <c r="CE51" s="135"/>
      <c r="CF51" s="135"/>
      <c r="CG51" s="135"/>
      <c r="CH51" s="135"/>
      <c r="CI51" s="131"/>
      <c r="CJ51" s="146"/>
      <c r="CK51" s="135"/>
      <c r="CL51" s="135"/>
      <c r="CM51" s="135"/>
      <c r="CN51" s="135"/>
      <c r="CO51" s="131"/>
      <c r="CP51" s="146"/>
      <c r="CQ51" s="135"/>
      <c r="CR51" s="135"/>
      <c r="CS51" s="135"/>
      <c r="CT51" s="135"/>
      <c r="CU51" s="131"/>
      <c r="CV51" s="146"/>
      <c r="CW51" s="135"/>
      <c r="CX51" s="135"/>
      <c r="CY51" s="135"/>
      <c r="CZ51" s="135"/>
      <c r="DA51" s="131"/>
      <c r="DB51" s="146"/>
      <c r="DC51" s="135"/>
      <c r="DD51" s="135"/>
      <c r="DE51" s="135"/>
      <c r="DF51" s="135"/>
      <c r="DG51" s="131"/>
      <c r="DH51" s="146"/>
      <c r="DI51" s="135"/>
      <c r="DJ51" s="135"/>
      <c r="DK51" s="135"/>
      <c r="DL51" s="135"/>
      <c r="DM51" s="131"/>
      <c r="DN51" s="146"/>
      <c r="DO51" s="135"/>
      <c r="DP51" s="135"/>
      <c r="DQ51" s="135"/>
      <c r="DR51" s="135"/>
      <c r="DS51" s="131"/>
      <c r="DT51" s="146"/>
      <c r="DU51" s="135"/>
      <c r="DV51" s="135"/>
      <c r="DW51" s="135"/>
      <c r="DX51" s="135"/>
      <c r="DY51" s="131"/>
      <c r="DZ51" s="146"/>
      <c r="EA51" s="135"/>
      <c r="EB51" s="135"/>
      <c r="EC51" s="135"/>
      <c r="ED51" s="135"/>
      <c r="EE51" s="131"/>
      <c r="EF51" s="135">
        <f t="shared" si="1"/>
        <v>48</v>
      </c>
    </row>
    <row r="52" spans="1:164" x14ac:dyDescent="0.2">
      <c r="A52" s="144">
        <v>49</v>
      </c>
      <c r="B52" s="140"/>
      <c r="C52" s="491"/>
      <c r="D52" s="140"/>
      <c r="E52" s="491"/>
      <c r="F52" s="140"/>
      <c r="G52" s="491"/>
      <c r="H52" s="174"/>
      <c r="I52" s="491"/>
      <c r="J52" s="174"/>
      <c r="K52" s="491"/>
      <c r="L52" s="140"/>
      <c r="M52" s="491"/>
      <c r="N52" s="140"/>
      <c r="O52" s="491"/>
      <c r="P52" s="140"/>
      <c r="Q52" s="491"/>
      <c r="R52" s="138"/>
      <c r="S52" s="491"/>
      <c r="T52" s="140"/>
      <c r="U52" s="491"/>
      <c r="V52" s="138"/>
      <c r="W52" s="491"/>
      <c r="X52" s="147"/>
      <c r="Y52" s="491"/>
      <c r="Z52" s="140"/>
      <c r="AA52" s="491"/>
      <c r="AB52" s="147"/>
      <c r="AC52" s="491"/>
      <c r="AD52" s="140"/>
      <c r="AE52" s="491"/>
      <c r="AF52" s="140"/>
      <c r="AG52" s="491"/>
      <c r="AH52" s="147"/>
      <c r="AI52" s="141"/>
      <c r="AJ52" s="140"/>
      <c r="AK52" s="131"/>
      <c r="AL52" s="140"/>
      <c r="AM52" s="131"/>
      <c r="AN52" s="140"/>
      <c r="AO52" s="131"/>
      <c r="AP52" s="140"/>
      <c r="AQ52" s="131"/>
      <c r="AR52" s="140"/>
      <c r="AS52" s="131"/>
      <c r="AT52" s="140"/>
      <c r="AU52" s="131"/>
      <c r="AV52" s="495"/>
      <c r="AW52" s="131"/>
      <c r="AX52" s="495"/>
      <c r="AY52" s="131"/>
      <c r="AZ52" s="160"/>
      <c r="BA52" s="131"/>
      <c r="BB52" s="160"/>
      <c r="BC52" s="131"/>
      <c r="BD52" s="146"/>
      <c r="BE52" s="131"/>
      <c r="BF52" s="146"/>
      <c r="BG52" s="135"/>
      <c r="BH52" s="135"/>
      <c r="BI52" s="135"/>
      <c r="BJ52" s="135"/>
      <c r="BK52" s="135"/>
      <c r="BL52" s="146"/>
      <c r="BM52" s="135"/>
      <c r="BN52" s="135"/>
      <c r="BO52" s="135"/>
      <c r="BP52" s="135"/>
      <c r="BQ52" s="131"/>
      <c r="BR52" s="146"/>
      <c r="BS52" s="135"/>
      <c r="BT52" s="135"/>
      <c r="BU52" s="135"/>
      <c r="BV52" s="135"/>
      <c r="BW52" s="131"/>
      <c r="BX52" s="146"/>
      <c r="BY52" s="135"/>
      <c r="BZ52" s="135"/>
      <c r="CA52" s="135"/>
      <c r="CB52" s="135"/>
      <c r="CC52" s="131"/>
      <c r="CD52" s="146"/>
      <c r="CE52" s="135"/>
      <c r="CF52" s="135"/>
      <c r="CG52" s="135"/>
      <c r="CH52" s="135"/>
      <c r="CI52" s="131"/>
      <c r="CJ52" s="146"/>
      <c r="CK52" s="135"/>
      <c r="CL52" s="135"/>
      <c r="CM52" s="135"/>
      <c r="CN52" s="135"/>
      <c r="CO52" s="131"/>
      <c r="CP52" s="146"/>
      <c r="CQ52" s="135"/>
      <c r="CR52" s="135"/>
      <c r="CS52" s="135"/>
      <c r="CT52" s="135"/>
      <c r="CU52" s="131"/>
      <c r="CV52" s="146"/>
      <c r="CW52" s="135"/>
      <c r="CX52" s="135"/>
      <c r="CY52" s="135"/>
      <c r="CZ52" s="135"/>
      <c r="DA52" s="131"/>
      <c r="DB52" s="146"/>
      <c r="DC52" s="135"/>
      <c r="DD52" s="135"/>
      <c r="DE52" s="135"/>
      <c r="DF52" s="135"/>
      <c r="DG52" s="131"/>
      <c r="DH52" s="146"/>
      <c r="DI52" s="135"/>
      <c r="DJ52" s="135"/>
      <c r="DK52" s="135"/>
      <c r="DL52" s="135"/>
      <c r="DM52" s="131"/>
      <c r="DN52" s="146"/>
      <c r="DO52" s="135"/>
      <c r="DP52" s="135"/>
      <c r="DQ52" s="135"/>
      <c r="DR52" s="135"/>
      <c r="DS52" s="131"/>
      <c r="DT52" s="146"/>
      <c r="DU52" s="135"/>
      <c r="DV52" s="135"/>
      <c r="DW52" s="135"/>
      <c r="DX52" s="135"/>
      <c r="DY52" s="131"/>
      <c r="DZ52" s="146"/>
      <c r="EA52" s="135"/>
      <c r="EB52" s="135"/>
      <c r="EC52" s="135"/>
      <c r="ED52" s="135"/>
      <c r="EE52" s="131"/>
      <c r="EF52" s="135">
        <f t="shared" si="1"/>
        <v>49</v>
      </c>
    </row>
    <row r="53" spans="1:164" x14ac:dyDescent="0.2">
      <c r="A53" s="144">
        <v>50</v>
      </c>
      <c r="B53" s="140"/>
      <c r="C53" s="491"/>
      <c r="D53" s="495"/>
      <c r="E53" s="491"/>
      <c r="F53" s="495"/>
      <c r="G53" s="491"/>
      <c r="H53" s="495"/>
      <c r="I53" s="491"/>
      <c r="J53" s="140"/>
      <c r="K53" s="491"/>
      <c r="L53" s="140"/>
      <c r="M53" s="491"/>
      <c r="N53" s="140"/>
      <c r="O53" s="491"/>
      <c r="P53" s="140"/>
      <c r="Q53" s="491"/>
      <c r="R53" s="140"/>
      <c r="S53" s="491"/>
      <c r="T53" s="140"/>
      <c r="U53" s="491"/>
      <c r="V53" s="138"/>
      <c r="W53" s="491"/>
      <c r="X53" s="140"/>
      <c r="Y53" s="491"/>
      <c r="Z53" s="140"/>
      <c r="AA53" s="491"/>
      <c r="AB53" s="140"/>
      <c r="AC53" s="491"/>
      <c r="AD53" s="140"/>
      <c r="AE53" s="491"/>
      <c r="AF53" s="140"/>
      <c r="AG53" s="491"/>
      <c r="AH53" s="140"/>
      <c r="AI53" s="141"/>
      <c r="AJ53" s="140"/>
      <c r="AK53" s="131"/>
      <c r="AL53" s="140"/>
      <c r="AM53" s="131"/>
      <c r="AN53" s="140"/>
      <c r="AO53" s="131"/>
      <c r="AP53" s="140"/>
      <c r="AQ53" s="131"/>
      <c r="AR53" s="140"/>
      <c r="AS53" s="131"/>
      <c r="AT53" s="140"/>
      <c r="AU53" s="131"/>
      <c r="AV53" s="140"/>
      <c r="AW53" s="131"/>
      <c r="AX53" s="140"/>
      <c r="AY53" s="131"/>
      <c r="AZ53" s="160"/>
      <c r="BA53" s="131"/>
      <c r="BB53" s="160"/>
      <c r="BC53" s="131"/>
      <c r="BD53" s="142"/>
      <c r="BE53" s="131"/>
      <c r="BF53" s="142"/>
      <c r="BG53" s="135"/>
      <c r="BH53" s="135"/>
      <c r="BI53" s="135"/>
      <c r="BJ53" s="135"/>
      <c r="BK53" s="135"/>
      <c r="BL53" s="146"/>
      <c r="BM53" s="135"/>
      <c r="BN53" s="135"/>
      <c r="BO53" s="135"/>
      <c r="BP53" s="135"/>
      <c r="BQ53" s="131"/>
      <c r="BR53" s="146"/>
      <c r="BS53" s="135"/>
      <c r="BT53" s="135"/>
      <c r="BU53" s="135"/>
      <c r="BV53" s="135"/>
      <c r="BW53" s="131"/>
      <c r="BX53" s="146"/>
      <c r="BY53" s="135"/>
      <c r="BZ53" s="135"/>
      <c r="CA53" s="135"/>
      <c r="CB53" s="135"/>
      <c r="CC53" s="131"/>
      <c r="CD53" s="146"/>
      <c r="CE53" s="135"/>
      <c r="CF53" s="135"/>
      <c r="CG53" s="135"/>
      <c r="CH53" s="135"/>
      <c r="CI53" s="131"/>
      <c r="CJ53" s="146"/>
      <c r="CK53" s="135"/>
      <c r="CL53" s="135"/>
      <c r="CM53" s="135"/>
      <c r="CN53" s="135"/>
      <c r="CO53" s="131"/>
      <c r="CP53" s="146"/>
      <c r="CQ53" s="135"/>
      <c r="CR53" s="135"/>
      <c r="CS53" s="135"/>
      <c r="CT53" s="135"/>
      <c r="CU53" s="131"/>
      <c r="CV53" s="146"/>
      <c r="CW53" s="135"/>
      <c r="CX53" s="135"/>
      <c r="CY53" s="135"/>
      <c r="CZ53" s="135"/>
      <c r="DA53" s="131"/>
      <c r="DB53" s="146"/>
      <c r="DC53" s="135"/>
      <c r="DD53" s="135"/>
      <c r="DE53" s="135"/>
      <c r="DF53" s="135"/>
      <c r="DG53" s="131"/>
      <c r="DH53" s="146"/>
      <c r="DI53" s="135"/>
      <c r="DJ53" s="135"/>
      <c r="DK53" s="135"/>
      <c r="DL53" s="135"/>
      <c r="DM53" s="131"/>
      <c r="DN53" s="146"/>
      <c r="DO53" s="135"/>
      <c r="DP53" s="135"/>
      <c r="DQ53" s="135"/>
      <c r="DR53" s="135"/>
      <c r="DS53" s="131"/>
      <c r="DT53" s="146"/>
      <c r="DU53" s="135"/>
      <c r="DV53" s="135"/>
      <c r="DW53" s="135"/>
      <c r="DX53" s="135"/>
      <c r="DY53" s="131"/>
      <c r="DZ53" s="146"/>
      <c r="EA53" s="135"/>
      <c r="EB53" s="135"/>
      <c r="EC53" s="135"/>
      <c r="ED53" s="135"/>
      <c r="EE53" s="131"/>
      <c r="EF53" s="135">
        <f t="shared" si="1"/>
        <v>50</v>
      </c>
    </row>
    <row r="54" spans="1:164" x14ac:dyDescent="0.2">
      <c r="A54" s="144">
        <v>51</v>
      </c>
      <c r="B54" s="140"/>
      <c r="C54" s="491"/>
      <c r="D54" s="140"/>
      <c r="E54" s="491"/>
      <c r="F54" s="140"/>
      <c r="G54" s="491"/>
      <c r="H54" s="495"/>
      <c r="I54" s="491"/>
      <c r="J54" s="140"/>
      <c r="K54" s="491"/>
      <c r="L54" s="140"/>
      <c r="M54" s="491"/>
      <c r="N54" s="140"/>
      <c r="O54" s="491"/>
      <c r="P54" s="140"/>
      <c r="Q54" s="491"/>
      <c r="R54" s="140"/>
      <c r="S54" s="491"/>
      <c r="T54" s="140"/>
      <c r="U54" s="491"/>
      <c r="V54" s="140"/>
      <c r="W54" s="491"/>
      <c r="X54" s="140"/>
      <c r="Y54" s="491"/>
      <c r="Z54" s="140"/>
      <c r="AA54" s="491"/>
      <c r="AB54" s="140"/>
      <c r="AC54" s="491"/>
      <c r="AD54" s="140"/>
      <c r="AE54" s="491"/>
      <c r="AF54" s="140"/>
      <c r="AG54" s="491"/>
      <c r="AH54" s="140"/>
      <c r="AI54" s="141"/>
      <c r="AJ54" s="140"/>
      <c r="AK54" s="131"/>
      <c r="AL54" s="140"/>
      <c r="AM54" s="131"/>
      <c r="AN54" s="140"/>
      <c r="AO54" s="131"/>
      <c r="AP54" s="140"/>
      <c r="AQ54" s="131"/>
      <c r="AR54" s="140"/>
      <c r="AS54" s="131"/>
      <c r="AT54" s="140"/>
      <c r="AU54" s="131"/>
      <c r="AV54" s="140"/>
      <c r="AW54" s="131"/>
      <c r="AX54" s="140"/>
      <c r="AY54" s="131"/>
      <c r="AZ54" s="160"/>
      <c r="BA54" s="131"/>
      <c r="BB54" s="160"/>
      <c r="BC54" s="131"/>
      <c r="BD54" s="142"/>
      <c r="BE54" s="131"/>
      <c r="BF54" s="142"/>
      <c r="BG54" s="135"/>
      <c r="BH54" s="135"/>
      <c r="BI54" s="135"/>
      <c r="BJ54" s="135"/>
      <c r="BK54" s="135"/>
      <c r="BL54" s="146"/>
      <c r="BM54" s="135"/>
      <c r="BN54" s="135"/>
      <c r="BO54" s="135"/>
      <c r="BP54" s="135"/>
      <c r="BQ54" s="131"/>
      <c r="BR54" s="146"/>
      <c r="BS54" s="135"/>
      <c r="BT54" s="135"/>
      <c r="BU54" s="135"/>
      <c r="BV54" s="135"/>
      <c r="BW54" s="131"/>
      <c r="BX54" s="146"/>
      <c r="BY54" s="135"/>
      <c r="BZ54" s="135"/>
      <c r="CA54" s="135"/>
      <c r="CB54" s="135"/>
      <c r="CC54" s="131"/>
      <c r="CD54" s="146"/>
      <c r="CE54" s="135"/>
      <c r="CF54" s="135"/>
      <c r="CG54" s="135"/>
      <c r="CH54" s="135"/>
      <c r="CI54" s="131"/>
      <c r="CJ54" s="146"/>
      <c r="CK54" s="135"/>
      <c r="CL54" s="135"/>
      <c r="CM54" s="135"/>
      <c r="CN54" s="135"/>
      <c r="CO54" s="131"/>
      <c r="CP54" s="146"/>
      <c r="CQ54" s="135"/>
      <c r="CR54" s="135"/>
      <c r="CS54" s="135"/>
      <c r="CT54" s="135"/>
      <c r="CU54" s="131"/>
      <c r="CV54" s="146"/>
      <c r="CW54" s="135"/>
      <c r="CX54" s="135"/>
      <c r="CY54" s="135"/>
      <c r="CZ54" s="135"/>
      <c r="DA54" s="131"/>
      <c r="DB54" s="146"/>
      <c r="DC54" s="135"/>
      <c r="DD54" s="135"/>
      <c r="DE54" s="135"/>
      <c r="DF54" s="135"/>
      <c r="DG54" s="131"/>
      <c r="DH54" s="146"/>
      <c r="DI54" s="135"/>
      <c r="DJ54" s="135"/>
      <c r="DK54" s="135"/>
      <c r="DL54" s="135"/>
      <c r="DM54" s="131"/>
      <c r="DN54" s="146"/>
      <c r="DO54" s="135"/>
      <c r="DP54" s="135"/>
      <c r="DQ54" s="135"/>
      <c r="DR54" s="135"/>
      <c r="DS54" s="131"/>
      <c r="DT54" s="146"/>
      <c r="DU54" s="135"/>
      <c r="DV54" s="135"/>
      <c r="DW54" s="135"/>
      <c r="DX54" s="135"/>
      <c r="DY54" s="131"/>
      <c r="DZ54" s="146"/>
      <c r="EA54" s="135"/>
      <c r="EB54" s="135"/>
      <c r="EC54" s="135"/>
      <c r="ED54" s="135"/>
      <c r="EE54" s="131"/>
      <c r="EF54" s="135">
        <f t="shared" si="1"/>
        <v>51</v>
      </c>
    </row>
    <row r="55" spans="1:164" x14ac:dyDescent="0.2">
      <c r="A55" s="144">
        <v>52</v>
      </c>
      <c r="B55" s="140"/>
      <c r="C55" s="491"/>
      <c r="D55" s="140"/>
      <c r="E55" s="491"/>
      <c r="F55" s="140"/>
      <c r="G55" s="491"/>
      <c r="H55" s="140"/>
      <c r="I55" s="491"/>
      <c r="J55" s="140"/>
      <c r="K55" s="491"/>
      <c r="L55" s="140"/>
      <c r="M55" s="491"/>
      <c r="N55" s="140"/>
      <c r="O55" s="491"/>
      <c r="P55" s="140"/>
      <c r="Q55" s="491"/>
      <c r="R55" s="140"/>
      <c r="S55" s="491"/>
      <c r="T55" s="140"/>
      <c r="U55" s="491"/>
      <c r="V55" s="140"/>
      <c r="W55" s="491"/>
      <c r="X55" s="140"/>
      <c r="Y55" s="491"/>
      <c r="Z55" s="140"/>
      <c r="AA55" s="491"/>
      <c r="AB55" s="140"/>
      <c r="AC55" s="491"/>
      <c r="AD55" s="140"/>
      <c r="AE55" s="491"/>
      <c r="AF55" s="140"/>
      <c r="AG55" s="491"/>
      <c r="AH55" s="140"/>
      <c r="AI55" s="141"/>
      <c r="AJ55" s="140"/>
      <c r="AK55" s="131"/>
      <c r="AL55" s="140"/>
      <c r="AM55" s="131"/>
      <c r="AN55" s="140"/>
      <c r="AO55" s="131"/>
      <c r="AP55" s="140"/>
      <c r="AQ55" s="131"/>
      <c r="AR55" s="140"/>
      <c r="AS55" s="131"/>
      <c r="AT55" s="140"/>
      <c r="AU55" s="131"/>
      <c r="AV55" s="140"/>
      <c r="AW55" s="131"/>
      <c r="AX55" s="140"/>
      <c r="AY55" s="131"/>
      <c r="AZ55" s="160"/>
      <c r="BA55" s="131"/>
      <c r="BB55" s="160"/>
      <c r="BC55" s="131"/>
      <c r="BD55" s="142"/>
      <c r="BE55" s="131"/>
      <c r="BF55" s="142"/>
      <c r="BG55" s="135"/>
      <c r="BH55" s="135"/>
      <c r="BI55" s="135"/>
      <c r="BJ55" s="135"/>
      <c r="BK55" s="135"/>
      <c r="BL55" s="146"/>
      <c r="BM55" s="135"/>
      <c r="BN55" s="135"/>
      <c r="BO55" s="135"/>
      <c r="BP55" s="135"/>
      <c r="BQ55" s="131"/>
      <c r="BR55" s="146"/>
      <c r="BS55" s="135"/>
      <c r="BT55" s="135"/>
      <c r="BU55" s="135"/>
      <c r="BV55" s="135"/>
      <c r="BW55" s="131"/>
      <c r="BX55" s="146"/>
      <c r="BY55" s="135"/>
      <c r="BZ55" s="135"/>
      <c r="CA55" s="135"/>
      <c r="CB55" s="135"/>
      <c r="CC55" s="131"/>
      <c r="CD55" s="146"/>
      <c r="CE55" s="135"/>
      <c r="CF55" s="135"/>
      <c r="CG55" s="135"/>
      <c r="CH55" s="135"/>
      <c r="CI55" s="131"/>
      <c r="CJ55" s="146"/>
      <c r="CK55" s="135"/>
      <c r="CL55" s="135"/>
      <c r="CM55" s="135"/>
      <c r="CN55" s="135"/>
      <c r="CO55" s="131"/>
      <c r="CP55" s="146"/>
      <c r="CQ55" s="135"/>
      <c r="CR55" s="135"/>
      <c r="CS55" s="135"/>
      <c r="CT55" s="135"/>
      <c r="CU55" s="131"/>
      <c r="CV55" s="146"/>
      <c r="CW55" s="135"/>
      <c r="CX55" s="135"/>
      <c r="CY55" s="135"/>
      <c r="CZ55" s="135"/>
      <c r="DA55" s="131"/>
      <c r="DB55" s="146"/>
      <c r="DC55" s="135"/>
      <c r="DD55" s="135"/>
      <c r="DE55" s="135"/>
      <c r="DF55" s="135"/>
      <c r="DG55" s="131"/>
      <c r="DH55" s="146"/>
      <c r="DI55" s="135"/>
      <c r="DJ55" s="135"/>
      <c r="DK55" s="135"/>
      <c r="DL55" s="135"/>
      <c r="DM55" s="131"/>
      <c r="DN55" s="146"/>
      <c r="DO55" s="135"/>
      <c r="DP55" s="135"/>
      <c r="DQ55" s="135"/>
      <c r="DR55" s="135"/>
      <c r="DS55" s="131"/>
      <c r="DT55" s="146"/>
      <c r="DU55" s="135"/>
      <c r="DV55" s="135"/>
      <c r="DW55" s="135"/>
      <c r="DX55" s="135"/>
      <c r="DY55" s="131"/>
      <c r="DZ55" s="146"/>
      <c r="EA55" s="135"/>
      <c r="EB55" s="135"/>
      <c r="EC55" s="135"/>
      <c r="ED55" s="135"/>
      <c r="EE55" s="131"/>
      <c r="EF55" s="135">
        <f t="shared" si="1"/>
        <v>52</v>
      </c>
    </row>
    <row r="56" spans="1:164" x14ac:dyDescent="0.2">
      <c r="A56" s="150">
        <v>53</v>
      </c>
      <c r="B56" s="495"/>
      <c r="C56" s="91"/>
      <c r="D56" s="140"/>
      <c r="E56" s="91"/>
      <c r="F56" s="140"/>
      <c r="G56" s="91"/>
      <c r="H56" s="140"/>
      <c r="I56" s="91"/>
      <c r="J56" s="140"/>
      <c r="K56" s="91"/>
      <c r="L56" s="140"/>
      <c r="M56" s="91"/>
      <c r="N56" s="140"/>
      <c r="O56" s="91"/>
      <c r="P56" s="140"/>
      <c r="Q56" s="91"/>
      <c r="R56" s="140"/>
      <c r="S56" s="91"/>
      <c r="T56" s="140"/>
      <c r="U56" s="91"/>
      <c r="V56" s="140"/>
      <c r="W56" s="91"/>
      <c r="X56" s="140"/>
      <c r="Y56" s="91"/>
      <c r="Z56" s="140"/>
      <c r="AA56" s="91"/>
      <c r="AB56" s="140"/>
      <c r="AC56" s="91"/>
      <c r="AD56" s="140"/>
      <c r="AE56" s="91"/>
      <c r="AF56" s="140"/>
      <c r="AG56" s="91"/>
      <c r="AH56" s="163"/>
      <c r="AI56" s="153"/>
      <c r="AJ56" s="140"/>
      <c r="AK56" s="133"/>
      <c r="AL56" s="140"/>
      <c r="AM56" s="133"/>
      <c r="AN56" s="140"/>
      <c r="AO56" s="133"/>
      <c r="AP56" s="140"/>
      <c r="AQ56" s="133"/>
      <c r="AR56" s="140"/>
      <c r="AS56" s="133"/>
      <c r="AT56" s="140"/>
      <c r="AU56" s="133"/>
      <c r="AV56" s="140"/>
      <c r="AW56" s="133"/>
      <c r="AX56" s="140"/>
      <c r="AY56" s="133"/>
      <c r="AZ56" s="175"/>
      <c r="BA56" s="133"/>
      <c r="BB56" s="160"/>
      <c r="BC56" s="133"/>
      <c r="BD56" s="512"/>
      <c r="BE56" s="133"/>
      <c r="BF56" s="512"/>
      <c r="BG56" s="132"/>
      <c r="BH56" s="132"/>
      <c r="BI56" s="132"/>
      <c r="BJ56" s="132"/>
      <c r="BK56" s="132"/>
      <c r="BL56" s="146"/>
      <c r="BM56" s="135"/>
      <c r="BN56" s="135"/>
      <c r="BO56" s="135"/>
      <c r="BP56" s="135"/>
      <c r="BQ56" s="131"/>
      <c r="BR56" s="146"/>
      <c r="BS56" s="135"/>
      <c r="BT56" s="135"/>
      <c r="BU56" s="135"/>
      <c r="BV56" s="135"/>
      <c r="BW56" s="131"/>
      <c r="BX56" s="146"/>
      <c r="BY56" s="135"/>
      <c r="BZ56" s="135"/>
      <c r="CA56" s="135"/>
      <c r="CB56" s="135"/>
      <c r="CC56" s="131"/>
      <c r="CD56" s="146"/>
      <c r="CE56" s="135"/>
      <c r="CF56" s="135"/>
      <c r="CG56" s="135"/>
      <c r="CH56" s="135"/>
      <c r="CI56" s="131"/>
      <c r="CJ56" s="146"/>
      <c r="CK56" s="135"/>
      <c r="CL56" s="135"/>
      <c r="CM56" s="135"/>
      <c r="CN56" s="135"/>
      <c r="CO56" s="131"/>
      <c r="CP56" s="146"/>
      <c r="CQ56" s="135"/>
      <c r="CR56" s="135"/>
      <c r="CS56" s="135"/>
      <c r="CT56" s="135"/>
      <c r="CU56" s="131"/>
      <c r="CV56" s="146"/>
      <c r="CW56" s="135"/>
      <c r="CX56" s="135"/>
      <c r="CY56" s="135"/>
      <c r="CZ56" s="135"/>
      <c r="DA56" s="131"/>
      <c r="DB56" s="146"/>
      <c r="DC56" s="135"/>
      <c r="DD56" s="135"/>
      <c r="DE56" s="135"/>
      <c r="DF56" s="135"/>
      <c r="DG56" s="131"/>
      <c r="DH56" s="146"/>
      <c r="DI56" s="135"/>
      <c r="DJ56" s="135"/>
      <c r="DK56" s="135"/>
      <c r="DL56" s="135"/>
      <c r="DM56" s="131"/>
      <c r="DN56" s="146"/>
      <c r="DO56" s="135"/>
      <c r="DP56" s="135"/>
      <c r="DQ56" s="135"/>
      <c r="DR56" s="135"/>
      <c r="DS56" s="131"/>
      <c r="DT56" s="146"/>
      <c r="DU56" s="135"/>
      <c r="DV56" s="135"/>
      <c r="DW56" s="135"/>
      <c r="DX56" s="135"/>
      <c r="DY56" s="131"/>
      <c r="DZ56" s="146"/>
      <c r="EA56" s="135"/>
      <c r="EB56" s="135"/>
      <c r="EC56" s="135"/>
      <c r="ED56" s="135"/>
      <c r="EE56" s="131"/>
      <c r="EF56" s="135">
        <f t="shared" si="1"/>
        <v>53</v>
      </c>
    </row>
    <row r="57" spans="1:164" x14ac:dyDescent="0.2">
      <c r="A57" s="131" t="s">
        <v>88</v>
      </c>
      <c r="B57" s="496">
        <v>22</v>
      </c>
      <c r="C57" s="498"/>
      <c r="D57" s="496">
        <v>353</v>
      </c>
      <c r="E57" s="498">
        <v>14</v>
      </c>
      <c r="F57" s="497">
        <v>638</v>
      </c>
      <c r="G57" s="497">
        <v>43</v>
      </c>
      <c r="H57" s="496">
        <v>865</v>
      </c>
      <c r="I57" s="498">
        <v>99</v>
      </c>
      <c r="J57" s="497">
        <v>1087</v>
      </c>
      <c r="K57" s="497">
        <v>199</v>
      </c>
      <c r="L57" s="496">
        <v>923</v>
      </c>
      <c r="M57" s="498">
        <v>187</v>
      </c>
      <c r="N57" s="497">
        <v>880</v>
      </c>
      <c r="O57" s="497">
        <v>129</v>
      </c>
      <c r="P57" s="496">
        <v>392</v>
      </c>
      <c r="Q57" s="498">
        <v>109</v>
      </c>
      <c r="R57" s="497">
        <v>391</v>
      </c>
      <c r="S57" s="497">
        <v>20</v>
      </c>
      <c r="T57" s="496">
        <v>205</v>
      </c>
      <c r="U57" s="498">
        <v>32</v>
      </c>
      <c r="V57" s="497">
        <v>162</v>
      </c>
      <c r="W57" s="497">
        <v>46</v>
      </c>
      <c r="X57" s="496">
        <v>100</v>
      </c>
      <c r="Y57" s="498">
        <v>61</v>
      </c>
      <c r="Z57" s="497">
        <v>134</v>
      </c>
      <c r="AA57" s="497">
        <v>22</v>
      </c>
      <c r="AB57" s="496">
        <v>28</v>
      </c>
      <c r="AC57" s="498">
        <v>25</v>
      </c>
      <c r="AD57" s="497">
        <v>10</v>
      </c>
      <c r="AE57" s="497">
        <v>10</v>
      </c>
      <c r="AF57" s="496">
        <v>10</v>
      </c>
      <c r="AG57" s="497">
        <v>23</v>
      </c>
      <c r="AH57" s="496">
        <v>12</v>
      </c>
      <c r="AI57" s="136">
        <v>6</v>
      </c>
      <c r="AJ57" s="497">
        <v>49</v>
      </c>
      <c r="AK57" s="498">
        <v>10</v>
      </c>
      <c r="AL57" s="497">
        <v>16</v>
      </c>
      <c r="AM57" s="497">
        <v>12</v>
      </c>
      <c r="AN57" s="496">
        <v>3</v>
      </c>
      <c r="AO57" s="498">
        <v>10</v>
      </c>
      <c r="AP57" s="497">
        <v>188</v>
      </c>
      <c r="AQ57" s="497">
        <v>75</v>
      </c>
      <c r="AR57" s="496">
        <v>175</v>
      </c>
      <c r="AS57" s="498">
        <v>161</v>
      </c>
      <c r="AT57" s="497">
        <v>158</v>
      </c>
      <c r="AU57" s="497">
        <v>194</v>
      </c>
      <c r="AV57" s="496">
        <v>89</v>
      </c>
      <c r="AW57" s="498">
        <v>230</v>
      </c>
      <c r="AX57" s="497">
        <v>106</v>
      </c>
      <c r="AY57" s="497">
        <v>194</v>
      </c>
      <c r="AZ57" s="134">
        <v>29</v>
      </c>
      <c r="BA57" s="133">
        <v>85</v>
      </c>
      <c r="BB57" s="496"/>
      <c r="BC57" s="498"/>
      <c r="BD57" s="496"/>
      <c r="BE57" s="498"/>
      <c r="BF57" s="503"/>
      <c r="BG57" s="662"/>
      <c r="BH57" s="662"/>
      <c r="BI57" s="662"/>
      <c r="BJ57" s="662"/>
      <c r="BK57" s="662"/>
      <c r="BL57" s="661"/>
      <c r="BM57" s="662"/>
      <c r="BN57" s="662"/>
      <c r="BO57" s="662"/>
      <c r="BP57" s="662"/>
      <c r="BQ57" s="663"/>
      <c r="BR57" s="812"/>
      <c r="BS57" s="813"/>
      <c r="BT57" s="813"/>
      <c r="BU57" s="813"/>
      <c r="BV57" s="813"/>
      <c r="BW57" s="814"/>
      <c r="BX57" s="919"/>
      <c r="BY57" s="920"/>
      <c r="BZ57" s="920"/>
      <c r="CA57" s="920"/>
      <c r="CB57" s="920"/>
      <c r="CC57" s="921"/>
      <c r="CD57" s="992"/>
      <c r="CE57" s="993"/>
      <c r="CF57" s="993"/>
      <c r="CG57" s="993"/>
      <c r="CH57" s="993"/>
      <c r="CI57" s="994"/>
      <c r="CJ57" s="1095"/>
      <c r="CK57" s="1096"/>
      <c r="CL57" s="1096"/>
      <c r="CM57" s="1096"/>
      <c r="CN57" s="1096"/>
      <c r="CO57" s="1097"/>
      <c r="CP57" s="1153"/>
      <c r="CQ57" s="1154"/>
      <c r="CR57" s="1154"/>
      <c r="CS57" s="1154"/>
      <c r="CT57" s="1154"/>
      <c r="CU57" s="1155"/>
      <c r="CV57" s="1153"/>
      <c r="CW57" s="1154"/>
      <c r="CX57" s="1154"/>
      <c r="CY57" s="1154"/>
      <c r="CZ57" s="1154"/>
      <c r="DA57" s="1155"/>
      <c r="DB57" s="1153"/>
      <c r="DC57" s="1154"/>
      <c r="DD57" s="1154"/>
      <c r="DE57" s="1154"/>
      <c r="DF57" s="1154"/>
      <c r="DG57" s="1155"/>
      <c r="DH57" s="1153"/>
      <c r="DI57" s="1154"/>
      <c r="DJ57" s="1154"/>
      <c r="DK57" s="1154"/>
      <c r="DL57" s="1154"/>
      <c r="DM57" s="1155"/>
      <c r="DN57" s="1153"/>
      <c r="DO57" s="1154"/>
      <c r="DP57" s="1154"/>
      <c r="DQ57" s="1154"/>
      <c r="DR57" s="1154"/>
      <c r="DS57" s="1155"/>
      <c r="DT57" s="1153"/>
      <c r="DU57" s="1154"/>
      <c r="DV57" s="1154"/>
      <c r="DW57" s="1154"/>
      <c r="DX57" s="1154"/>
      <c r="DY57" s="1155"/>
      <c r="DZ57" s="1153"/>
      <c r="EA57" s="1154"/>
      <c r="EB57" s="1154"/>
      <c r="EC57" s="1154"/>
      <c r="ED57" s="1154"/>
      <c r="EE57" s="1155"/>
      <c r="EF57" s="135"/>
    </row>
    <row r="59" spans="1:164" x14ac:dyDescent="0.2">
      <c r="A59" s="126" t="s">
        <v>89</v>
      </c>
    </row>
    <row r="60" spans="1:164" x14ac:dyDescent="0.2">
      <c r="A60" s="27"/>
      <c r="D60" s="100" t="s">
        <v>90</v>
      </c>
      <c r="AI60" s="130" t="s">
        <v>85</v>
      </c>
      <c r="AJ60" s="27" t="s">
        <v>86</v>
      </c>
      <c r="EH60" s="578" t="s">
        <v>91</v>
      </c>
      <c r="EI60" s="519"/>
      <c r="EJ60" s="519"/>
      <c r="EK60" s="579"/>
      <c r="EL60" s="519"/>
      <c r="EM60" s="519"/>
      <c r="EN60" s="579"/>
      <c r="EO60" s="519"/>
      <c r="EP60" s="519"/>
      <c r="EQ60" s="580"/>
      <c r="ER60" s="580"/>
      <c r="ES60" s="519"/>
      <c r="ET60" s="519"/>
      <c r="EU60" s="580"/>
      <c r="EV60" s="580"/>
      <c r="EW60" s="580"/>
      <c r="EX60" s="580"/>
      <c r="EY60" s="580"/>
      <c r="EZ60" s="580"/>
      <c r="FA60" s="580"/>
      <c r="FB60" s="580"/>
      <c r="FC60" s="580"/>
      <c r="FD60" s="580"/>
      <c r="FE60" s="580"/>
      <c r="FF60" s="580"/>
      <c r="FG60" s="580"/>
      <c r="FH60" s="580"/>
    </row>
    <row r="61" spans="1:164" ht="34.5" customHeight="1" x14ac:dyDescent="0.2">
      <c r="A61" s="124"/>
      <c r="B61" s="496">
        <v>1984</v>
      </c>
      <c r="C61" s="498">
        <v>1984</v>
      </c>
      <c r="D61" s="496">
        <v>1985</v>
      </c>
      <c r="E61" s="498">
        <v>1985</v>
      </c>
      <c r="F61" s="497">
        <v>1986</v>
      </c>
      <c r="G61" s="497">
        <v>1986</v>
      </c>
      <c r="H61" s="496">
        <v>1987</v>
      </c>
      <c r="I61" s="498">
        <v>1987</v>
      </c>
      <c r="J61" s="497">
        <v>1988</v>
      </c>
      <c r="K61" s="497">
        <v>1988</v>
      </c>
      <c r="L61" s="496">
        <v>1989</v>
      </c>
      <c r="M61" s="498">
        <v>1989</v>
      </c>
      <c r="N61" s="497">
        <v>1990</v>
      </c>
      <c r="O61" s="497">
        <v>1990</v>
      </c>
      <c r="P61" s="496">
        <v>1991</v>
      </c>
      <c r="Q61" s="498">
        <v>1991</v>
      </c>
      <c r="R61" s="497">
        <v>1992</v>
      </c>
      <c r="S61" s="497">
        <v>1992</v>
      </c>
      <c r="T61" s="496">
        <v>1993</v>
      </c>
      <c r="U61" s="498">
        <v>1993</v>
      </c>
      <c r="V61" s="497">
        <v>1994</v>
      </c>
      <c r="W61" s="497">
        <v>1994</v>
      </c>
      <c r="X61" s="496">
        <v>1995</v>
      </c>
      <c r="Y61" s="498">
        <v>1995</v>
      </c>
      <c r="Z61" s="497">
        <v>1996</v>
      </c>
      <c r="AA61" s="497">
        <v>1996</v>
      </c>
      <c r="AB61" s="496">
        <v>1997</v>
      </c>
      <c r="AC61" s="498">
        <v>1997</v>
      </c>
      <c r="AD61" s="497">
        <v>1998</v>
      </c>
      <c r="AE61" s="497">
        <v>1998</v>
      </c>
      <c r="AF61" s="496">
        <v>1999</v>
      </c>
      <c r="AG61" s="498">
        <v>1999</v>
      </c>
      <c r="AH61" s="497">
        <v>2000</v>
      </c>
      <c r="AI61" s="136">
        <v>2000</v>
      </c>
      <c r="AJ61" s="497">
        <v>2001</v>
      </c>
      <c r="AK61" s="498">
        <v>2001</v>
      </c>
      <c r="AL61" s="497">
        <v>2002</v>
      </c>
      <c r="AM61" s="497">
        <v>2002</v>
      </c>
      <c r="AN61" s="496">
        <v>2003</v>
      </c>
      <c r="AO61" s="498">
        <v>2003</v>
      </c>
      <c r="AP61" s="497">
        <v>2004</v>
      </c>
      <c r="AQ61" s="497">
        <v>2004</v>
      </c>
      <c r="AR61" s="496">
        <v>2005</v>
      </c>
      <c r="AS61" s="498">
        <v>2005</v>
      </c>
      <c r="AT61" s="497">
        <v>2006</v>
      </c>
      <c r="AU61" s="497">
        <v>2006</v>
      </c>
      <c r="AV61" s="496">
        <v>2007</v>
      </c>
      <c r="AW61" s="498">
        <v>2007</v>
      </c>
      <c r="AX61" s="497">
        <v>2008</v>
      </c>
      <c r="AY61" s="497">
        <v>2008</v>
      </c>
      <c r="AZ61" s="496">
        <v>2009</v>
      </c>
      <c r="BA61" s="498">
        <v>2009</v>
      </c>
      <c r="BB61" s="496">
        <v>2010</v>
      </c>
      <c r="BC61" s="498">
        <v>2010</v>
      </c>
      <c r="BD61" s="496">
        <v>2011</v>
      </c>
      <c r="BE61" s="498">
        <v>2011</v>
      </c>
      <c r="BF61" s="503">
        <v>2012</v>
      </c>
      <c r="BG61" s="662"/>
      <c r="BH61" s="662"/>
      <c r="BI61" s="662"/>
      <c r="BJ61" s="662"/>
      <c r="BK61" s="662"/>
      <c r="BL61" s="661">
        <v>2013</v>
      </c>
      <c r="BM61" s="662"/>
      <c r="BN61" s="253"/>
      <c r="BO61" s="253"/>
      <c r="BP61" s="253"/>
      <c r="BQ61" s="139"/>
      <c r="BR61" s="812">
        <v>2014</v>
      </c>
      <c r="BS61" s="813"/>
      <c r="BT61" s="253"/>
      <c r="BU61" s="253"/>
      <c r="BV61" s="253"/>
      <c r="BW61" s="139"/>
      <c r="BX61" s="919">
        <v>2015</v>
      </c>
      <c r="BY61" s="920"/>
      <c r="BZ61" s="253"/>
      <c r="CA61" s="253"/>
      <c r="CB61" s="253"/>
      <c r="CC61" s="139"/>
      <c r="CD61" s="992">
        <v>2016</v>
      </c>
      <c r="CE61" s="993"/>
      <c r="CF61" s="253"/>
      <c r="CG61" s="253"/>
      <c r="CH61" s="253"/>
      <c r="CI61" s="139"/>
      <c r="CJ61" s="1095">
        <v>2017</v>
      </c>
      <c r="CK61" s="1096"/>
      <c r="CL61" s="253"/>
      <c r="CM61" s="253"/>
      <c r="CN61" s="253"/>
      <c r="CO61" s="139"/>
      <c r="CP61" s="1153">
        <v>2018</v>
      </c>
      <c r="CQ61" s="1154"/>
      <c r="CR61" s="253"/>
      <c r="CS61" s="253"/>
      <c r="CT61" s="253"/>
      <c r="CU61" s="139"/>
      <c r="CV61" s="1153">
        <v>2019</v>
      </c>
      <c r="CW61" s="1154"/>
      <c r="CX61" s="253"/>
      <c r="CY61" s="253"/>
      <c r="CZ61" s="253"/>
      <c r="DA61" s="139"/>
      <c r="DB61" s="1153">
        <v>2020</v>
      </c>
      <c r="DC61" s="1154"/>
      <c r="DD61" s="253"/>
      <c r="DE61" s="253"/>
      <c r="DF61" s="253"/>
      <c r="DG61" s="139"/>
      <c r="DH61" s="1153">
        <v>2021</v>
      </c>
      <c r="DI61" s="1154"/>
      <c r="DJ61" s="253"/>
      <c r="DK61" s="253"/>
      <c r="DL61" s="253"/>
      <c r="DM61" s="139"/>
      <c r="DN61" s="1153">
        <f>DN3</f>
        <v>2022</v>
      </c>
      <c r="DO61" s="1154"/>
      <c r="DP61" s="253"/>
      <c r="DQ61" s="253"/>
      <c r="DR61" s="253"/>
      <c r="DS61" s="139"/>
      <c r="DT61" s="1153">
        <f>DT3</f>
        <v>2023</v>
      </c>
      <c r="DU61" s="1154"/>
      <c r="DV61" s="253"/>
      <c r="DW61" s="253"/>
      <c r="DX61" s="253"/>
      <c r="DY61" s="139"/>
      <c r="DZ61" s="1153">
        <f>DZ3</f>
        <v>2024</v>
      </c>
      <c r="EA61" s="1154"/>
      <c r="EB61" s="253"/>
      <c r="EC61" s="253"/>
      <c r="ED61" s="253"/>
      <c r="EE61" s="139"/>
      <c r="EF61" s="135"/>
      <c r="EG61" s="135"/>
      <c r="EH61" s="581"/>
      <c r="EI61" s="582" t="s">
        <v>231</v>
      </c>
      <c r="EJ61" s="583"/>
      <c r="EK61" s="584" t="s">
        <v>236</v>
      </c>
      <c r="EL61" s="583"/>
      <c r="EM61" s="585"/>
      <c r="EN61" s="581"/>
      <c r="EO61" s="586" t="s">
        <v>224</v>
      </c>
      <c r="EP61" s="587"/>
      <c r="EQ61" s="588" t="s">
        <v>232</v>
      </c>
      <c r="ER61" s="589"/>
      <c r="ES61" s="590"/>
      <c r="ET61" s="519"/>
      <c r="EU61" s="586" t="s">
        <v>93</v>
      </c>
      <c r="EV61" s="587"/>
      <c r="EW61" s="588" t="s">
        <v>233</v>
      </c>
      <c r="EX61" s="587"/>
      <c r="EY61" s="591"/>
      <c r="EZ61" s="580"/>
      <c r="FA61" s="580"/>
      <c r="FB61" s="580"/>
      <c r="FC61" s="580"/>
      <c r="FD61" s="580"/>
      <c r="FE61" s="580"/>
      <c r="FF61" s="580"/>
      <c r="FG61" s="580"/>
      <c r="FH61" s="580"/>
    </row>
    <row r="62" spans="1:164" ht="24" customHeight="1" x14ac:dyDescent="0.2">
      <c r="A62" s="133" t="s">
        <v>87</v>
      </c>
      <c r="B62" s="134" t="s">
        <v>22</v>
      </c>
      <c r="C62" s="133" t="s">
        <v>23</v>
      </c>
      <c r="D62" s="134" t="s">
        <v>22</v>
      </c>
      <c r="E62" s="133" t="s">
        <v>23</v>
      </c>
      <c r="F62" s="132" t="s">
        <v>22</v>
      </c>
      <c r="G62" s="132" t="s">
        <v>23</v>
      </c>
      <c r="H62" s="134" t="s">
        <v>22</v>
      </c>
      <c r="I62" s="133" t="s">
        <v>23</v>
      </c>
      <c r="J62" s="132" t="s">
        <v>22</v>
      </c>
      <c r="K62" s="132" t="s">
        <v>23</v>
      </c>
      <c r="L62" s="134" t="s">
        <v>22</v>
      </c>
      <c r="M62" s="133" t="s">
        <v>23</v>
      </c>
      <c r="N62" s="132" t="s">
        <v>22</v>
      </c>
      <c r="O62" s="132" t="s">
        <v>23</v>
      </c>
      <c r="P62" s="134" t="s">
        <v>22</v>
      </c>
      <c r="Q62" s="133" t="s">
        <v>23</v>
      </c>
      <c r="R62" s="132" t="s">
        <v>22</v>
      </c>
      <c r="S62" s="132" t="s">
        <v>23</v>
      </c>
      <c r="T62" s="134" t="s">
        <v>22</v>
      </c>
      <c r="U62" s="133" t="s">
        <v>23</v>
      </c>
      <c r="V62" s="132" t="s">
        <v>22</v>
      </c>
      <c r="W62" s="132" t="s">
        <v>23</v>
      </c>
      <c r="X62" s="134" t="s">
        <v>22</v>
      </c>
      <c r="Y62" s="133" t="s">
        <v>23</v>
      </c>
      <c r="Z62" s="132" t="s">
        <v>22</v>
      </c>
      <c r="AA62" s="132" t="s">
        <v>23</v>
      </c>
      <c r="AB62" s="134" t="s">
        <v>22</v>
      </c>
      <c r="AC62" s="133" t="s">
        <v>23</v>
      </c>
      <c r="AD62" s="132" t="s">
        <v>22</v>
      </c>
      <c r="AE62" s="132" t="s">
        <v>23</v>
      </c>
      <c r="AF62" s="134" t="s">
        <v>22</v>
      </c>
      <c r="AG62" s="133" t="s">
        <v>23</v>
      </c>
      <c r="AH62" s="132" t="s">
        <v>22</v>
      </c>
      <c r="AI62" s="136" t="s">
        <v>23</v>
      </c>
      <c r="AJ62" s="132" t="s">
        <v>22</v>
      </c>
      <c r="AK62" s="133" t="s">
        <v>23</v>
      </c>
      <c r="AL62" s="132" t="s">
        <v>22</v>
      </c>
      <c r="AM62" s="132" t="s">
        <v>23</v>
      </c>
      <c r="AN62" s="134" t="s">
        <v>22</v>
      </c>
      <c r="AO62" s="133" t="s">
        <v>23</v>
      </c>
      <c r="AP62" s="132" t="s">
        <v>22</v>
      </c>
      <c r="AQ62" s="132" t="s">
        <v>23</v>
      </c>
      <c r="AR62" s="134" t="s">
        <v>22</v>
      </c>
      <c r="AS62" s="133" t="s">
        <v>23</v>
      </c>
      <c r="AT62" s="132" t="s">
        <v>22</v>
      </c>
      <c r="AU62" s="132" t="s">
        <v>23</v>
      </c>
      <c r="AV62" s="134" t="s">
        <v>22</v>
      </c>
      <c r="AW62" s="133" t="s">
        <v>23</v>
      </c>
      <c r="AX62" s="132" t="s">
        <v>22</v>
      </c>
      <c r="AY62" s="132" t="s">
        <v>23</v>
      </c>
      <c r="AZ62" s="134" t="s">
        <v>22</v>
      </c>
      <c r="BA62" s="133" t="s">
        <v>23</v>
      </c>
      <c r="BB62" s="496" t="s">
        <v>22</v>
      </c>
      <c r="BC62" s="498" t="s">
        <v>23</v>
      </c>
      <c r="BD62" s="496" t="s">
        <v>22</v>
      </c>
      <c r="BE62" s="498" t="s">
        <v>23</v>
      </c>
      <c r="BF62" s="661" t="s">
        <v>257</v>
      </c>
      <c r="BG62" s="662" t="s">
        <v>172</v>
      </c>
      <c r="BH62" s="662" t="s">
        <v>258</v>
      </c>
      <c r="BI62" s="662" t="s">
        <v>259</v>
      </c>
      <c r="BJ62" s="662" t="s">
        <v>173</v>
      </c>
      <c r="BK62" s="662" t="s">
        <v>260</v>
      </c>
      <c r="BL62" s="661" t="s">
        <v>257</v>
      </c>
      <c r="BM62" s="662" t="s">
        <v>172</v>
      </c>
      <c r="BN62" s="662" t="s">
        <v>258</v>
      </c>
      <c r="BO62" s="662" t="s">
        <v>259</v>
      </c>
      <c r="BP62" s="662" t="s">
        <v>173</v>
      </c>
      <c r="BQ62" s="663" t="s">
        <v>260</v>
      </c>
      <c r="BR62" s="812" t="s">
        <v>257</v>
      </c>
      <c r="BS62" s="813" t="s">
        <v>172</v>
      </c>
      <c r="BT62" s="813" t="s">
        <v>258</v>
      </c>
      <c r="BU62" s="813" t="s">
        <v>259</v>
      </c>
      <c r="BV62" s="813" t="s">
        <v>173</v>
      </c>
      <c r="BW62" s="814" t="s">
        <v>260</v>
      </c>
      <c r="BX62" s="919" t="s">
        <v>257</v>
      </c>
      <c r="BY62" s="920" t="s">
        <v>172</v>
      </c>
      <c r="BZ62" s="920" t="s">
        <v>258</v>
      </c>
      <c r="CA62" s="920" t="s">
        <v>259</v>
      </c>
      <c r="CB62" s="920" t="s">
        <v>173</v>
      </c>
      <c r="CC62" s="921" t="s">
        <v>260</v>
      </c>
      <c r="CD62" s="992" t="s">
        <v>257</v>
      </c>
      <c r="CE62" s="993" t="s">
        <v>172</v>
      </c>
      <c r="CF62" s="993" t="s">
        <v>258</v>
      </c>
      <c r="CG62" s="993" t="s">
        <v>259</v>
      </c>
      <c r="CH62" s="993" t="s">
        <v>173</v>
      </c>
      <c r="CI62" s="994" t="s">
        <v>260</v>
      </c>
      <c r="CJ62" s="1095" t="s">
        <v>257</v>
      </c>
      <c r="CK62" s="1096" t="s">
        <v>172</v>
      </c>
      <c r="CL62" s="1096" t="s">
        <v>258</v>
      </c>
      <c r="CM62" s="1096" t="s">
        <v>259</v>
      </c>
      <c r="CN62" s="1096" t="s">
        <v>173</v>
      </c>
      <c r="CO62" s="1097" t="s">
        <v>260</v>
      </c>
      <c r="CP62" s="1153" t="s">
        <v>257</v>
      </c>
      <c r="CQ62" s="1154" t="s">
        <v>172</v>
      </c>
      <c r="CR62" s="1154" t="s">
        <v>258</v>
      </c>
      <c r="CS62" s="1154" t="s">
        <v>259</v>
      </c>
      <c r="CT62" s="1154" t="s">
        <v>173</v>
      </c>
      <c r="CU62" s="1155" t="s">
        <v>260</v>
      </c>
      <c r="CV62" s="1153" t="s">
        <v>257</v>
      </c>
      <c r="CW62" s="1154" t="s">
        <v>172</v>
      </c>
      <c r="CX62" s="1154" t="s">
        <v>258</v>
      </c>
      <c r="CY62" s="1154" t="s">
        <v>259</v>
      </c>
      <c r="CZ62" s="1154" t="s">
        <v>173</v>
      </c>
      <c r="DA62" s="1155" t="s">
        <v>260</v>
      </c>
      <c r="DB62" s="1153" t="s">
        <v>257</v>
      </c>
      <c r="DC62" s="1154" t="s">
        <v>172</v>
      </c>
      <c r="DD62" s="1154" t="s">
        <v>258</v>
      </c>
      <c r="DE62" s="1154" t="s">
        <v>259</v>
      </c>
      <c r="DF62" s="1154" t="s">
        <v>173</v>
      </c>
      <c r="DG62" s="1155" t="s">
        <v>260</v>
      </c>
      <c r="DH62" s="1153" t="s">
        <v>257</v>
      </c>
      <c r="DI62" s="1154" t="s">
        <v>172</v>
      </c>
      <c r="DJ62" s="1154" t="s">
        <v>258</v>
      </c>
      <c r="DK62" s="1154" t="s">
        <v>259</v>
      </c>
      <c r="DL62" s="1154" t="s">
        <v>173</v>
      </c>
      <c r="DM62" s="1155" t="s">
        <v>260</v>
      </c>
      <c r="DN62" s="1153" t="s">
        <v>257</v>
      </c>
      <c r="DO62" s="1154" t="s">
        <v>172</v>
      </c>
      <c r="DP62" s="1154" t="s">
        <v>258</v>
      </c>
      <c r="DQ62" s="1154" t="s">
        <v>259</v>
      </c>
      <c r="DR62" s="1154" t="s">
        <v>173</v>
      </c>
      <c r="DS62" s="1155" t="s">
        <v>260</v>
      </c>
      <c r="DT62" s="1153" t="s">
        <v>257</v>
      </c>
      <c r="DU62" s="1154" t="s">
        <v>172</v>
      </c>
      <c r="DV62" s="1154" t="s">
        <v>258</v>
      </c>
      <c r="DW62" s="1154" t="s">
        <v>259</v>
      </c>
      <c r="DX62" s="1154" t="s">
        <v>173</v>
      </c>
      <c r="DY62" s="1155" t="s">
        <v>260</v>
      </c>
      <c r="DZ62" s="1153" t="s">
        <v>257</v>
      </c>
      <c r="EA62" s="1154" t="s">
        <v>172</v>
      </c>
      <c r="EB62" s="1154" t="s">
        <v>258</v>
      </c>
      <c r="EC62" s="1154" t="s">
        <v>259</v>
      </c>
      <c r="ED62" s="1154" t="s">
        <v>173</v>
      </c>
      <c r="EE62" s="1155" t="s">
        <v>260</v>
      </c>
      <c r="EF62" s="135" t="str">
        <f t="shared" ref="EF62:EF93" si="2">A62</f>
        <v>MW</v>
      </c>
      <c r="EG62" s="135"/>
      <c r="EH62" s="581" t="s">
        <v>87</v>
      </c>
      <c r="EI62" s="592" t="s">
        <v>94</v>
      </c>
      <c r="EJ62" s="593" t="s">
        <v>95</v>
      </c>
      <c r="EK62" s="594" t="s">
        <v>96</v>
      </c>
      <c r="EL62" s="594" t="s">
        <v>97</v>
      </c>
      <c r="EM62" s="595" t="s">
        <v>230</v>
      </c>
      <c r="EN62" s="581" t="s">
        <v>87</v>
      </c>
      <c r="EO62" s="596" t="s">
        <v>94</v>
      </c>
      <c r="EP62" s="593" t="s">
        <v>95</v>
      </c>
      <c r="EQ62" s="594" t="s">
        <v>96</v>
      </c>
      <c r="ER62" s="594" t="s">
        <v>97</v>
      </c>
      <c r="ES62" s="597" t="s">
        <v>228</v>
      </c>
      <c r="ET62" s="519" t="str">
        <f>EN62</f>
        <v>MW</v>
      </c>
      <c r="EU62" s="598" t="str">
        <f>EO62</f>
        <v>H Samples</v>
      </c>
      <c r="EV62" s="593" t="str">
        <f>EP62</f>
        <v>W Samples</v>
      </c>
      <c r="EW62" s="593" t="str">
        <f>EQ62</f>
        <v>H Proportions</v>
      </c>
      <c r="EX62" s="593" t="str">
        <f>ER62</f>
        <v>W Proportions</v>
      </c>
      <c r="EY62" s="599" t="s">
        <v>229</v>
      </c>
      <c r="EZ62" s="600"/>
      <c r="FA62" s="580"/>
      <c r="FB62" s="580"/>
      <c r="FC62" s="580"/>
      <c r="FD62" s="580"/>
      <c r="FE62" s="580"/>
      <c r="FF62" s="580"/>
      <c r="FG62" s="580"/>
      <c r="FH62" s="580"/>
    </row>
    <row r="63" spans="1:164" x14ac:dyDescent="0.2">
      <c r="A63" s="180">
        <v>1</v>
      </c>
      <c r="B63" s="146"/>
      <c r="C63" s="131"/>
      <c r="D63" s="146"/>
      <c r="E63" s="131"/>
      <c r="F63" s="181">
        <v>87</v>
      </c>
      <c r="G63" s="181">
        <v>6</v>
      </c>
      <c r="H63" s="146"/>
      <c r="I63" s="131"/>
      <c r="J63" s="124"/>
      <c r="K63" s="124"/>
      <c r="L63" s="182">
        <v>81</v>
      </c>
      <c r="M63" s="183">
        <v>19</v>
      </c>
      <c r="N63" s="181">
        <v>75</v>
      </c>
      <c r="O63" s="181">
        <v>7</v>
      </c>
      <c r="P63" s="146"/>
      <c r="Q63" s="131"/>
      <c r="R63" s="181">
        <v>66</v>
      </c>
      <c r="S63" s="181">
        <v>4</v>
      </c>
      <c r="T63" s="146"/>
      <c r="U63" s="131"/>
      <c r="V63" s="124"/>
      <c r="W63" s="124"/>
      <c r="X63" s="182">
        <v>32</v>
      </c>
      <c r="Y63" s="183">
        <v>4</v>
      </c>
      <c r="Z63" s="181">
        <v>41</v>
      </c>
      <c r="AA63" s="181">
        <v>1</v>
      </c>
      <c r="AB63" s="146"/>
      <c r="AC63" s="131"/>
      <c r="AD63" s="124"/>
      <c r="AE63" s="124"/>
      <c r="AF63" s="146"/>
      <c r="AG63" s="135"/>
      <c r="AH63" s="143"/>
      <c r="AI63" s="184"/>
      <c r="AJ63" s="135"/>
      <c r="AK63" s="131"/>
      <c r="AN63" s="146"/>
      <c r="AO63" s="131"/>
      <c r="AR63" s="146"/>
      <c r="AS63" s="131"/>
      <c r="AT63" s="181">
        <v>25</v>
      </c>
      <c r="AU63" s="181">
        <v>4</v>
      </c>
      <c r="AV63" s="182">
        <v>17</v>
      </c>
      <c r="AW63" s="183">
        <v>1</v>
      </c>
      <c r="AZ63" s="146"/>
      <c r="BA63" s="131"/>
      <c r="BB63" s="143"/>
      <c r="BC63" s="139"/>
      <c r="BD63" s="143"/>
      <c r="BE63" s="139"/>
      <c r="BF63" s="517">
        <v>15</v>
      </c>
      <c r="BG63" s="665">
        <v>0</v>
      </c>
      <c r="BH63" s="665">
        <v>0</v>
      </c>
      <c r="BI63" s="665">
        <v>0</v>
      </c>
      <c r="BJ63" s="665">
        <v>0</v>
      </c>
      <c r="BK63" s="665">
        <v>0</v>
      </c>
      <c r="BL63" s="517">
        <v>7</v>
      </c>
      <c r="BM63" s="665">
        <v>0</v>
      </c>
      <c r="BN63" s="188">
        <v>1</v>
      </c>
      <c r="BO63" s="188">
        <v>2</v>
      </c>
      <c r="BP63" s="188">
        <v>0</v>
      </c>
      <c r="BQ63" s="183">
        <v>0</v>
      </c>
      <c r="BR63" s="517">
        <v>4</v>
      </c>
      <c r="BS63" s="665">
        <v>0</v>
      </c>
      <c r="BT63" s="188">
        <v>0</v>
      </c>
      <c r="BU63" s="188">
        <v>2</v>
      </c>
      <c r="BV63" s="188">
        <v>0</v>
      </c>
      <c r="BW63" s="183">
        <v>0</v>
      </c>
      <c r="BX63" s="143"/>
      <c r="BY63" s="253"/>
      <c r="BZ63" s="135"/>
      <c r="CA63" s="135"/>
      <c r="CB63" s="135"/>
      <c r="CC63" s="131"/>
      <c r="CD63" s="143"/>
      <c r="CE63" s="253"/>
      <c r="CF63" s="135"/>
      <c r="CG63" s="135"/>
      <c r="CH63" s="135"/>
      <c r="CI63" s="131"/>
      <c r="CJ63" s="143"/>
      <c r="CK63" s="253"/>
      <c r="CL63" s="135"/>
      <c r="CM63" s="135"/>
      <c r="CN63" s="135"/>
      <c r="CO63" s="131"/>
      <c r="CP63" s="143"/>
      <c r="CQ63" s="253"/>
      <c r="CR63" s="135"/>
      <c r="CS63" s="135"/>
      <c r="CT63" s="135"/>
      <c r="CU63" s="131"/>
      <c r="CV63" s="143"/>
      <c r="CW63" s="253"/>
      <c r="CX63" s="135"/>
      <c r="CY63" s="135"/>
      <c r="CZ63" s="135"/>
      <c r="DA63" s="131"/>
      <c r="DB63" s="143"/>
      <c r="DC63" s="253"/>
      <c r="DD63" s="135"/>
      <c r="DE63" s="135"/>
      <c r="DF63" s="135"/>
      <c r="DG63" s="131"/>
      <c r="DH63" s="143"/>
      <c r="DI63" s="253"/>
      <c r="DJ63" s="135"/>
      <c r="DK63" s="135"/>
      <c r="DL63" s="135"/>
      <c r="DM63" s="131"/>
      <c r="DN63" s="143"/>
      <c r="DO63" s="253"/>
      <c r="DP63" s="135"/>
      <c r="DQ63" s="135"/>
      <c r="DR63" s="135"/>
      <c r="DS63" s="131"/>
      <c r="DT63" s="143"/>
      <c r="DU63" s="253"/>
      <c r="DV63" s="135"/>
      <c r="DW63" s="135"/>
      <c r="DX63" s="135"/>
      <c r="DY63" s="131"/>
      <c r="DZ63" s="143"/>
      <c r="EA63" s="253"/>
      <c r="EB63" s="135"/>
      <c r="EC63" s="135"/>
      <c r="ED63" s="135"/>
      <c r="EE63" s="131"/>
      <c r="EF63" s="135">
        <f t="shared" si="2"/>
        <v>1</v>
      </c>
      <c r="EG63" s="135"/>
      <c r="EH63" s="581">
        <v>1</v>
      </c>
      <c r="EI63" s="601">
        <f t="shared" ref="EI63:EI75" si="3">AVERAGE(D63,F63,H63,J63,L63,N63,P63,R63,T63,V63,X63,Z63,AB63,AD63,AF63,AH63,AJ63,AL63,AN63,AP63,AR63,AT63,AV63,AX63,AZ63,BB63,BD63)</f>
        <v>53</v>
      </c>
      <c r="EJ63" s="602">
        <f t="shared" ref="EJ63:EJ75" si="4">AVERAGE(E63,G63,I63,K63,M63,O63,Q63,S63,U63,W63,Y63,AA63,AC63,AE63,AG63,AI63,AK63,AM63,AO63,AQ63,AS63,AU63,AW63,AY63,BA63,BC63,BE63)</f>
        <v>5.75</v>
      </c>
      <c r="EK63" s="603">
        <f>EI122</f>
        <v>0.90932099190092497</v>
      </c>
      <c r="EL63" s="603">
        <f>EJ122</f>
        <v>9.0679008099075115E-2</v>
      </c>
      <c r="EM63" s="602">
        <f>SUM(EI63:EJ63)</f>
        <v>58.75</v>
      </c>
      <c r="EN63" s="581">
        <v>1</v>
      </c>
      <c r="EO63" s="602">
        <f t="shared" ref="EO63:EO75" si="5">AVERAGE(AJ63,AL63,AN63,AP63,AR63,AT63,AV63,AX63,AZ63,BB63,BD63)</f>
        <v>21</v>
      </c>
      <c r="EP63" s="602">
        <f t="shared" ref="EP63:EP75" si="6">AVERAGE(AK63,AM63,AO63,AQ63,AS63,AU63,AW63,AY63,BA63,BC63,BE63)</f>
        <v>2.5</v>
      </c>
      <c r="EQ63" s="603">
        <f>EL122</f>
        <v>0.90325670498084287</v>
      </c>
      <c r="ER63" s="603">
        <f>EM122</f>
        <v>9.6743295019157086E-2</v>
      </c>
      <c r="ES63" s="602">
        <f>SUM(EO63:EP63)</f>
        <v>23.5</v>
      </c>
      <c r="ET63" s="519">
        <f t="shared" ref="ET63:ET116" si="7">EN63</f>
        <v>1</v>
      </c>
      <c r="EU63" s="602">
        <f t="shared" ref="EU63:EU74" si="8">AVERAGE(D63,F63,H63,J63,L63,N63,P63,R63,T63,V63,X63,Z63,AB63,AD63,AF63,AH63)</f>
        <v>63.666666666666664</v>
      </c>
      <c r="EV63" s="602">
        <f t="shared" ref="EV63:EV74" si="9">AVERAGE(E63,G63,I63,K63,M63,O63,Q63,S63,U63,W63,Y63,AA63,AC63,AE63,AG63,AI63)</f>
        <v>6.833333333333333</v>
      </c>
      <c r="EW63" s="603">
        <f>EO122</f>
        <v>0.91134242087428563</v>
      </c>
      <c r="EX63" s="603">
        <f>EP122</f>
        <v>8.8657579125714467E-2</v>
      </c>
      <c r="EY63" s="602">
        <f>SUM(EU63:EV63)</f>
        <v>70.5</v>
      </c>
      <c r="EZ63" s="580"/>
      <c r="FA63" s="580"/>
      <c r="FB63" s="580"/>
      <c r="FC63" s="580"/>
      <c r="FD63" s="580"/>
      <c r="FE63" s="580"/>
      <c r="FF63" s="580"/>
      <c r="FG63" s="580"/>
      <c r="FH63" s="580"/>
    </row>
    <row r="64" spans="1:164" x14ac:dyDescent="0.2">
      <c r="A64" s="180">
        <v>2</v>
      </c>
      <c r="B64" s="146"/>
      <c r="C64" s="131"/>
      <c r="D64" s="146"/>
      <c r="E64" s="131"/>
      <c r="F64" s="181">
        <v>91</v>
      </c>
      <c r="G64" s="181">
        <v>9</v>
      </c>
      <c r="H64" s="182">
        <v>157</v>
      </c>
      <c r="I64" s="183">
        <v>22</v>
      </c>
      <c r="J64" s="124"/>
      <c r="K64" s="124"/>
      <c r="L64" s="182">
        <v>146</v>
      </c>
      <c r="M64" s="183">
        <v>61</v>
      </c>
      <c r="N64" s="181">
        <v>200</v>
      </c>
      <c r="O64" s="181">
        <v>28</v>
      </c>
      <c r="P64" s="182">
        <v>113</v>
      </c>
      <c r="Q64" s="183">
        <v>37</v>
      </c>
      <c r="R64" s="124"/>
      <c r="S64" s="124"/>
      <c r="T64" s="182">
        <v>119</v>
      </c>
      <c r="U64" s="183">
        <v>4</v>
      </c>
      <c r="V64" s="124"/>
      <c r="W64" s="124"/>
      <c r="X64" s="182">
        <v>30</v>
      </c>
      <c r="Y64" s="183">
        <v>5</v>
      </c>
      <c r="Z64" s="181">
        <v>25</v>
      </c>
      <c r="AA64" s="181">
        <v>1</v>
      </c>
      <c r="AB64" s="182">
        <v>17</v>
      </c>
      <c r="AC64" s="183">
        <v>3</v>
      </c>
      <c r="AD64" s="124"/>
      <c r="AE64" s="124"/>
      <c r="AF64" s="146"/>
      <c r="AG64" s="135"/>
      <c r="AH64" s="146"/>
      <c r="AI64" s="141"/>
      <c r="AJ64" s="135"/>
      <c r="AK64" s="183">
        <v>1</v>
      </c>
      <c r="AM64" s="181">
        <v>3</v>
      </c>
      <c r="AN64" s="146"/>
      <c r="AO64" s="131"/>
      <c r="AR64" s="182">
        <v>117</v>
      </c>
      <c r="AS64" s="183">
        <v>9</v>
      </c>
      <c r="AV64" s="182">
        <v>20</v>
      </c>
      <c r="AW64" s="183">
        <v>4</v>
      </c>
      <c r="AZ64" s="146"/>
      <c r="BA64" s="183">
        <v>3</v>
      </c>
      <c r="BB64" s="182">
        <v>30</v>
      </c>
      <c r="BC64" s="183">
        <v>9</v>
      </c>
      <c r="BD64" s="146"/>
      <c r="BE64" s="131"/>
      <c r="BF64" s="146"/>
      <c r="BG64" s="135"/>
      <c r="BH64" s="135"/>
      <c r="BI64" s="135"/>
      <c r="BJ64" s="135"/>
      <c r="BK64" s="135"/>
      <c r="BL64" s="182">
        <v>13</v>
      </c>
      <c r="BM64" s="188">
        <v>1</v>
      </c>
      <c r="BN64" s="188">
        <v>0</v>
      </c>
      <c r="BO64" s="188">
        <v>3</v>
      </c>
      <c r="BP64" s="188">
        <v>0</v>
      </c>
      <c r="BQ64" s="183">
        <v>0</v>
      </c>
      <c r="BR64" s="146"/>
      <c r="BS64" s="135"/>
      <c r="BT64" s="135"/>
      <c r="BU64" s="135"/>
      <c r="BV64" s="135"/>
      <c r="BW64" s="131"/>
      <c r="BX64" s="146"/>
      <c r="BY64" s="135"/>
      <c r="BZ64" s="135"/>
      <c r="CA64" s="135"/>
      <c r="CB64" s="135"/>
      <c r="CC64" s="131"/>
      <c r="CD64" s="146"/>
      <c r="CE64" s="135"/>
      <c r="CF64" s="135"/>
      <c r="CG64" s="135"/>
      <c r="CH64" s="135"/>
      <c r="CI64" s="131"/>
      <c r="CJ64" s="146"/>
      <c r="CK64" s="135"/>
      <c r="CL64" s="135"/>
      <c r="CM64" s="135"/>
      <c r="CN64" s="135"/>
      <c r="CO64" s="131"/>
      <c r="CP64" s="146"/>
      <c r="CQ64" s="135"/>
      <c r="CR64" s="135"/>
      <c r="CS64" s="135"/>
      <c r="CT64" s="135"/>
      <c r="CU64" s="131"/>
      <c r="CV64" s="146"/>
      <c r="CW64" s="135"/>
      <c r="CX64" s="135"/>
      <c r="CY64" s="135"/>
      <c r="CZ64" s="135"/>
      <c r="DA64" s="131"/>
      <c r="DB64" s="146"/>
      <c r="DC64" s="135"/>
      <c r="DD64" s="135"/>
      <c r="DE64" s="135"/>
      <c r="DF64" s="135"/>
      <c r="DG64" s="131"/>
      <c r="DH64" s="146"/>
      <c r="DI64" s="135"/>
      <c r="DJ64" s="135"/>
      <c r="DK64" s="135"/>
      <c r="DL64" s="135"/>
      <c r="DM64" s="131"/>
      <c r="DN64" s="146"/>
      <c r="DO64" s="135"/>
      <c r="DP64" s="135"/>
      <c r="DQ64" s="135"/>
      <c r="DR64" s="135"/>
      <c r="DS64" s="131"/>
      <c r="DT64" s="146"/>
      <c r="DU64" s="135"/>
      <c r="DV64" s="135"/>
      <c r="DW64" s="135"/>
      <c r="DX64" s="135"/>
      <c r="DY64" s="131"/>
      <c r="DZ64" s="146"/>
      <c r="EA64" s="135"/>
      <c r="EB64" s="135"/>
      <c r="EC64" s="135"/>
      <c r="ED64" s="135"/>
      <c r="EE64" s="131"/>
      <c r="EF64" s="135">
        <f t="shared" si="2"/>
        <v>2</v>
      </c>
      <c r="EG64" s="135"/>
      <c r="EH64" s="581">
        <v>2</v>
      </c>
      <c r="EI64" s="601">
        <f t="shared" si="3"/>
        <v>88.75</v>
      </c>
      <c r="EJ64" s="602">
        <f t="shared" si="4"/>
        <v>13.266666666666667</v>
      </c>
      <c r="EK64" s="603">
        <f t="shared" ref="EK64:EL79" si="10">EI123</f>
        <v>0.68601545480879644</v>
      </c>
      <c r="EL64" s="603">
        <f t="shared" si="10"/>
        <v>0.31398454519120356</v>
      </c>
      <c r="EM64" s="602">
        <f t="shared" ref="EM64:EM115" si="11">SUM(EI64:EJ64)</f>
        <v>102.01666666666667</v>
      </c>
      <c r="EN64" s="581">
        <v>2</v>
      </c>
      <c r="EO64" s="602">
        <f t="shared" si="5"/>
        <v>55.666666666666664</v>
      </c>
      <c r="EP64" s="602">
        <f t="shared" si="6"/>
        <v>4.833333333333333</v>
      </c>
      <c r="EQ64" s="603">
        <f>EL123</f>
        <v>0.42185592185592186</v>
      </c>
      <c r="ER64" s="603">
        <f t="shared" ref="ER64:ER115" si="12">EM123</f>
        <v>0.5781440781440782</v>
      </c>
      <c r="ES64" s="602">
        <f t="shared" ref="ES64:ES115" si="13">SUM(EO64:EP64)</f>
        <v>60.5</v>
      </c>
      <c r="ET64" s="519">
        <f t="shared" si="7"/>
        <v>2</v>
      </c>
      <c r="EU64" s="602">
        <f t="shared" si="8"/>
        <v>99.777777777777771</v>
      </c>
      <c r="EV64" s="602">
        <f t="shared" si="9"/>
        <v>18.888888888888889</v>
      </c>
      <c r="EW64" s="603">
        <f t="shared" ref="EW64:EX79" si="14">EO123</f>
        <v>0.86212181011071276</v>
      </c>
      <c r="EX64" s="603">
        <f t="shared" si="14"/>
        <v>0.13787818988928721</v>
      </c>
      <c r="EY64" s="602">
        <f t="shared" ref="EY64:EY115" si="15">SUM(EU64:EV64)</f>
        <v>118.66666666666666</v>
      </c>
      <c r="EZ64" s="580"/>
      <c r="FA64" s="580"/>
      <c r="FB64" s="580"/>
      <c r="FC64" s="580"/>
      <c r="FD64" s="580"/>
      <c r="FE64" s="580"/>
      <c r="FF64" s="580"/>
      <c r="FG64" s="580"/>
      <c r="FH64" s="580"/>
    </row>
    <row r="65" spans="1:164" x14ac:dyDescent="0.2">
      <c r="A65" s="180">
        <v>3</v>
      </c>
      <c r="B65" s="146"/>
      <c r="C65" s="131"/>
      <c r="D65" s="146"/>
      <c r="E65" s="131"/>
      <c r="F65" s="181">
        <v>39</v>
      </c>
      <c r="G65" s="181">
        <v>11</v>
      </c>
      <c r="H65" s="182">
        <v>44</v>
      </c>
      <c r="I65" s="183">
        <v>16</v>
      </c>
      <c r="J65" s="181">
        <v>161</v>
      </c>
      <c r="K65" s="181">
        <v>38</v>
      </c>
      <c r="L65" s="182">
        <v>99</v>
      </c>
      <c r="M65" s="183">
        <v>73</v>
      </c>
      <c r="N65" s="181">
        <v>178</v>
      </c>
      <c r="O65" s="181">
        <v>27</v>
      </c>
      <c r="P65" s="182">
        <v>69</v>
      </c>
      <c r="Q65" s="183">
        <v>20</v>
      </c>
      <c r="R65" s="181">
        <v>115</v>
      </c>
      <c r="S65" s="181">
        <v>5</v>
      </c>
      <c r="T65" s="146"/>
      <c r="U65" s="131"/>
      <c r="V65" s="124"/>
      <c r="W65" s="124"/>
      <c r="X65" s="182">
        <v>3</v>
      </c>
      <c r="Y65" s="183">
        <v>4</v>
      </c>
      <c r="Z65" s="181">
        <v>12</v>
      </c>
      <c r="AA65" s="124"/>
      <c r="AB65" s="146"/>
      <c r="AC65" s="131"/>
      <c r="AD65" s="124"/>
      <c r="AE65" s="124"/>
      <c r="AF65" s="146"/>
      <c r="AG65" s="135"/>
      <c r="AH65" s="146"/>
      <c r="AI65" s="141"/>
      <c r="AJ65" s="135"/>
      <c r="AK65" s="131"/>
      <c r="AN65" s="146"/>
      <c r="AO65" s="131"/>
      <c r="AQ65" s="181">
        <v>2</v>
      </c>
      <c r="AR65" s="182">
        <v>30</v>
      </c>
      <c r="AS65" s="183">
        <v>6</v>
      </c>
      <c r="AT65" s="181">
        <v>2</v>
      </c>
      <c r="AV65" s="182">
        <v>21</v>
      </c>
      <c r="AW65" s="183">
        <v>7</v>
      </c>
      <c r="AZ65" s="146"/>
      <c r="BA65" s="131"/>
      <c r="BB65" s="182">
        <v>12</v>
      </c>
      <c r="BC65" s="183">
        <v>4</v>
      </c>
      <c r="BD65" s="146"/>
      <c r="BE65" s="131"/>
      <c r="BF65" s="146"/>
      <c r="BG65" s="135"/>
      <c r="BH65" s="135"/>
      <c r="BI65" s="135"/>
      <c r="BJ65" s="135"/>
      <c r="BK65" s="135"/>
      <c r="BL65" s="182">
        <v>33</v>
      </c>
      <c r="BM65" s="188">
        <v>2</v>
      </c>
      <c r="BN65" s="188">
        <v>0</v>
      </c>
      <c r="BO65" s="188">
        <v>52</v>
      </c>
      <c r="BP65" s="188">
        <v>0</v>
      </c>
      <c r="BQ65" s="183">
        <v>0</v>
      </c>
      <c r="BR65" s="146"/>
      <c r="BS65" s="135"/>
      <c r="BT65" s="135"/>
      <c r="BU65" s="135"/>
      <c r="BV65" s="135"/>
      <c r="BW65" s="131"/>
      <c r="BX65" s="182">
        <v>18</v>
      </c>
      <c r="BY65" s="188">
        <v>4</v>
      </c>
      <c r="BZ65" s="188">
        <v>0</v>
      </c>
      <c r="CA65" s="188">
        <v>14</v>
      </c>
      <c r="CB65" s="188">
        <v>0</v>
      </c>
      <c r="CC65" s="183">
        <v>0</v>
      </c>
      <c r="CD65" s="146"/>
      <c r="CE65" s="135"/>
      <c r="CF65" s="135"/>
      <c r="CG65" s="135"/>
      <c r="CH65" s="135"/>
      <c r="CI65" s="131"/>
      <c r="CJ65" s="146"/>
      <c r="CK65" s="135"/>
      <c r="CL65" s="135"/>
      <c r="CM65" s="135"/>
      <c r="CN65" s="135"/>
      <c r="CO65" s="131"/>
      <c r="CP65" s="146"/>
      <c r="CQ65" s="135"/>
      <c r="CR65" s="135"/>
      <c r="CS65" s="135"/>
      <c r="CT65" s="135"/>
      <c r="CU65" s="131"/>
      <c r="CV65" s="146"/>
      <c r="CW65" s="135"/>
      <c r="CX65" s="135"/>
      <c r="CY65" s="135"/>
      <c r="CZ65" s="135"/>
      <c r="DA65" s="131"/>
      <c r="DB65" s="146"/>
      <c r="DC65" s="135"/>
      <c r="DD65" s="135"/>
      <c r="DE65" s="135"/>
      <c r="DF65" s="135"/>
      <c r="DG65" s="131"/>
      <c r="DH65" s="146"/>
      <c r="DI65" s="135"/>
      <c r="DJ65" s="135"/>
      <c r="DK65" s="135"/>
      <c r="DL65" s="135"/>
      <c r="DM65" s="131"/>
      <c r="DN65" s="146"/>
      <c r="DO65" s="135"/>
      <c r="DP65" s="135"/>
      <c r="DQ65" s="135"/>
      <c r="DR65" s="135"/>
      <c r="DS65" s="131"/>
      <c r="DT65" s="146"/>
      <c r="DU65" s="135"/>
      <c r="DV65" s="135"/>
      <c r="DW65" s="135"/>
      <c r="DX65" s="135"/>
      <c r="DY65" s="131"/>
      <c r="DZ65" s="146"/>
      <c r="EA65" s="135"/>
      <c r="EB65" s="135"/>
      <c r="EC65" s="135"/>
      <c r="ED65" s="135"/>
      <c r="EE65" s="131"/>
      <c r="EF65" s="135">
        <f t="shared" si="2"/>
        <v>3</v>
      </c>
      <c r="EG65" s="135"/>
      <c r="EH65" s="581">
        <v>3</v>
      </c>
      <c r="EI65" s="601">
        <f t="shared" si="3"/>
        <v>60.384615384615387</v>
      </c>
      <c r="EJ65" s="602">
        <f t="shared" si="4"/>
        <v>17.75</v>
      </c>
      <c r="EK65" s="603">
        <f t="shared" si="10"/>
        <v>0.73298368798958236</v>
      </c>
      <c r="EL65" s="603">
        <f t="shared" si="10"/>
        <v>0.2670163120104177</v>
      </c>
      <c r="EM65" s="602">
        <f t="shared" si="11"/>
        <v>78.134615384615387</v>
      </c>
      <c r="EN65" s="581">
        <v>3</v>
      </c>
      <c r="EO65" s="602">
        <f t="shared" si="5"/>
        <v>16.25</v>
      </c>
      <c r="EP65" s="602">
        <f t="shared" si="6"/>
        <v>4.75</v>
      </c>
      <c r="EQ65" s="603">
        <f>EL124</f>
        <v>0.66666666666666674</v>
      </c>
      <c r="ER65" s="603">
        <f t="shared" si="12"/>
        <v>0.33333333333333331</v>
      </c>
      <c r="ES65" s="602">
        <f t="shared" si="13"/>
        <v>21</v>
      </c>
      <c r="ET65" s="519">
        <f t="shared" si="7"/>
        <v>3</v>
      </c>
      <c r="EU65" s="602">
        <f t="shared" si="8"/>
        <v>80</v>
      </c>
      <c r="EV65" s="602">
        <f t="shared" si="9"/>
        <v>24.25</v>
      </c>
      <c r="EW65" s="603">
        <f t="shared" si="14"/>
        <v>0.76982647761342438</v>
      </c>
      <c r="EX65" s="603">
        <f t="shared" si="14"/>
        <v>0.23017352238657565</v>
      </c>
      <c r="EY65" s="602">
        <f t="shared" si="15"/>
        <v>104.25</v>
      </c>
      <c r="EZ65" s="580"/>
      <c r="FA65" s="580"/>
      <c r="FB65" s="580"/>
      <c r="FC65" s="580"/>
      <c r="FD65" s="580"/>
      <c r="FE65" s="580"/>
      <c r="FF65" s="580"/>
      <c r="FG65" s="580"/>
      <c r="FH65" s="580"/>
    </row>
    <row r="66" spans="1:164" x14ac:dyDescent="0.2">
      <c r="A66" s="180">
        <v>4</v>
      </c>
      <c r="B66" s="146"/>
      <c r="C66" s="131"/>
      <c r="D66" s="146"/>
      <c r="E66" s="131"/>
      <c r="F66" s="181">
        <v>54</v>
      </c>
      <c r="G66" s="181">
        <v>26</v>
      </c>
      <c r="H66" s="182">
        <v>44</v>
      </c>
      <c r="I66" s="183">
        <v>17</v>
      </c>
      <c r="J66" s="181">
        <v>146</v>
      </c>
      <c r="K66" s="181">
        <v>53</v>
      </c>
      <c r="L66" s="182">
        <v>27</v>
      </c>
      <c r="M66" s="183">
        <v>30</v>
      </c>
      <c r="N66" s="181">
        <v>11</v>
      </c>
      <c r="O66" s="181">
        <v>7</v>
      </c>
      <c r="P66" s="182">
        <v>39</v>
      </c>
      <c r="Q66" s="183">
        <v>15</v>
      </c>
      <c r="R66" s="124"/>
      <c r="S66" s="124"/>
      <c r="T66" s="146"/>
      <c r="U66" s="131"/>
      <c r="V66" s="124"/>
      <c r="W66" s="124"/>
      <c r="X66" s="182">
        <v>4</v>
      </c>
      <c r="Y66" s="183">
        <v>5</v>
      </c>
      <c r="Z66" s="181">
        <v>6</v>
      </c>
      <c r="AA66" s="124"/>
      <c r="AB66" s="182">
        <v>1</v>
      </c>
      <c r="AC66" s="183">
        <v>3</v>
      </c>
      <c r="AD66" s="124"/>
      <c r="AE66" s="124"/>
      <c r="AF66" s="146"/>
      <c r="AG66" s="135"/>
      <c r="AH66" s="146"/>
      <c r="AI66" s="141"/>
      <c r="AJ66" s="135"/>
      <c r="AK66" s="131"/>
      <c r="AN66" s="146"/>
      <c r="AO66" s="131"/>
      <c r="AQ66" s="181">
        <v>2</v>
      </c>
      <c r="AR66" s="146"/>
      <c r="AS66" s="131"/>
      <c r="AT66" s="181">
        <v>6</v>
      </c>
      <c r="AV66" s="182">
        <v>4</v>
      </c>
      <c r="AW66" s="183">
        <v>2</v>
      </c>
      <c r="AY66" s="181">
        <v>3</v>
      </c>
      <c r="AZ66" s="182">
        <v>5</v>
      </c>
      <c r="BA66" s="183">
        <v>1</v>
      </c>
      <c r="BB66" s="182">
        <v>14</v>
      </c>
      <c r="BC66" s="183">
        <v>5</v>
      </c>
      <c r="BD66" s="146"/>
      <c r="BE66" s="131"/>
      <c r="BF66" s="146"/>
      <c r="BG66" s="135"/>
      <c r="BH66" s="135"/>
      <c r="BI66" s="135"/>
      <c r="BJ66" s="135"/>
      <c r="BK66" s="135"/>
      <c r="BL66" s="146"/>
      <c r="BM66" s="135"/>
      <c r="BN66" s="135"/>
      <c r="BO66" s="135"/>
      <c r="BP66" s="135"/>
      <c r="BQ66" s="131"/>
      <c r="BR66" s="182">
        <v>11</v>
      </c>
      <c r="BS66" s="188">
        <v>5</v>
      </c>
      <c r="BT66" s="188">
        <v>0</v>
      </c>
      <c r="BU66" s="188">
        <v>19</v>
      </c>
      <c r="BV66" s="188">
        <v>1</v>
      </c>
      <c r="BW66" s="183">
        <v>0</v>
      </c>
      <c r="BX66" s="182">
        <v>11</v>
      </c>
      <c r="BY66" s="188">
        <v>0</v>
      </c>
      <c r="BZ66" s="188">
        <v>0</v>
      </c>
      <c r="CA66" s="188">
        <v>6</v>
      </c>
      <c r="CB66" s="188">
        <v>0</v>
      </c>
      <c r="CC66" s="183">
        <v>0</v>
      </c>
      <c r="CD66" s="146"/>
      <c r="CE66" s="135"/>
      <c r="CF66" s="135"/>
      <c r="CG66" s="135"/>
      <c r="CH66" s="135"/>
      <c r="CI66" s="131"/>
      <c r="CJ66" s="146"/>
      <c r="CK66" s="135"/>
      <c r="CL66" s="135"/>
      <c r="CM66" s="135"/>
      <c r="CN66" s="135"/>
      <c r="CO66" s="131"/>
      <c r="CP66" s="146"/>
      <c r="CQ66" s="135"/>
      <c r="CR66" s="135"/>
      <c r="CS66" s="135"/>
      <c r="CT66" s="135"/>
      <c r="CU66" s="131"/>
      <c r="CV66" s="146"/>
      <c r="CW66" s="135"/>
      <c r="CX66" s="135"/>
      <c r="CY66" s="135"/>
      <c r="CZ66" s="135"/>
      <c r="DA66" s="131"/>
      <c r="DB66" s="146"/>
      <c r="DC66" s="135"/>
      <c r="DD66" s="135"/>
      <c r="DE66" s="135"/>
      <c r="DF66" s="135"/>
      <c r="DG66" s="131"/>
      <c r="DH66" s="146"/>
      <c r="DI66" s="135"/>
      <c r="DJ66" s="135"/>
      <c r="DK66" s="135"/>
      <c r="DL66" s="135"/>
      <c r="DM66" s="131"/>
      <c r="DN66" s="146"/>
      <c r="DO66" s="135"/>
      <c r="DP66" s="135"/>
      <c r="DQ66" s="135"/>
      <c r="DR66" s="135"/>
      <c r="DS66" s="131"/>
      <c r="DT66" s="146"/>
      <c r="DU66" s="135"/>
      <c r="DV66" s="135"/>
      <c r="DW66" s="135"/>
      <c r="DX66" s="135"/>
      <c r="DY66" s="131"/>
      <c r="DZ66" s="146"/>
      <c r="EA66" s="135"/>
      <c r="EB66" s="135"/>
      <c r="EC66" s="135"/>
      <c r="ED66" s="135"/>
      <c r="EE66" s="131"/>
      <c r="EF66" s="135">
        <f t="shared" si="2"/>
        <v>4</v>
      </c>
      <c r="EG66" s="135"/>
      <c r="EH66" s="581">
        <v>4</v>
      </c>
      <c r="EI66" s="601">
        <f t="shared" si="3"/>
        <v>27.76923076923077</v>
      </c>
      <c r="EJ66" s="602">
        <f t="shared" si="4"/>
        <v>13</v>
      </c>
      <c r="EK66" s="603">
        <f t="shared" si="10"/>
        <v>0.59121892737904203</v>
      </c>
      <c r="EL66" s="603">
        <f t="shared" si="10"/>
        <v>0.40878107262095803</v>
      </c>
      <c r="EM66" s="602">
        <f t="shared" si="11"/>
        <v>40.769230769230774</v>
      </c>
      <c r="EN66" s="581">
        <v>4</v>
      </c>
      <c r="EO66" s="602">
        <f t="shared" si="5"/>
        <v>7.25</v>
      </c>
      <c r="EP66" s="602">
        <f t="shared" si="6"/>
        <v>2.6</v>
      </c>
      <c r="EQ66" s="603">
        <f t="shared" ref="EQ66:EQ115" si="16">EL125</f>
        <v>0.53947368421052633</v>
      </c>
      <c r="ER66" s="603">
        <f t="shared" si="12"/>
        <v>0.46052631578947367</v>
      </c>
      <c r="ES66" s="602">
        <f t="shared" si="13"/>
        <v>9.85</v>
      </c>
      <c r="ET66" s="519">
        <f t="shared" si="7"/>
        <v>4</v>
      </c>
      <c r="EU66" s="602">
        <f t="shared" si="8"/>
        <v>36.888888888888886</v>
      </c>
      <c r="EV66" s="602">
        <f t="shared" si="9"/>
        <v>19.5</v>
      </c>
      <c r="EW66" s="603">
        <f t="shared" si="14"/>
        <v>0.62571575615805253</v>
      </c>
      <c r="EX66" s="603">
        <f t="shared" si="14"/>
        <v>0.37428424384194753</v>
      </c>
      <c r="EY66" s="602">
        <f t="shared" si="15"/>
        <v>56.388888888888886</v>
      </c>
      <c r="EZ66" s="580"/>
      <c r="FA66" s="580"/>
      <c r="FB66" s="580"/>
      <c r="FC66" s="580"/>
      <c r="FD66" s="580"/>
      <c r="FE66" s="580"/>
      <c r="FF66" s="580"/>
      <c r="FG66" s="580"/>
      <c r="FH66" s="580"/>
    </row>
    <row r="67" spans="1:164" x14ac:dyDescent="0.2">
      <c r="A67" s="180">
        <v>5</v>
      </c>
      <c r="B67" s="146"/>
      <c r="C67" s="131"/>
      <c r="D67" s="146"/>
      <c r="E67" s="131"/>
      <c r="F67" s="124"/>
      <c r="G67" s="124"/>
      <c r="H67" s="182">
        <v>70</v>
      </c>
      <c r="I67" s="183">
        <v>29</v>
      </c>
      <c r="J67" s="181">
        <v>61</v>
      </c>
      <c r="K67" s="181">
        <v>39</v>
      </c>
      <c r="L67" s="182">
        <v>13</v>
      </c>
      <c r="M67" s="183">
        <v>37</v>
      </c>
      <c r="N67" s="181">
        <v>37</v>
      </c>
      <c r="O67" s="181">
        <v>8</v>
      </c>
      <c r="P67" s="146"/>
      <c r="Q67" s="131"/>
      <c r="R67" s="181">
        <v>45</v>
      </c>
      <c r="S67" s="181">
        <v>6</v>
      </c>
      <c r="T67" s="146"/>
      <c r="U67" s="131"/>
      <c r="V67" s="181">
        <v>9</v>
      </c>
      <c r="W67" s="181">
        <v>2</v>
      </c>
      <c r="X67" s="182">
        <v>2</v>
      </c>
      <c r="Y67" s="183">
        <v>2</v>
      </c>
      <c r="Z67" s="181">
        <v>8</v>
      </c>
      <c r="AA67" s="181">
        <v>1</v>
      </c>
      <c r="AB67" s="182">
        <v>5</v>
      </c>
      <c r="AC67" s="183">
        <v>3</v>
      </c>
      <c r="AD67" s="181">
        <v>1</v>
      </c>
      <c r="AE67" s="181">
        <v>1</v>
      </c>
      <c r="AF67" s="146"/>
      <c r="AG67" s="135"/>
      <c r="AH67" s="146"/>
      <c r="AI67" s="141"/>
      <c r="AJ67" s="135"/>
      <c r="AK67" s="131"/>
      <c r="AN67" s="146"/>
      <c r="AO67" s="131"/>
      <c r="AR67" s="146"/>
      <c r="AS67" s="131"/>
      <c r="AT67" s="181">
        <v>2</v>
      </c>
      <c r="AU67" s="181">
        <v>2</v>
      </c>
      <c r="AV67" s="146"/>
      <c r="AW67" s="183">
        <v>14</v>
      </c>
      <c r="AX67" s="181">
        <v>3</v>
      </c>
      <c r="AY67" s="181">
        <v>7</v>
      </c>
      <c r="AZ67" s="182">
        <v>8</v>
      </c>
      <c r="BA67" s="183">
        <v>2</v>
      </c>
      <c r="BB67" s="182">
        <v>3</v>
      </c>
      <c r="BC67" s="183">
        <v>2</v>
      </c>
      <c r="BD67" s="146"/>
      <c r="BE67" s="131"/>
      <c r="BF67" s="182">
        <v>0</v>
      </c>
      <c r="BG67" s="188">
        <v>0</v>
      </c>
      <c r="BH67" s="188">
        <v>0</v>
      </c>
      <c r="BI67" s="188">
        <v>1</v>
      </c>
      <c r="BJ67" s="188">
        <v>1</v>
      </c>
      <c r="BK67" s="188">
        <v>0</v>
      </c>
      <c r="BL67" s="146"/>
      <c r="BM67" s="135"/>
      <c r="BN67" s="135"/>
      <c r="BO67" s="135"/>
      <c r="BP67" s="135"/>
      <c r="BQ67" s="131"/>
      <c r="BR67" s="182">
        <v>2</v>
      </c>
      <c r="BS67" s="188">
        <v>0</v>
      </c>
      <c r="BT67" s="188">
        <v>0</v>
      </c>
      <c r="BU67" s="188">
        <v>10</v>
      </c>
      <c r="BV67" s="188">
        <v>0</v>
      </c>
      <c r="BW67" s="183">
        <v>0</v>
      </c>
      <c r="BX67" s="182">
        <v>2</v>
      </c>
      <c r="BY67" s="188">
        <v>0</v>
      </c>
      <c r="BZ67" s="188">
        <v>0</v>
      </c>
      <c r="CA67" s="188">
        <v>4</v>
      </c>
      <c r="CB67" s="188">
        <v>1</v>
      </c>
      <c r="CC67" s="183">
        <v>0</v>
      </c>
      <c r="CD67" s="146"/>
      <c r="CE67" s="135"/>
      <c r="CF67" s="135"/>
      <c r="CG67" s="135"/>
      <c r="CH67" s="135"/>
      <c r="CI67" s="131"/>
      <c r="CJ67" s="146"/>
      <c r="CK67" s="135"/>
      <c r="CL67" s="135"/>
      <c r="CM67" s="135"/>
      <c r="CN67" s="135"/>
      <c r="CO67" s="131"/>
      <c r="CP67" s="146"/>
      <c r="CQ67" s="135"/>
      <c r="CR67" s="135"/>
      <c r="CS67" s="135"/>
      <c r="CT67" s="135"/>
      <c r="CU67" s="131"/>
      <c r="CV67" s="146"/>
      <c r="CW67" s="135"/>
      <c r="CX67" s="135"/>
      <c r="CY67" s="135"/>
      <c r="CZ67" s="135"/>
      <c r="DA67" s="131"/>
      <c r="DB67" s="146"/>
      <c r="DC67" s="135"/>
      <c r="DD67" s="135"/>
      <c r="DE67" s="135"/>
      <c r="DF67" s="135"/>
      <c r="DG67" s="131"/>
      <c r="DH67" s="146"/>
      <c r="DI67" s="135"/>
      <c r="DJ67" s="135"/>
      <c r="DK67" s="135"/>
      <c r="DL67" s="135"/>
      <c r="DM67" s="131"/>
      <c r="DN67" s="146"/>
      <c r="DO67" s="135"/>
      <c r="DP67" s="135"/>
      <c r="DQ67" s="135"/>
      <c r="DR67" s="135"/>
      <c r="DS67" s="131"/>
      <c r="DT67" s="146"/>
      <c r="DU67" s="135"/>
      <c r="DV67" s="135"/>
      <c r="DW67" s="135"/>
      <c r="DX67" s="135"/>
      <c r="DY67" s="131"/>
      <c r="DZ67" s="146"/>
      <c r="EA67" s="135"/>
      <c r="EB67" s="135"/>
      <c r="EC67" s="135"/>
      <c r="ED67" s="135"/>
      <c r="EE67" s="131"/>
      <c r="EF67" s="135">
        <f t="shared" si="2"/>
        <v>5</v>
      </c>
      <c r="EG67" s="135"/>
      <c r="EH67" s="581">
        <v>5</v>
      </c>
      <c r="EI67" s="601">
        <f t="shared" si="3"/>
        <v>19.071428571428573</v>
      </c>
      <c r="EJ67" s="602">
        <f t="shared" si="4"/>
        <v>10.333333333333334</v>
      </c>
      <c r="EK67" s="603">
        <f t="shared" si="10"/>
        <v>0.58758110516934037</v>
      </c>
      <c r="EL67" s="603">
        <f t="shared" si="10"/>
        <v>0.41241889483065958</v>
      </c>
      <c r="EM67" s="602">
        <f t="shared" si="11"/>
        <v>29.404761904761905</v>
      </c>
      <c r="EN67" s="581">
        <v>5</v>
      </c>
      <c r="EO67" s="602">
        <f t="shared" si="5"/>
        <v>4</v>
      </c>
      <c r="EP67" s="602">
        <f t="shared" si="6"/>
        <v>5.4</v>
      </c>
      <c r="EQ67" s="603">
        <f t="shared" si="16"/>
        <v>0.44000000000000006</v>
      </c>
      <c r="ER67" s="603">
        <f t="shared" si="12"/>
        <v>0.55999999999999994</v>
      </c>
      <c r="ES67" s="602">
        <f t="shared" si="13"/>
        <v>9.4</v>
      </c>
      <c r="ET67" s="519">
        <f t="shared" si="7"/>
        <v>5</v>
      </c>
      <c r="EU67" s="602">
        <f t="shared" si="8"/>
        <v>25.1</v>
      </c>
      <c r="EV67" s="602">
        <f t="shared" si="9"/>
        <v>12.8</v>
      </c>
      <c r="EW67" s="603">
        <f t="shared" si="14"/>
        <v>0.66137165775401063</v>
      </c>
      <c r="EX67" s="603">
        <f t="shared" si="14"/>
        <v>0.33862834224598931</v>
      </c>
      <c r="EY67" s="602">
        <f t="shared" si="15"/>
        <v>37.900000000000006</v>
      </c>
      <c r="EZ67" s="580"/>
      <c r="FA67" s="580"/>
      <c r="FB67" s="580"/>
      <c r="FC67" s="580"/>
      <c r="FD67" s="580"/>
      <c r="FE67" s="580"/>
      <c r="FF67" s="580"/>
      <c r="FG67" s="580"/>
      <c r="FH67" s="580"/>
    </row>
    <row r="68" spans="1:164" x14ac:dyDescent="0.2">
      <c r="A68" s="180">
        <v>6</v>
      </c>
      <c r="B68" s="146"/>
      <c r="C68" s="131"/>
      <c r="D68" s="146"/>
      <c r="E68" s="131"/>
      <c r="F68" s="124"/>
      <c r="G68" s="124"/>
      <c r="H68" s="146"/>
      <c r="I68" s="131"/>
      <c r="J68" s="181">
        <v>57</v>
      </c>
      <c r="K68" s="181">
        <v>33</v>
      </c>
      <c r="L68" s="182">
        <v>7</v>
      </c>
      <c r="M68" s="183">
        <v>16</v>
      </c>
      <c r="N68" s="181">
        <v>62</v>
      </c>
      <c r="O68" s="181">
        <v>53</v>
      </c>
      <c r="P68" s="146"/>
      <c r="Q68" s="131"/>
      <c r="R68" s="124"/>
      <c r="S68" s="124"/>
      <c r="T68" s="182">
        <v>48</v>
      </c>
      <c r="U68" s="183">
        <v>6</v>
      </c>
      <c r="V68" s="181">
        <v>9</v>
      </c>
      <c r="W68" s="181">
        <v>4</v>
      </c>
      <c r="X68" s="182">
        <v>1</v>
      </c>
      <c r="Y68" s="183">
        <v>4</v>
      </c>
      <c r="Z68" s="181">
        <v>12</v>
      </c>
      <c r="AA68" s="181">
        <v>3</v>
      </c>
      <c r="AB68" s="146"/>
      <c r="AC68" s="183">
        <v>5</v>
      </c>
      <c r="AD68" s="124"/>
      <c r="AE68" s="124"/>
      <c r="AF68" s="146"/>
      <c r="AG68" s="135"/>
      <c r="AH68" s="146"/>
      <c r="AI68" s="141"/>
      <c r="AJ68" s="135"/>
      <c r="AK68" s="131"/>
      <c r="AN68" s="146"/>
      <c r="AO68" s="131"/>
      <c r="AR68" s="182">
        <v>10</v>
      </c>
      <c r="AS68" s="183">
        <v>71</v>
      </c>
      <c r="AT68" s="181">
        <v>3</v>
      </c>
      <c r="AU68" s="181">
        <v>16</v>
      </c>
      <c r="AV68" s="182">
        <v>2</v>
      </c>
      <c r="AW68" s="183">
        <v>18</v>
      </c>
      <c r="AX68" s="181">
        <v>1</v>
      </c>
      <c r="AY68" s="181">
        <v>5</v>
      </c>
      <c r="AZ68" s="146"/>
      <c r="BA68" s="183">
        <v>1</v>
      </c>
      <c r="BB68" s="182">
        <v>3</v>
      </c>
      <c r="BC68" s="183">
        <v>12</v>
      </c>
      <c r="BD68" s="146"/>
      <c r="BE68" s="131"/>
      <c r="BF68" s="146"/>
      <c r="BG68" s="135"/>
      <c r="BH68" s="135"/>
      <c r="BI68" s="135"/>
      <c r="BJ68" s="135"/>
      <c r="BK68" s="135"/>
      <c r="BL68" s="146"/>
      <c r="BM68" s="135"/>
      <c r="BN68" s="135"/>
      <c r="BO68" s="135"/>
      <c r="BP68" s="135"/>
      <c r="BQ68" s="131"/>
      <c r="BR68" s="182">
        <v>1</v>
      </c>
      <c r="BS68" s="188">
        <v>3</v>
      </c>
      <c r="BT68" s="188">
        <v>0</v>
      </c>
      <c r="BU68" s="188">
        <v>18</v>
      </c>
      <c r="BV68" s="188">
        <v>0</v>
      </c>
      <c r="BW68" s="183">
        <v>0</v>
      </c>
      <c r="BX68" s="146"/>
      <c r="BY68" s="135"/>
      <c r="BZ68" s="135"/>
      <c r="CA68" s="135"/>
      <c r="CB68" s="135"/>
      <c r="CC68" s="131"/>
      <c r="CD68" s="146"/>
      <c r="CE68" s="135"/>
      <c r="CF68" s="135"/>
      <c r="CG68" s="135"/>
      <c r="CH68" s="135"/>
      <c r="CI68" s="131"/>
      <c r="CJ68" s="146"/>
      <c r="CK68" s="135"/>
      <c r="CL68" s="135"/>
      <c r="CM68" s="135"/>
      <c r="CN68" s="135"/>
      <c r="CO68" s="131"/>
      <c r="CP68" s="146"/>
      <c r="CQ68" s="135"/>
      <c r="CR68" s="135"/>
      <c r="CS68" s="135"/>
      <c r="CT68" s="135"/>
      <c r="CU68" s="131"/>
      <c r="CV68" s="146"/>
      <c r="CW68" s="135"/>
      <c r="CX68" s="135"/>
      <c r="CY68" s="135"/>
      <c r="CZ68" s="135"/>
      <c r="DA68" s="131"/>
      <c r="DB68" s="146"/>
      <c r="DC68" s="135"/>
      <c r="DD68" s="135"/>
      <c r="DE68" s="135"/>
      <c r="DF68" s="135"/>
      <c r="DG68" s="131"/>
      <c r="DH68" s="146"/>
      <c r="DI68" s="135"/>
      <c r="DJ68" s="135"/>
      <c r="DK68" s="135"/>
      <c r="DL68" s="135"/>
      <c r="DM68" s="131"/>
      <c r="DN68" s="146"/>
      <c r="DO68" s="135"/>
      <c r="DP68" s="135"/>
      <c r="DQ68" s="135"/>
      <c r="DR68" s="135"/>
      <c r="DS68" s="131"/>
      <c r="DT68" s="146"/>
      <c r="DU68" s="135"/>
      <c r="DV68" s="135"/>
      <c r="DW68" s="135"/>
      <c r="DX68" s="135"/>
      <c r="DY68" s="131"/>
      <c r="DZ68" s="146"/>
      <c r="EA68" s="135"/>
      <c r="EB68" s="135"/>
      <c r="EC68" s="135"/>
      <c r="ED68" s="135"/>
      <c r="EE68" s="131"/>
      <c r="EF68" s="135">
        <f t="shared" si="2"/>
        <v>6</v>
      </c>
      <c r="EG68" s="135"/>
      <c r="EH68" s="581">
        <v>6</v>
      </c>
      <c r="EI68" s="601">
        <f t="shared" si="3"/>
        <v>17.916666666666668</v>
      </c>
      <c r="EJ68" s="602">
        <f t="shared" si="4"/>
        <v>17.642857142857142</v>
      </c>
      <c r="EK68" s="603">
        <f t="shared" si="10"/>
        <v>0.34328759778797918</v>
      </c>
      <c r="EL68" s="603">
        <f t="shared" si="10"/>
        <v>0.65671240221202087</v>
      </c>
      <c r="EM68" s="602">
        <f t="shared" si="11"/>
        <v>35.55952380952381</v>
      </c>
      <c r="EN68" s="581">
        <v>6</v>
      </c>
      <c r="EO68" s="602">
        <f t="shared" si="5"/>
        <v>3.8</v>
      </c>
      <c r="EP68" s="602">
        <f t="shared" si="6"/>
        <v>20.5</v>
      </c>
      <c r="EQ68" s="603">
        <f t="shared" si="16"/>
        <v>0.12466969893870478</v>
      </c>
      <c r="ER68" s="603">
        <f t="shared" si="12"/>
        <v>0.87533030106129528</v>
      </c>
      <c r="ES68" s="602">
        <f t="shared" si="13"/>
        <v>24.3</v>
      </c>
      <c r="ET68" s="519">
        <f t="shared" si="7"/>
        <v>6</v>
      </c>
      <c r="EU68" s="602">
        <f t="shared" si="8"/>
        <v>28</v>
      </c>
      <c r="EV68" s="602">
        <f t="shared" si="9"/>
        <v>15.5</v>
      </c>
      <c r="EW68" s="603">
        <f t="shared" si="14"/>
        <v>0.50725102192493499</v>
      </c>
      <c r="EX68" s="603">
        <f t="shared" si="14"/>
        <v>0.49274897807506507</v>
      </c>
      <c r="EY68" s="602">
        <f t="shared" si="15"/>
        <v>43.5</v>
      </c>
      <c r="EZ68" s="580"/>
      <c r="FA68" s="580"/>
      <c r="FB68" s="580"/>
      <c r="FC68" s="580"/>
      <c r="FD68" s="580"/>
      <c r="FE68" s="580"/>
      <c r="FF68" s="580"/>
      <c r="FG68" s="580"/>
      <c r="FH68" s="580"/>
    </row>
    <row r="69" spans="1:164" x14ac:dyDescent="0.2">
      <c r="A69" s="180">
        <v>7</v>
      </c>
      <c r="B69" s="146"/>
      <c r="C69" s="131"/>
      <c r="D69" s="146"/>
      <c r="E69" s="131"/>
      <c r="F69" s="124"/>
      <c r="G69" s="124"/>
      <c r="H69" s="146"/>
      <c r="I69" s="131"/>
      <c r="J69" s="181">
        <v>35</v>
      </c>
      <c r="K69" s="181">
        <v>36</v>
      </c>
      <c r="L69" s="182">
        <v>10</v>
      </c>
      <c r="M69" s="183">
        <v>19</v>
      </c>
      <c r="N69" s="181">
        <v>11</v>
      </c>
      <c r="O69" s="181">
        <v>5</v>
      </c>
      <c r="P69" s="182">
        <v>39</v>
      </c>
      <c r="Q69" s="183">
        <v>68</v>
      </c>
      <c r="R69" s="124"/>
      <c r="S69" s="124"/>
      <c r="T69" s="146"/>
      <c r="U69" s="131"/>
      <c r="V69" s="181">
        <v>3</v>
      </c>
      <c r="W69" s="181">
        <v>6</v>
      </c>
      <c r="X69" s="182">
        <v>4</v>
      </c>
      <c r="Y69" s="183">
        <v>16</v>
      </c>
      <c r="Z69" s="181">
        <v>6</v>
      </c>
      <c r="AA69" s="181">
        <v>1</v>
      </c>
      <c r="AB69" s="146"/>
      <c r="AC69" s="131"/>
      <c r="AD69" s="124"/>
      <c r="AE69" s="124"/>
      <c r="AF69" s="146"/>
      <c r="AG69" s="135"/>
      <c r="AH69" s="146"/>
      <c r="AI69" s="141"/>
      <c r="AJ69" s="135"/>
      <c r="AK69" s="131"/>
      <c r="AN69" s="146"/>
      <c r="AO69" s="131"/>
      <c r="AP69" s="181">
        <v>2</v>
      </c>
      <c r="AQ69" s="181">
        <v>6</v>
      </c>
      <c r="AR69" s="182">
        <v>2</v>
      </c>
      <c r="AS69" s="183">
        <v>11</v>
      </c>
      <c r="AT69" s="181">
        <v>3</v>
      </c>
      <c r="AU69" s="181">
        <v>14</v>
      </c>
      <c r="AV69" s="182">
        <v>2</v>
      </c>
      <c r="AW69" s="183">
        <v>5</v>
      </c>
      <c r="AY69" s="181">
        <v>7</v>
      </c>
      <c r="AZ69" s="182">
        <v>3</v>
      </c>
      <c r="BA69" s="183">
        <v>3</v>
      </c>
      <c r="BB69" s="182">
        <v>12</v>
      </c>
      <c r="BC69" s="183">
        <v>38</v>
      </c>
      <c r="BD69" s="146"/>
      <c r="BE69" s="131"/>
      <c r="BF69" s="146"/>
      <c r="BG69" s="135"/>
      <c r="BH69" s="135"/>
      <c r="BI69" s="135"/>
      <c r="BJ69" s="135"/>
      <c r="BK69" s="135"/>
      <c r="BL69" s="146"/>
      <c r="BM69" s="135"/>
      <c r="BN69" s="135"/>
      <c r="BO69" s="135"/>
      <c r="BP69" s="135"/>
      <c r="BQ69" s="131"/>
      <c r="BR69" s="182">
        <v>6</v>
      </c>
      <c r="BS69" s="188">
        <v>4</v>
      </c>
      <c r="BT69" s="188">
        <v>0</v>
      </c>
      <c r="BU69" s="188">
        <v>47</v>
      </c>
      <c r="BV69" s="188">
        <v>1</v>
      </c>
      <c r="BW69" s="183">
        <v>0</v>
      </c>
      <c r="BX69" s="146"/>
      <c r="BY69" s="135"/>
      <c r="BZ69" s="135"/>
      <c r="CA69" s="135"/>
      <c r="CB69" s="135"/>
      <c r="CC69" s="131"/>
      <c r="CD69" s="146"/>
      <c r="CE69" s="135"/>
      <c r="CF69" s="135"/>
      <c r="CG69" s="135"/>
      <c r="CH69" s="135"/>
      <c r="CI69" s="131"/>
      <c r="CJ69" s="146"/>
      <c r="CK69" s="135"/>
      <c r="CL69" s="135"/>
      <c r="CM69" s="135"/>
      <c r="CN69" s="135"/>
      <c r="CO69" s="131"/>
      <c r="CP69" s="146"/>
      <c r="CQ69" s="135"/>
      <c r="CR69" s="135"/>
      <c r="CS69" s="135"/>
      <c r="CT69" s="135"/>
      <c r="CU69" s="131"/>
      <c r="CV69" s="146"/>
      <c r="CW69" s="135"/>
      <c r="CX69" s="135"/>
      <c r="CY69" s="135"/>
      <c r="CZ69" s="135"/>
      <c r="DA69" s="131"/>
      <c r="DB69" s="146"/>
      <c r="DC69" s="135"/>
      <c r="DD69" s="135"/>
      <c r="DE69" s="135"/>
      <c r="DF69" s="135"/>
      <c r="DG69" s="131"/>
      <c r="DH69" s="146"/>
      <c r="DI69" s="135"/>
      <c r="DJ69" s="135"/>
      <c r="DK69" s="135"/>
      <c r="DL69" s="135"/>
      <c r="DM69" s="131"/>
      <c r="DN69" s="146"/>
      <c r="DO69" s="135"/>
      <c r="DP69" s="135"/>
      <c r="DQ69" s="135"/>
      <c r="DR69" s="135"/>
      <c r="DS69" s="131"/>
      <c r="DT69" s="146"/>
      <c r="DU69" s="135"/>
      <c r="DV69" s="135"/>
      <c r="DW69" s="135"/>
      <c r="DX69" s="135"/>
      <c r="DY69" s="131"/>
      <c r="DZ69" s="146"/>
      <c r="EA69" s="135"/>
      <c r="EB69" s="135"/>
      <c r="EC69" s="135"/>
      <c r="ED69" s="135"/>
      <c r="EE69" s="131"/>
      <c r="EF69" s="135">
        <f t="shared" si="2"/>
        <v>7</v>
      </c>
      <c r="EG69" s="135"/>
      <c r="EH69" s="581">
        <v>7</v>
      </c>
      <c r="EI69" s="601">
        <f t="shared" si="3"/>
        <v>10.153846153846153</v>
      </c>
      <c r="EJ69" s="602">
        <f t="shared" si="4"/>
        <v>16.785714285714285</v>
      </c>
      <c r="EK69" s="603">
        <f t="shared" si="10"/>
        <v>0.34901989516186471</v>
      </c>
      <c r="EL69" s="603">
        <f t="shared" si="10"/>
        <v>0.65098010483813529</v>
      </c>
      <c r="EM69" s="602">
        <f t="shared" si="11"/>
        <v>26.939560439560438</v>
      </c>
      <c r="EN69" s="581">
        <v>7</v>
      </c>
      <c r="EO69" s="602">
        <f t="shared" si="5"/>
        <v>4</v>
      </c>
      <c r="EP69" s="602">
        <f t="shared" si="6"/>
        <v>12</v>
      </c>
      <c r="EQ69" s="603">
        <f t="shared" si="16"/>
        <v>0.22943300397081914</v>
      </c>
      <c r="ER69" s="603">
        <f t="shared" si="12"/>
        <v>0.77056699602918077</v>
      </c>
      <c r="ES69" s="602">
        <f t="shared" si="13"/>
        <v>16</v>
      </c>
      <c r="ET69" s="519">
        <f t="shared" si="7"/>
        <v>7</v>
      </c>
      <c r="EU69" s="602">
        <f t="shared" si="8"/>
        <v>15.428571428571429</v>
      </c>
      <c r="EV69" s="602">
        <f t="shared" si="9"/>
        <v>21.571428571428573</v>
      </c>
      <c r="EW69" s="603">
        <f t="shared" si="14"/>
        <v>0.46860678635291025</v>
      </c>
      <c r="EX69" s="603">
        <f t="shared" si="14"/>
        <v>0.53139321364708969</v>
      </c>
      <c r="EY69" s="602">
        <f t="shared" si="15"/>
        <v>37</v>
      </c>
      <c r="EZ69" s="580"/>
      <c r="FA69" s="580"/>
      <c r="FB69" s="580"/>
      <c r="FC69" s="580"/>
      <c r="FD69" s="580"/>
      <c r="FE69" s="580"/>
      <c r="FF69" s="580"/>
      <c r="FG69" s="580"/>
      <c r="FH69" s="580"/>
    </row>
    <row r="70" spans="1:164" x14ac:dyDescent="0.2">
      <c r="A70" s="180">
        <v>8</v>
      </c>
      <c r="B70" s="146"/>
      <c r="C70" s="131"/>
      <c r="D70" s="146"/>
      <c r="E70" s="131"/>
      <c r="F70" s="124"/>
      <c r="G70" s="124"/>
      <c r="H70" s="146"/>
      <c r="I70" s="131"/>
      <c r="J70" s="181">
        <v>16</v>
      </c>
      <c r="K70" s="181">
        <v>37</v>
      </c>
      <c r="L70" s="146"/>
      <c r="M70" s="131"/>
      <c r="N70" s="124"/>
      <c r="O70" s="124"/>
      <c r="P70" s="146"/>
      <c r="Q70" s="131"/>
      <c r="R70" s="124"/>
      <c r="S70" s="124"/>
      <c r="T70" s="146"/>
      <c r="U70" s="131"/>
      <c r="V70" s="181">
        <v>16</v>
      </c>
      <c r="W70" s="181">
        <v>7</v>
      </c>
      <c r="X70" s="182">
        <v>2</v>
      </c>
      <c r="Y70" s="183">
        <v>16</v>
      </c>
      <c r="Z70" s="181">
        <v>2</v>
      </c>
      <c r="AA70" s="181">
        <v>1</v>
      </c>
      <c r="AB70" s="182">
        <v>2</v>
      </c>
      <c r="AC70" s="183">
        <v>6</v>
      </c>
      <c r="AD70" s="124"/>
      <c r="AE70" s="124"/>
      <c r="AF70" s="146"/>
      <c r="AG70" s="135"/>
      <c r="AH70" s="146"/>
      <c r="AI70" s="141"/>
      <c r="AJ70" s="135"/>
      <c r="AK70" s="131"/>
      <c r="AN70" s="146"/>
      <c r="AO70" s="131"/>
      <c r="AR70" s="182">
        <v>1</v>
      </c>
      <c r="AS70" s="183">
        <v>7</v>
      </c>
      <c r="AT70" s="181">
        <v>7</v>
      </c>
      <c r="AU70" s="181">
        <v>28</v>
      </c>
      <c r="AV70" s="182">
        <v>10</v>
      </c>
      <c r="AW70" s="183">
        <v>26</v>
      </c>
      <c r="AX70" s="181">
        <v>2</v>
      </c>
      <c r="AZ70" s="182">
        <v>3</v>
      </c>
      <c r="BA70" s="183">
        <v>7</v>
      </c>
      <c r="BB70" s="146"/>
      <c r="BC70" s="131"/>
      <c r="BD70" s="146"/>
      <c r="BE70" s="131"/>
      <c r="BF70" s="146"/>
      <c r="BG70" s="135"/>
      <c r="BH70" s="135"/>
      <c r="BI70" s="135"/>
      <c r="BJ70" s="135"/>
      <c r="BK70" s="135"/>
      <c r="BL70" s="182">
        <v>0</v>
      </c>
      <c r="BM70" s="188">
        <v>0</v>
      </c>
      <c r="BN70" s="188">
        <v>0</v>
      </c>
      <c r="BO70" s="188">
        <v>3</v>
      </c>
      <c r="BP70" s="188">
        <v>0</v>
      </c>
      <c r="BQ70" s="183">
        <v>0</v>
      </c>
      <c r="BR70" s="182">
        <v>0</v>
      </c>
      <c r="BS70" s="188">
        <v>0</v>
      </c>
      <c r="BT70" s="188">
        <v>0</v>
      </c>
      <c r="BU70" s="188">
        <v>10</v>
      </c>
      <c r="BV70" s="188">
        <v>0</v>
      </c>
      <c r="BW70" s="183">
        <v>0</v>
      </c>
      <c r="BX70" s="1031">
        <v>1</v>
      </c>
      <c r="BY70" s="1032">
        <v>1</v>
      </c>
      <c r="BZ70" s="1032">
        <v>0</v>
      </c>
      <c r="CA70" s="1032">
        <v>3</v>
      </c>
      <c r="CB70" s="1032">
        <v>0</v>
      </c>
      <c r="CC70" s="1033">
        <v>0</v>
      </c>
      <c r="CD70" s="146"/>
      <c r="CE70" s="135"/>
      <c r="CF70" s="135"/>
      <c r="CG70" s="135"/>
      <c r="CH70" s="135"/>
      <c r="CI70" s="131"/>
      <c r="CJ70" s="146"/>
      <c r="CK70" s="135"/>
      <c r="CL70" s="135"/>
      <c r="CM70" s="135"/>
      <c r="CN70" s="135"/>
      <c r="CO70" s="131"/>
      <c r="CP70" s="146"/>
      <c r="CQ70" s="135"/>
      <c r="CR70" s="135"/>
      <c r="CS70" s="135"/>
      <c r="CT70" s="135"/>
      <c r="CU70" s="131"/>
      <c r="CV70" s="146"/>
      <c r="CW70" s="135"/>
      <c r="CX70" s="135"/>
      <c r="CY70" s="135"/>
      <c r="CZ70" s="135"/>
      <c r="DA70" s="131"/>
      <c r="DB70" s="146"/>
      <c r="DC70" s="135"/>
      <c r="DD70" s="135"/>
      <c r="DE70" s="135"/>
      <c r="DF70" s="135"/>
      <c r="DG70" s="131"/>
      <c r="DH70" s="146"/>
      <c r="DI70" s="135"/>
      <c r="DJ70" s="135"/>
      <c r="DK70" s="135"/>
      <c r="DL70" s="135"/>
      <c r="DM70" s="131"/>
      <c r="DN70" s="146"/>
      <c r="DO70" s="135"/>
      <c r="DP70" s="135"/>
      <c r="DQ70" s="135"/>
      <c r="DR70" s="135"/>
      <c r="DS70" s="131"/>
      <c r="DT70" s="146"/>
      <c r="DU70" s="135"/>
      <c r="DV70" s="135"/>
      <c r="DW70" s="135"/>
      <c r="DX70" s="135"/>
      <c r="DY70" s="131"/>
      <c r="DZ70" s="146"/>
      <c r="EA70" s="135"/>
      <c r="EB70" s="135"/>
      <c r="EC70" s="135"/>
      <c r="ED70" s="135"/>
      <c r="EE70" s="131"/>
      <c r="EF70" s="135">
        <f t="shared" si="2"/>
        <v>8</v>
      </c>
      <c r="EG70" s="135"/>
      <c r="EH70" s="581">
        <v>8</v>
      </c>
      <c r="EI70" s="601">
        <f t="shared" si="3"/>
        <v>6.1</v>
      </c>
      <c r="EJ70" s="602">
        <f t="shared" si="4"/>
        <v>15</v>
      </c>
      <c r="EK70" s="603">
        <f t="shared" si="10"/>
        <v>0.39280945219214292</v>
      </c>
      <c r="EL70" s="603">
        <f t="shared" si="10"/>
        <v>0.60719054780785719</v>
      </c>
      <c r="EM70" s="602">
        <f t="shared" si="11"/>
        <v>21.1</v>
      </c>
      <c r="EN70" s="581">
        <v>8</v>
      </c>
      <c r="EO70" s="602">
        <f t="shared" si="5"/>
        <v>4.5999999999999996</v>
      </c>
      <c r="EP70" s="602">
        <f t="shared" si="6"/>
        <v>17</v>
      </c>
      <c r="EQ70" s="603">
        <f t="shared" si="16"/>
        <v>0.38055555555555559</v>
      </c>
      <c r="ER70" s="603">
        <f t="shared" si="12"/>
        <v>0.61944444444444446</v>
      </c>
      <c r="ES70" s="602">
        <f t="shared" si="13"/>
        <v>21.6</v>
      </c>
      <c r="ET70" s="519">
        <f t="shared" si="7"/>
        <v>8</v>
      </c>
      <c r="EU70" s="602">
        <f t="shared" si="8"/>
        <v>7.6</v>
      </c>
      <c r="EV70" s="602">
        <f t="shared" si="9"/>
        <v>13.4</v>
      </c>
      <c r="EW70" s="603">
        <f t="shared" si="14"/>
        <v>0.40506334882873024</v>
      </c>
      <c r="EX70" s="603">
        <f t="shared" si="14"/>
        <v>0.5949366511712697</v>
      </c>
      <c r="EY70" s="602">
        <f t="shared" si="15"/>
        <v>21</v>
      </c>
      <c r="EZ70" s="580"/>
      <c r="FA70" s="580"/>
      <c r="FB70" s="580"/>
      <c r="FC70" s="580"/>
      <c r="FD70" s="580"/>
      <c r="FE70" s="580"/>
      <c r="FF70" s="580"/>
      <c r="FG70" s="580"/>
      <c r="FH70" s="580"/>
    </row>
    <row r="71" spans="1:164" x14ac:dyDescent="0.2">
      <c r="A71" s="180">
        <v>9</v>
      </c>
      <c r="B71" s="146"/>
      <c r="C71" s="131"/>
      <c r="D71" s="146"/>
      <c r="E71" s="131"/>
      <c r="F71" s="124"/>
      <c r="G71" s="124"/>
      <c r="H71" s="146"/>
      <c r="I71" s="131"/>
      <c r="J71" s="124"/>
      <c r="K71" s="124"/>
      <c r="L71" s="146"/>
      <c r="M71" s="131"/>
      <c r="N71" s="124"/>
      <c r="O71" s="124"/>
      <c r="P71" s="146"/>
      <c r="Q71" s="131"/>
      <c r="R71" s="124"/>
      <c r="S71" s="124"/>
      <c r="T71" s="146"/>
      <c r="U71" s="131"/>
      <c r="V71" s="181">
        <v>1</v>
      </c>
      <c r="W71" s="181">
        <v>2</v>
      </c>
      <c r="X71" s="146"/>
      <c r="Y71" s="131"/>
      <c r="Z71" s="124"/>
      <c r="AA71" s="124"/>
      <c r="AB71" s="146"/>
      <c r="AC71" s="131"/>
      <c r="AD71" s="124"/>
      <c r="AE71" s="124"/>
      <c r="AF71" s="146"/>
      <c r="AG71" s="135"/>
      <c r="AH71" s="146"/>
      <c r="AI71" s="141"/>
      <c r="AJ71" s="135"/>
      <c r="AK71" s="131"/>
      <c r="AN71" s="146"/>
      <c r="AO71" s="183">
        <v>6</v>
      </c>
      <c r="AR71" s="182">
        <v>1</v>
      </c>
      <c r="AS71" s="183">
        <v>11</v>
      </c>
      <c r="AT71" s="181">
        <v>5</v>
      </c>
      <c r="AU71" s="181">
        <v>27</v>
      </c>
      <c r="AV71" s="182">
        <v>1</v>
      </c>
      <c r="AW71" s="183">
        <v>7</v>
      </c>
      <c r="AY71" s="181">
        <v>15</v>
      </c>
      <c r="AZ71" s="182">
        <v>1</v>
      </c>
      <c r="BA71" s="183">
        <v>1</v>
      </c>
      <c r="BB71" s="146"/>
      <c r="BC71" s="131"/>
      <c r="BD71" s="146"/>
      <c r="BE71" s="183">
        <v>14</v>
      </c>
      <c r="BF71" s="146"/>
      <c r="BG71" s="135"/>
      <c r="BH71" s="135"/>
      <c r="BI71" s="135"/>
      <c r="BJ71" s="135"/>
      <c r="BK71" s="135"/>
      <c r="BL71" s="182">
        <v>1</v>
      </c>
      <c r="BM71" s="188">
        <v>0</v>
      </c>
      <c r="BN71" s="188">
        <v>0</v>
      </c>
      <c r="BO71" s="188">
        <v>5</v>
      </c>
      <c r="BP71" s="188">
        <v>0</v>
      </c>
      <c r="BQ71" s="183">
        <v>0</v>
      </c>
      <c r="BR71" s="182">
        <v>0</v>
      </c>
      <c r="BS71" s="188">
        <v>0</v>
      </c>
      <c r="BT71" s="188">
        <v>0</v>
      </c>
      <c r="BU71" s="188">
        <v>17</v>
      </c>
      <c r="BV71" s="188">
        <v>0</v>
      </c>
      <c r="BW71" s="183">
        <v>0</v>
      </c>
      <c r="BX71" s="1024">
        <v>0</v>
      </c>
      <c r="BY71" s="1025">
        <v>1</v>
      </c>
      <c r="BZ71" s="1025">
        <v>0</v>
      </c>
      <c r="CA71" s="1025">
        <v>17</v>
      </c>
      <c r="CB71" s="1025">
        <v>0</v>
      </c>
      <c r="CC71" s="1026">
        <v>0</v>
      </c>
      <c r="CD71" s="1031">
        <v>0</v>
      </c>
      <c r="CE71" s="1032">
        <v>0</v>
      </c>
      <c r="CF71" s="1032">
        <v>0</v>
      </c>
      <c r="CG71" s="1032">
        <v>1</v>
      </c>
      <c r="CH71" s="1032">
        <v>0</v>
      </c>
      <c r="CI71" s="1033">
        <v>0</v>
      </c>
      <c r="CJ71" s="146"/>
      <c r="CK71" s="135"/>
      <c r="CL71" s="135"/>
      <c r="CM71" s="135"/>
      <c r="CN71" s="135"/>
      <c r="CO71" s="131"/>
      <c r="CP71" s="146"/>
      <c r="CQ71" s="135"/>
      <c r="CR71" s="135"/>
      <c r="CS71" s="135"/>
      <c r="CT71" s="135"/>
      <c r="CU71" s="131"/>
      <c r="CV71" s="146"/>
      <c r="CW71" s="135"/>
      <c r="CX71" s="135"/>
      <c r="CY71" s="135"/>
      <c r="CZ71" s="135"/>
      <c r="DA71" s="131"/>
      <c r="DB71" s="146"/>
      <c r="DC71" s="135"/>
      <c r="DD71" s="135"/>
      <c r="DE71" s="135"/>
      <c r="DF71" s="135"/>
      <c r="DG71" s="131"/>
      <c r="DH71" s="146"/>
      <c r="DI71" s="135"/>
      <c r="DJ71" s="135"/>
      <c r="DK71" s="135"/>
      <c r="DL71" s="135"/>
      <c r="DM71" s="131"/>
      <c r="DN71" s="146"/>
      <c r="DO71" s="135"/>
      <c r="DP71" s="135"/>
      <c r="DQ71" s="135"/>
      <c r="DR71" s="135"/>
      <c r="DS71" s="131"/>
      <c r="DT71" s="146"/>
      <c r="DU71" s="135"/>
      <c r="DV71" s="135"/>
      <c r="DW71" s="135"/>
      <c r="DX71" s="135"/>
      <c r="DY71" s="131"/>
      <c r="DZ71" s="146"/>
      <c r="EA71" s="135"/>
      <c r="EB71" s="135"/>
      <c r="EC71" s="135"/>
      <c r="ED71" s="135"/>
      <c r="EE71" s="131"/>
      <c r="EF71" s="135">
        <f t="shared" si="2"/>
        <v>9</v>
      </c>
      <c r="EG71" s="135"/>
      <c r="EH71" s="581">
        <v>9</v>
      </c>
      <c r="EI71" s="601">
        <f t="shared" si="3"/>
        <v>1.8</v>
      </c>
      <c r="EJ71" s="602">
        <f t="shared" si="4"/>
        <v>10.375</v>
      </c>
      <c r="EK71" s="603">
        <f t="shared" si="10"/>
        <v>0.14973958333333331</v>
      </c>
      <c r="EL71" s="603">
        <f t="shared" si="10"/>
        <v>0.85026041666666674</v>
      </c>
      <c r="EM71" s="602">
        <f t="shared" si="11"/>
        <v>12.175000000000001</v>
      </c>
      <c r="EN71" s="581">
        <v>9</v>
      </c>
      <c r="EO71" s="602">
        <f t="shared" si="5"/>
        <v>2</v>
      </c>
      <c r="EP71" s="602">
        <f t="shared" si="6"/>
        <v>11.571428571428571</v>
      </c>
      <c r="EQ71" s="603">
        <f t="shared" si="16"/>
        <v>0.12351190476190477</v>
      </c>
      <c r="ER71" s="603">
        <f t="shared" si="12"/>
        <v>0.87648809523809523</v>
      </c>
      <c r="ES71" s="602">
        <f t="shared" si="13"/>
        <v>13.571428571428571</v>
      </c>
      <c r="ET71" s="519">
        <f t="shared" si="7"/>
        <v>9</v>
      </c>
      <c r="EU71" s="602">
        <f t="shared" si="8"/>
        <v>1</v>
      </c>
      <c r="EV71" s="602">
        <f t="shared" si="9"/>
        <v>2</v>
      </c>
      <c r="EW71" s="603">
        <f t="shared" si="14"/>
        <v>0.33333333333333331</v>
      </c>
      <c r="EX71" s="603">
        <f t="shared" si="14"/>
        <v>0.66666666666666663</v>
      </c>
      <c r="EY71" s="602">
        <f t="shared" si="15"/>
        <v>3</v>
      </c>
      <c r="EZ71" s="580"/>
      <c r="FA71" s="580"/>
      <c r="FB71" s="580"/>
      <c r="FC71" s="580"/>
      <c r="FD71" s="580"/>
      <c r="FE71" s="580"/>
      <c r="FF71" s="580"/>
      <c r="FG71" s="580"/>
      <c r="FH71" s="580"/>
    </row>
    <row r="72" spans="1:164" x14ac:dyDescent="0.2">
      <c r="A72" s="180">
        <v>10</v>
      </c>
      <c r="B72" s="146"/>
      <c r="C72" s="131"/>
      <c r="D72" s="146"/>
      <c r="E72" s="131"/>
      <c r="F72" s="124"/>
      <c r="G72" s="124"/>
      <c r="H72" s="146"/>
      <c r="I72" s="131"/>
      <c r="J72" s="124"/>
      <c r="K72" s="124"/>
      <c r="L72" s="146"/>
      <c r="M72" s="131"/>
      <c r="N72" s="124"/>
      <c r="O72" s="124"/>
      <c r="P72" s="146"/>
      <c r="Q72" s="131"/>
      <c r="R72" s="124"/>
      <c r="S72" s="124"/>
      <c r="T72" s="182">
        <v>1</v>
      </c>
      <c r="U72" s="183">
        <v>2</v>
      </c>
      <c r="V72" s="124"/>
      <c r="W72" s="124"/>
      <c r="X72" s="146"/>
      <c r="Y72" s="131"/>
      <c r="Z72" s="124"/>
      <c r="AA72" s="124"/>
      <c r="AB72" s="146"/>
      <c r="AC72" s="131"/>
      <c r="AD72" s="124"/>
      <c r="AE72" s="181">
        <v>13</v>
      </c>
      <c r="AF72" s="146"/>
      <c r="AG72" s="135"/>
      <c r="AH72" s="146"/>
      <c r="AI72" s="141"/>
      <c r="AJ72" s="135"/>
      <c r="AK72" s="131"/>
      <c r="AN72" s="146"/>
      <c r="AO72" s="131"/>
      <c r="AR72" s="146"/>
      <c r="AS72" s="131"/>
      <c r="AT72" s="181">
        <v>1</v>
      </c>
      <c r="AU72" s="181">
        <v>25</v>
      </c>
      <c r="AV72" s="182">
        <v>1</v>
      </c>
      <c r="AW72" s="183">
        <v>19</v>
      </c>
      <c r="AY72" s="181">
        <v>14</v>
      </c>
      <c r="AZ72" s="182">
        <v>3</v>
      </c>
      <c r="BA72" s="183">
        <v>9</v>
      </c>
      <c r="BB72" s="146"/>
      <c r="BC72" s="131"/>
      <c r="BD72" s="146"/>
      <c r="BE72" s="131"/>
      <c r="BF72" s="146"/>
      <c r="BG72" s="135"/>
      <c r="BH72" s="135"/>
      <c r="BI72" s="135"/>
      <c r="BJ72" s="135"/>
      <c r="BK72" s="135"/>
      <c r="BL72" s="182">
        <v>1</v>
      </c>
      <c r="BM72" s="188">
        <v>0</v>
      </c>
      <c r="BN72" s="188">
        <v>0</v>
      </c>
      <c r="BO72" s="188">
        <v>7</v>
      </c>
      <c r="BP72" s="188">
        <v>0</v>
      </c>
      <c r="BQ72" s="183">
        <v>0</v>
      </c>
      <c r="BR72" s="182">
        <v>0</v>
      </c>
      <c r="BS72" s="188">
        <v>3</v>
      </c>
      <c r="BT72" s="188">
        <v>0</v>
      </c>
      <c r="BU72" s="188">
        <v>5</v>
      </c>
      <c r="BV72" s="188">
        <v>0</v>
      </c>
      <c r="BW72" s="183">
        <v>0</v>
      </c>
      <c r="BX72" s="1024">
        <v>0</v>
      </c>
      <c r="BY72" s="1025">
        <v>0</v>
      </c>
      <c r="BZ72" s="1025">
        <v>0</v>
      </c>
      <c r="CA72" s="1025">
        <v>21</v>
      </c>
      <c r="CB72" s="1025">
        <v>0</v>
      </c>
      <c r="CC72" s="1026">
        <v>0</v>
      </c>
      <c r="CD72" s="1024"/>
      <c r="CE72" s="1025"/>
      <c r="CF72" s="1025"/>
      <c r="CG72" s="1025"/>
      <c r="CH72" s="1025"/>
      <c r="CI72" s="1026"/>
      <c r="CJ72" s="146"/>
      <c r="CK72" s="135"/>
      <c r="CL72" s="135"/>
      <c r="CM72" s="135"/>
      <c r="CN72" s="135"/>
      <c r="CO72" s="131"/>
      <c r="CP72" s="146"/>
      <c r="CQ72" s="135"/>
      <c r="CR72" s="135"/>
      <c r="CS72" s="135"/>
      <c r="CT72" s="135"/>
      <c r="CU72" s="131"/>
      <c r="CV72" s="146"/>
      <c r="CW72" s="135"/>
      <c r="CX72" s="135"/>
      <c r="CY72" s="135"/>
      <c r="CZ72" s="135"/>
      <c r="DA72" s="131"/>
      <c r="DB72" s="146"/>
      <c r="DC72" s="135"/>
      <c r="DD72" s="135"/>
      <c r="DE72" s="135"/>
      <c r="DF72" s="135"/>
      <c r="DG72" s="131"/>
      <c r="DH72" s="146"/>
      <c r="DI72" s="135"/>
      <c r="DJ72" s="135"/>
      <c r="DK72" s="135"/>
      <c r="DL72" s="135"/>
      <c r="DM72" s="131"/>
      <c r="DN72" s="146"/>
      <c r="DO72" s="135"/>
      <c r="DP72" s="135"/>
      <c r="DQ72" s="135"/>
      <c r="DR72" s="135"/>
      <c r="DS72" s="131"/>
      <c r="DT72" s="146"/>
      <c r="DU72" s="135"/>
      <c r="DV72" s="135"/>
      <c r="DW72" s="135"/>
      <c r="DX72" s="135"/>
      <c r="DY72" s="131"/>
      <c r="DZ72" s="146"/>
      <c r="EA72" s="135"/>
      <c r="EB72" s="135"/>
      <c r="EC72" s="135"/>
      <c r="ED72" s="135"/>
      <c r="EE72" s="131"/>
      <c r="EF72" s="135">
        <f t="shared" si="2"/>
        <v>10</v>
      </c>
      <c r="EG72" s="135"/>
      <c r="EH72" s="581">
        <v>10</v>
      </c>
      <c r="EI72" s="601">
        <f t="shared" si="3"/>
        <v>1.5</v>
      </c>
      <c r="EJ72" s="602">
        <f t="shared" si="4"/>
        <v>13.666666666666666</v>
      </c>
      <c r="EK72" s="603">
        <f t="shared" si="10"/>
        <v>0.11196581196581197</v>
      </c>
      <c r="EL72" s="603">
        <f t="shared" si="10"/>
        <v>0.8880341880341881</v>
      </c>
      <c r="EM72" s="602">
        <f t="shared" si="11"/>
        <v>15.166666666666666</v>
      </c>
      <c r="EN72" s="581">
        <v>10</v>
      </c>
      <c r="EO72" s="602">
        <f t="shared" si="5"/>
        <v>1.6666666666666667</v>
      </c>
      <c r="EP72" s="602">
        <f t="shared" si="6"/>
        <v>16.75</v>
      </c>
      <c r="EQ72" s="603">
        <f t="shared" si="16"/>
        <v>8.461538461538462E-2</v>
      </c>
      <c r="ER72" s="603">
        <f t="shared" si="12"/>
        <v>0.91538461538461546</v>
      </c>
      <c r="ES72" s="602">
        <f t="shared" si="13"/>
        <v>18.416666666666668</v>
      </c>
      <c r="ET72" s="519">
        <f t="shared" si="7"/>
        <v>10</v>
      </c>
      <c r="EU72" s="602">
        <f t="shared" si="8"/>
        <v>1</v>
      </c>
      <c r="EV72" s="602">
        <f t="shared" si="9"/>
        <v>7.5</v>
      </c>
      <c r="EW72" s="603">
        <f t="shared" si="14"/>
        <v>0.16666666666666666</v>
      </c>
      <c r="EX72" s="603">
        <f t="shared" si="14"/>
        <v>0.83333333333333326</v>
      </c>
      <c r="EY72" s="602">
        <f t="shared" si="15"/>
        <v>8.5</v>
      </c>
      <c r="EZ72" s="580"/>
      <c r="FA72" s="580"/>
      <c r="FB72" s="580"/>
      <c r="FC72" s="580"/>
      <c r="FD72" s="580"/>
      <c r="FE72" s="580"/>
      <c r="FF72" s="580"/>
      <c r="FG72" s="580"/>
      <c r="FH72" s="580"/>
    </row>
    <row r="73" spans="1:164" x14ac:dyDescent="0.2">
      <c r="A73" s="180">
        <v>11</v>
      </c>
      <c r="B73" s="146"/>
      <c r="C73" s="131"/>
      <c r="D73" s="146"/>
      <c r="E73" s="131"/>
      <c r="F73" s="124"/>
      <c r="G73" s="124"/>
      <c r="H73" s="146"/>
      <c r="I73" s="131"/>
      <c r="J73" s="124"/>
      <c r="K73" s="124"/>
      <c r="L73" s="146"/>
      <c r="M73" s="131"/>
      <c r="N73" s="124"/>
      <c r="O73" s="124"/>
      <c r="P73" s="146"/>
      <c r="Q73" s="131"/>
      <c r="R73" s="124"/>
      <c r="S73" s="124"/>
      <c r="T73" s="146"/>
      <c r="U73" s="131"/>
      <c r="V73" s="181">
        <v>1</v>
      </c>
      <c r="W73" s="181">
        <v>16</v>
      </c>
      <c r="X73" s="146"/>
      <c r="Y73" s="131"/>
      <c r="Z73" s="124"/>
      <c r="AA73" s="124"/>
      <c r="AB73" s="146"/>
      <c r="AC73" s="131"/>
      <c r="AD73" s="124"/>
      <c r="AE73" s="124"/>
      <c r="AF73" s="146"/>
      <c r="AG73" s="135"/>
      <c r="AH73" s="146"/>
      <c r="AI73" s="141"/>
      <c r="AJ73" s="135"/>
      <c r="AK73" s="131"/>
      <c r="AN73" s="146"/>
      <c r="AO73" s="131"/>
      <c r="AR73" s="146"/>
      <c r="AS73" s="131"/>
      <c r="AT73" s="181">
        <v>3</v>
      </c>
      <c r="AU73" s="181">
        <v>23</v>
      </c>
      <c r="AV73" s="182">
        <v>1</v>
      </c>
      <c r="AW73" s="183">
        <v>15</v>
      </c>
      <c r="AY73" s="181">
        <v>15</v>
      </c>
      <c r="AZ73" s="146"/>
      <c r="BA73" s="131"/>
      <c r="BB73" s="146"/>
      <c r="BC73" s="131"/>
      <c r="BD73" s="146"/>
      <c r="BE73" s="131"/>
      <c r="BF73" s="146"/>
      <c r="BG73" s="135"/>
      <c r="BH73" s="135"/>
      <c r="BI73" s="135"/>
      <c r="BJ73" s="135"/>
      <c r="BK73" s="135"/>
      <c r="BL73" s="182">
        <v>0</v>
      </c>
      <c r="BM73" s="188">
        <v>0</v>
      </c>
      <c r="BN73" s="188">
        <v>0</v>
      </c>
      <c r="BO73" s="188">
        <v>1</v>
      </c>
      <c r="BP73" s="188">
        <v>0</v>
      </c>
      <c r="BQ73" s="183">
        <v>0</v>
      </c>
      <c r="BR73" s="182">
        <v>0</v>
      </c>
      <c r="BS73" s="188">
        <v>0</v>
      </c>
      <c r="BT73" s="188">
        <v>0</v>
      </c>
      <c r="BU73" s="188">
        <v>21</v>
      </c>
      <c r="BV73" s="188">
        <v>1</v>
      </c>
      <c r="BW73" s="183">
        <v>0</v>
      </c>
      <c r="BX73" s="1024">
        <v>1</v>
      </c>
      <c r="BY73" s="1025">
        <v>0</v>
      </c>
      <c r="BZ73" s="1025">
        <v>0</v>
      </c>
      <c r="CA73" s="1025">
        <v>14</v>
      </c>
      <c r="CB73" s="1025">
        <v>0</v>
      </c>
      <c r="CC73" s="1026">
        <v>0</v>
      </c>
      <c r="CD73" s="1024"/>
      <c r="CE73" s="1025"/>
      <c r="CF73" s="1025"/>
      <c r="CG73" s="1025"/>
      <c r="CH73" s="1025"/>
      <c r="CI73" s="1026"/>
      <c r="CJ73" s="146"/>
      <c r="CK73" s="135"/>
      <c r="CL73" s="135"/>
      <c r="CM73" s="135"/>
      <c r="CN73" s="135"/>
      <c r="CO73" s="131"/>
      <c r="CP73" s="146"/>
      <c r="CQ73" s="135"/>
      <c r="CR73" s="135"/>
      <c r="CS73" s="135"/>
      <c r="CT73" s="135"/>
      <c r="CU73" s="131"/>
      <c r="CV73" s="146"/>
      <c r="CW73" s="135"/>
      <c r="CX73" s="135"/>
      <c r="CY73" s="135"/>
      <c r="CZ73" s="135"/>
      <c r="DA73" s="131"/>
      <c r="DB73" s="146"/>
      <c r="DC73" s="135"/>
      <c r="DD73" s="135"/>
      <c r="DE73" s="135"/>
      <c r="DF73" s="135"/>
      <c r="DG73" s="131"/>
      <c r="DH73" s="146"/>
      <c r="DI73" s="135"/>
      <c r="DJ73" s="135"/>
      <c r="DK73" s="135"/>
      <c r="DL73" s="135"/>
      <c r="DM73" s="131"/>
      <c r="DN73" s="146"/>
      <c r="DO73" s="135"/>
      <c r="DP73" s="135"/>
      <c r="DQ73" s="135"/>
      <c r="DR73" s="135"/>
      <c r="DS73" s="131"/>
      <c r="DT73" s="146"/>
      <c r="DU73" s="135"/>
      <c r="DV73" s="135"/>
      <c r="DW73" s="135"/>
      <c r="DX73" s="135"/>
      <c r="DY73" s="131"/>
      <c r="DZ73" s="146"/>
      <c r="EA73" s="135"/>
      <c r="EB73" s="135"/>
      <c r="EC73" s="135"/>
      <c r="ED73" s="135"/>
      <c r="EE73" s="131"/>
      <c r="EF73" s="135">
        <f t="shared" si="2"/>
        <v>11</v>
      </c>
      <c r="EG73" s="135"/>
      <c r="EH73" s="581">
        <v>11</v>
      </c>
      <c r="EI73" s="601">
        <f t="shared" si="3"/>
        <v>1.6666666666666667</v>
      </c>
      <c r="EJ73" s="602">
        <f t="shared" si="4"/>
        <v>17.25</v>
      </c>
      <c r="EK73" s="603">
        <f t="shared" si="10"/>
        <v>5.9177036199095021E-2</v>
      </c>
      <c r="EL73" s="603">
        <f t="shared" si="10"/>
        <v>0.94082296380090491</v>
      </c>
      <c r="EM73" s="602">
        <f t="shared" si="11"/>
        <v>18.916666666666668</v>
      </c>
      <c r="EN73" s="581">
        <v>11</v>
      </c>
      <c r="EO73" s="602">
        <f t="shared" si="5"/>
        <v>2</v>
      </c>
      <c r="EP73" s="602">
        <f t="shared" si="6"/>
        <v>17.666666666666668</v>
      </c>
      <c r="EQ73" s="603">
        <f t="shared" si="16"/>
        <v>5.9294871794871799E-2</v>
      </c>
      <c r="ER73" s="603">
        <f t="shared" si="12"/>
        <v>0.94070512820512819</v>
      </c>
      <c r="ES73" s="602">
        <f t="shared" si="13"/>
        <v>19.666666666666668</v>
      </c>
      <c r="ET73" s="519">
        <f t="shared" si="7"/>
        <v>11</v>
      </c>
      <c r="EU73" s="602">
        <f t="shared" si="8"/>
        <v>1</v>
      </c>
      <c r="EV73" s="602">
        <f t="shared" si="9"/>
        <v>16</v>
      </c>
      <c r="EW73" s="603">
        <f t="shared" si="14"/>
        <v>5.8823529411764705E-2</v>
      </c>
      <c r="EX73" s="603">
        <f t="shared" si="14"/>
        <v>0.94117647058823528</v>
      </c>
      <c r="EY73" s="602">
        <f t="shared" si="15"/>
        <v>17</v>
      </c>
      <c r="EZ73" s="580"/>
      <c r="FA73" s="580"/>
      <c r="FB73" s="580"/>
      <c r="FC73" s="580"/>
      <c r="FD73" s="580"/>
      <c r="FE73" s="580"/>
      <c r="FF73" s="580"/>
      <c r="FG73" s="580"/>
      <c r="FH73" s="580"/>
    </row>
    <row r="74" spans="1:164" x14ac:dyDescent="0.2">
      <c r="A74" s="180">
        <v>12</v>
      </c>
      <c r="B74" s="146"/>
      <c r="C74" s="131"/>
      <c r="D74" s="146"/>
      <c r="E74" s="131"/>
      <c r="F74" s="124"/>
      <c r="G74" s="124"/>
      <c r="H74" s="146"/>
      <c r="I74" s="131"/>
      <c r="J74" s="124"/>
      <c r="K74" s="124"/>
      <c r="L74" s="146"/>
      <c r="M74" s="131"/>
      <c r="N74" s="124"/>
      <c r="O74" s="124"/>
      <c r="P74" s="146"/>
      <c r="Q74" s="131"/>
      <c r="R74" s="124"/>
      <c r="S74" s="124"/>
      <c r="T74" s="146"/>
      <c r="U74" s="131"/>
      <c r="V74" s="181">
        <v>5</v>
      </c>
      <c r="W74" s="181">
        <v>14</v>
      </c>
      <c r="X74" s="146"/>
      <c r="Y74" s="131"/>
      <c r="Z74" s="124"/>
      <c r="AA74" s="124"/>
      <c r="AB74" s="146"/>
      <c r="AC74" s="131"/>
      <c r="AD74" s="124"/>
      <c r="AE74" s="124"/>
      <c r="AF74" s="146"/>
      <c r="AG74" s="135"/>
      <c r="AH74" s="146"/>
      <c r="AI74" s="141"/>
      <c r="AJ74" s="135"/>
      <c r="AK74" s="131"/>
      <c r="AN74" s="146"/>
      <c r="AO74" s="131"/>
      <c r="AR74" s="146"/>
      <c r="AS74" s="131"/>
      <c r="AU74" s="181">
        <v>27</v>
      </c>
      <c r="AV74" s="182">
        <v>1</v>
      </c>
      <c r="AW74" s="183">
        <v>12</v>
      </c>
      <c r="AX74" s="181">
        <v>2</v>
      </c>
      <c r="AY74" s="181">
        <v>23</v>
      </c>
      <c r="AZ74" s="146"/>
      <c r="BA74" s="183">
        <v>5</v>
      </c>
      <c r="BB74" s="146"/>
      <c r="BC74" s="131"/>
      <c r="BD74" s="146"/>
      <c r="BE74" s="131"/>
      <c r="BF74" s="227">
        <v>0</v>
      </c>
      <c r="BG74" s="227">
        <v>0</v>
      </c>
      <c r="BH74" s="227">
        <v>0</v>
      </c>
      <c r="BI74" s="227">
        <v>30</v>
      </c>
      <c r="BJ74" s="227">
        <v>1</v>
      </c>
      <c r="BK74" s="227">
        <v>0</v>
      </c>
      <c r="BL74" s="216">
        <v>0</v>
      </c>
      <c r="BM74" s="227">
        <v>0</v>
      </c>
      <c r="BN74" s="227">
        <v>0</v>
      </c>
      <c r="BO74" s="227">
        <v>6</v>
      </c>
      <c r="BP74" s="227">
        <v>0</v>
      </c>
      <c r="BQ74" s="215">
        <v>0</v>
      </c>
      <c r="BR74" s="216">
        <v>0</v>
      </c>
      <c r="BS74" s="227">
        <v>0</v>
      </c>
      <c r="BT74" s="227">
        <v>0</v>
      </c>
      <c r="BU74" s="227">
        <v>20</v>
      </c>
      <c r="BV74" s="227">
        <v>0</v>
      </c>
      <c r="BW74" s="215">
        <v>0</v>
      </c>
      <c r="BX74" s="1016">
        <v>0</v>
      </c>
      <c r="BY74" s="1023">
        <v>0</v>
      </c>
      <c r="BZ74" s="1023">
        <v>0</v>
      </c>
      <c r="CA74" s="1023">
        <v>13</v>
      </c>
      <c r="CB74" s="1023">
        <v>1</v>
      </c>
      <c r="CC74" s="1027">
        <v>0</v>
      </c>
      <c r="CD74" s="1016">
        <v>0</v>
      </c>
      <c r="CE74" s="1023">
        <v>0</v>
      </c>
      <c r="CF74" s="1023">
        <v>0</v>
      </c>
      <c r="CG74" s="1023">
        <v>16</v>
      </c>
      <c r="CH74" s="1023">
        <v>3</v>
      </c>
      <c r="CI74" s="1027">
        <v>0</v>
      </c>
      <c r="CJ74" s="211"/>
      <c r="CK74" s="196"/>
      <c r="CL74" s="196"/>
      <c r="CM74" s="196"/>
      <c r="CN74" s="196"/>
      <c r="CO74" s="212"/>
      <c r="CP74" s="211"/>
      <c r="CQ74" s="196"/>
      <c r="CR74" s="196"/>
      <c r="CS74" s="196"/>
      <c r="CT74" s="196"/>
      <c r="CU74" s="212"/>
      <c r="CV74" s="211"/>
      <c r="CW74" s="196"/>
      <c r="CX74" s="196"/>
      <c r="CY74" s="196"/>
      <c r="CZ74" s="196"/>
      <c r="DA74" s="212"/>
      <c r="DB74" s="211"/>
      <c r="DC74" s="196"/>
      <c r="DD74" s="196"/>
      <c r="DE74" s="196"/>
      <c r="DF74" s="196"/>
      <c r="DG74" s="212"/>
      <c r="DH74" s="211"/>
      <c r="DI74" s="196"/>
      <c r="DJ74" s="196"/>
      <c r="DK74" s="196"/>
      <c r="DL74" s="196"/>
      <c r="DM74" s="212"/>
      <c r="DN74" s="211"/>
      <c r="DO74" s="196"/>
      <c r="DP74" s="196"/>
      <c r="DQ74" s="196"/>
      <c r="DR74" s="196"/>
      <c r="DS74" s="212"/>
      <c r="DT74" s="211"/>
      <c r="DU74" s="196"/>
      <c r="DV74" s="196"/>
      <c r="DW74" s="196"/>
      <c r="DX74" s="196"/>
      <c r="DY74" s="212"/>
      <c r="DZ74" s="211"/>
      <c r="EA74" s="196"/>
      <c r="EB74" s="196"/>
      <c r="EC74" s="196"/>
      <c r="ED74" s="196"/>
      <c r="EE74" s="212"/>
      <c r="EF74" s="135">
        <f t="shared" si="2"/>
        <v>12</v>
      </c>
      <c r="EG74" s="135"/>
      <c r="EH74" s="581">
        <v>12</v>
      </c>
      <c r="EI74" s="601">
        <f t="shared" si="3"/>
        <v>2.6666666666666665</v>
      </c>
      <c r="EJ74" s="602">
        <f t="shared" si="4"/>
        <v>16.2</v>
      </c>
      <c r="EK74" s="603">
        <f t="shared" si="10"/>
        <v>8.4016194331983804E-2</v>
      </c>
      <c r="EL74" s="603">
        <f t="shared" si="10"/>
        <v>0.91598380566801618</v>
      </c>
      <c r="EM74" s="602">
        <f t="shared" si="11"/>
        <v>18.866666666666667</v>
      </c>
      <c r="EN74" s="581">
        <v>12</v>
      </c>
      <c r="EO74" s="602">
        <f t="shared" si="5"/>
        <v>1.5</v>
      </c>
      <c r="EP74" s="602">
        <f t="shared" si="6"/>
        <v>16.75</v>
      </c>
      <c r="EQ74" s="603">
        <f t="shared" si="16"/>
        <v>3.9230769230769236E-2</v>
      </c>
      <c r="ER74" s="603">
        <f t="shared" si="12"/>
        <v>0.96076923076923082</v>
      </c>
      <c r="ES74" s="602">
        <f t="shared" si="13"/>
        <v>18.25</v>
      </c>
      <c r="ET74" s="519">
        <f t="shared" si="7"/>
        <v>12</v>
      </c>
      <c r="EU74" s="602">
        <f t="shared" si="8"/>
        <v>5</v>
      </c>
      <c r="EV74" s="602">
        <f t="shared" si="9"/>
        <v>14</v>
      </c>
      <c r="EW74" s="603">
        <f t="shared" si="14"/>
        <v>0.26315789473684209</v>
      </c>
      <c r="EX74" s="603">
        <f t="shared" si="14"/>
        <v>0.73684210526315785</v>
      </c>
      <c r="EY74" s="602">
        <f t="shared" si="15"/>
        <v>19</v>
      </c>
      <c r="EZ74" s="580"/>
      <c r="FA74" s="580"/>
      <c r="FB74" s="580"/>
      <c r="FC74" s="580"/>
      <c r="FD74" s="580"/>
      <c r="FE74" s="580"/>
      <c r="FF74" s="580"/>
      <c r="FG74" s="580"/>
      <c r="FH74" s="580"/>
    </row>
    <row r="75" spans="1:164" x14ac:dyDescent="0.2">
      <c r="A75" s="180">
        <v>13</v>
      </c>
      <c r="B75" s="146"/>
      <c r="C75" s="131"/>
      <c r="D75" s="146"/>
      <c r="E75" s="131"/>
      <c r="F75" s="124"/>
      <c r="G75" s="124"/>
      <c r="H75" s="146"/>
      <c r="I75" s="131"/>
      <c r="J75" s="124"/>
      <c r="K75" s="124"/>
      <c r="L75" s="146"/>
      <c r="M75" s="131"/>
      <c r="N75" s="124"/>
      <c r="O75" s="124"/>
      <c r="P75" s="146"/>
      <c r="Q75" s="131"/>
      <c r="R75" s="124"/>
      <c r="S75" s="124"/>
      <c r="T75" s="146"/>
      <c r="U75" s="131"/>
      <c r="V75" s="124"/>
      <c r="W75" s="124"/>
      <c r="X75" s="146"/>
      <c r="Y75" s="131"/>
      <c r="Z75" s="124"/>
      <c r="AA75" s="124"/>
      <c r="AB75" s="146"/>
      <c r="AC75" s="131"/>
      <c r="AD75" s="124"/>
      <c r="AE75" s="124"/>
      <c r="AF75" s="146"/>
      <c r="AG75" s="135"/>
      <c r="AH75" s="146"/>
      <c r="AI75" s="141"/>
      <c r="AJ75" s="135"/>
      <c r="AK75" s="131"/>
      <c r="AN75" s="146"/>
      <c r="AO75" s="131"/>
      <c r="AP75" s="181">
        <v>3</v>
      </c>
      <c r="AQ75" s="181">
        <v>16</v>
      </c>
      <c r="AR75" s="146"/>
      <c r="AS75" s="131"/>
      <c r="AV75" s="146"/>
      <c r="AW75" s="131"/>
      <c r="AZ75" s="146"/>
      <c r="BA75" s="183">
        <v>1</v>
      </c>
      <c r="BB75" s="146"/>
      <c r="BC75" s="131"/>
      <c r="BD75" s="146"/>
      <c r="BE75" s="131"/>
      <c r="BF75" s="227">
        <v>0</v>
      </c>
      <c r="BG75" s="227">
        <v>0</v>
      </c>
      <c r="BH75" s="227">
        <v>0</v>
      </c>
      <c r="BI75" s="227">
        <v>41</v>
      </c>
      <c r="BJ75" s="227">
        <v>2</v>
      </c>
      <c r="BK75" s="227">
        <v>0</v>
      </c>
      <c r="BL75" s="216">
        <v>1</v>
      </c>
      <c r="BM75" s="227">
        <v>0</v>
      </c>
      <c r="BN75" s="227">
        <v>0</v>
      </c>
      <c r="BO75" s="227">
        <v>9</v>
      </c>
      <c r="BP75" s="227">
        <v>1</v>
      </c>
      <c r="BQ75" s="215">
        <v>0</v>
      </c>
      <c r="BR75" s="216">
        <v>0</v>
      </c>
      <c r="BS75" s="227">
        <v>0</v>
      </c>
      <c r="BT75" s="227">
        <v>0</v>
      </c>
      <c r="BU75" s="227">
        <v>26</v>
      </c>
      <c r="BV75" s="227">
        <v>0</v>
      </c>
      <c r="BW75" s="215">
        <v>0</v>
      </c>
      <c r="BX75" s="1016">
        <v>0</v>
      </c>
      <c r="BY75" s="1023">
        <v>0</v>
      </c>
      <c r="BZ75" s="1023">
        <v>0</v>
      </c>
      <c r="CA75" s="1023">
        <v>6</v>
      </c>
      <c r="CB75" s="1023">
        <v>1</v>
      </c>
      <c r="CC75" s="1027">
        <v>0</v>
      </c>
      <c r="CD75" s="1016">
        <v>0</v>
      </c>
      <c r="CE75" s="1023">
        <v>0</v>
      </c>
      <c r="CF75" s="1023">
        <v>0</v>
      </c>
      <c r="CG75" s="1023">
        <v>18</v>
      </c>
      <c r="CH75" s="1023">
        <v>0</v>
      </c>
      <c r="CI75" s="1027">
        <v>0</v>
      </c>
      <c r="CJ75" s="211"/>
      <c r="CK75" s="196"/>
      <c r="CL75" s="196"/>
      <c r="CM75" s="196"/>
      <c r="CN75" s="196"/>
      <c r="CO75" s="212"/>
      <c r="CP75" s="211"/>
      <c r="CQ75" s="196"/>
      <c r="CR75" s="196"/>
      <c r="CS75" s="196"/>
      <c r="CT75" s="196"/>
      <c r="CU75" s="212"/>
      <c r="CV75" s="211"/>
      <c r="CW75" s="196"/>
      <c r="CX75" s="196"/>
      <c r="CY75" s="196"/>
      <c r="CZ75" s="196"/>
      <c r="DA75" s="212"/>
      <c r="DB75" s="211"/>
      <c r="DC75" s="196"/>
      <c r="DD75" s="196"/>
      <c r="DE75" s="196"/>
      <c r="DF75" s="196"/>
      <c r="DG75" s="212"/>
      <c r="DH75" s="211"/>
      <c r="DI75" s="196"/>
      <c r="DJ75" s="196"/>
      <c r="DK75" s="196"/>
      <c r="DL75" s="196"/>
      <c r="DM75" s="212"/>
      <c r="DN75" s="211"/>
      <c r="DO75" s="196"/>
      <c r="DP75" s="196"/>
      <c r="DQ75" s="196"/>
      <c r="DR75" s="196"/>
      <c r="DS75" s="212"/>
      <c r="DT75" s="211"/>
      <c r="DU75" s="196"/>
      <c r="DV75" s="196"/>
      <c r="DW75" s="196"/>
      <c r="DX75" s="196"/>
      <c r="DY75" s="212"/>
      <c r="DZ75" s="211"/>
      <c r="EA75" s="196"/>
      <c r="EB75" s="196"/>
      <c r="EC75" s="196"/>
      <c r="ED75" s="196"/>
      <c r="EE75" s="212"/>
      <c r="EF75" s="135">
        <f t="shared" si="2"/>
        <v>13</v>
      </c>
      <c r="EG75" s="135"/>
      <c r="EH75" s="581">
        <v>13</v>
      </c>
      <c r="EI75" s="601">
        <f t="shared" si="3"/>
        <v>3</v>
      </c>
      <c r="EJ75" s="602">
        <f t="shared" si="4"/>
        <v>8.5</v>
      </c>
      <c r="EK75" s="603">
        <f t="shared" si="10"/>
        <v>7.8947368421052627E-2</v>
      </c>
      <c r="EL75" s="603">
        <f t="shared" si="10"/>
        <v>0.92105263157894735</v>
      </c>
      <c r="EM75" s="602">
        <f t="shared" si="11"/>
        <v>11.5</v>
      </c>
      <c r="EN75" s="581">
        <v>13</v>
      </c>
      <c r="EO75" s="602">
        <f t="shared" si="5"/>
        <v>3</v>
      </c>
      <c r="EP75" s="602">
        <f t="shared" si="6"/>
        <v>8.5</v>
      </c>
      <c r="EQ75" s="603">
        <f t="shared" si="16"/>
        <v>7.8947368421052627E-2</v>
      </c>
      <c r="ER75" s="603">
        <f t="shared" si="12"/>
        <v>0.92105263157894735</v>
      </c>
      <c r="ES75" s="602">
        <f t="shared" si="13"/>
        <v>11.5</v>
      </c>
      <c r="ET75" s="519">
        <f t="shared" si="7"/>
        <v>13</v>
      </c>
      <c r="EU75" s="602">
        <v>0</v>
      </c>
      <c r="EV75" s="602">
        <v>0</v>
      </c>
      <c r="EW75" s="603">
        <f t="shared" si="14"/>
        <v>0</v>
      </c>
      <c r="EX75" s="603">
        <f t="shared" si="14"/>
        <v>0</v>
      </c>
      <c r="EY75" s="602">
        <f t="shared" si="15"/>
        <v>0</v>
      </c>
      <c r="EZ75" s="580"/>
      <c r="FA75" s="580"/>
      <c r="FB75" s="580"/>
      <c r="FC75" s="580"/>
      <c r="FD75" s="580"/>
      <c r="FE75" s="580"/>
      <c r="FF75" s="580"/>
      <c r="FG75" s="580"/>
      <c r="FH75" s="580"/>
    </row>
    <row r="76" spans="1:164" x14ac:dyDescent="0.2">
      <c r="A76" s="180">
        <v>14</v>
      </c>
      <c r="B76" s="146"/>
      <c r="C76" s="131"/>
      <c r="D76" s="146"/>
      <c r="E76" s="131"/>
      <c r="F76" s="124"/>
      <c r="G76" s="124"/>
      <c r="H76" s="146"/>
      <c r="I76" s="131"/>
      <c r="J76" s="124"/>
      <c r="K76" s="124"/>
      <c r="L76" s="146"/>
      <c r="M76" s="131"/>
      <c r="N76" s="124"/>
      <c r="O76" s="124"/>
      <c r="P76" s="146"/>
      <c r="Q76" s="131"/>
      <c r="R76" s="124"/>
      <c r="S76" s="124"/>
      <c r="T76" s="146"/>
      <c r="U76" s="131"/>
      <c r="V76" s="124"/>
      <c r="W76" s="124"/>
      <c r="X76" s="146"/>
      <c r="Y76" s="131"/>
      <c r="Z76" s="124"/>
      <c r="AA76" s="124"/>
      <c r="AB76" s="146"/>
      <c r="AC76" s="131"/>
      <c r="AD76" s="124"/>
      <c r="AE76" s="124"/>
      <c r="AF76" s="146"/>
      <c r="AG76" s="135"/>
      <c r="AH76" s="146"/>
      <c r="AI76" s="141"/>
      <c r="AJ76" s="135"/>
      <c r="AK76" s="131"/>
      <c r="AN76" s="146"/>
      <c r="AO76" s="131"/>
      <c r="AQ76" s="181">
        <v>32</v>
      </c>
      <c r="AR76" s="146"/>
      <c r="AS76" s="131"/>
      <c r="AV76" s="146"/>
      <c r="AW76" s="183">
        <v>42</v>
      </c>
      <c r="AZ76" s="146"/>
      <c r="BA76" s="183">
        <v>3</v>
      </c>
      <c r="BB76" s="146"/>
      <c r="BC76" s="131"/>
      <c r="BD76" s="146"/>
      <c r="BE76" s="131"/>
      <c r="BF76" s="146"/>
      <c r="BG76" s="135"/>
      <c r="BH76" s="135"/>
      <c r="BI76" s="135"/>
      <c r="BJ76" s="135"/>
      <c r="BK76" s="135"/>
      <c r="BL76" s="182">
        <v>0</v>
      </c>
      <c r="BM76" s="188">
        <v>0</v>
      </c>
      <c r="BN76" s="188">
        <v>0</v>
      </c>
      <c r="BO76" s="188">
        <v>6</v>
      </c>
      <c r="BP76" s="188">
        <v>0</v>
      </c>
      <c r="BQ76" s="183">
        <v>0</v>
      </c>
      <c r="BR76" s="182">
        <v>0</v>
      </c>
      <c r="BS76" s="188">
        <v>0</v>
      </c>
      <c r="BT76" s="188">
        <v>0</v>
      </c>
      <c r="BU76" s="188">
        <v>20</v>
      </c>
      <c r="BV76" s="188">
        <v>1</v>
      </c>
      <c r="BW76" s="183">
        <v>0</v>
      </c>
      <c r="BX76" s="1024">
        <v>0</v>
      </c>
      <c r="BY76" s="1025">
        <v>0</v>
      </c>
      <c r="BZ76" s="1025">
        <v>0</v>
      </c>
      <c r="CA76" s="1025">
        <v>5</v>
      </c>
      <c r="CB76" s="1025">
        <v>1</v>
      </c>
      <c r="CC76" s="1026">
        <v>0</v>
      </c>
      <c r="CD76" s="1024">
        <v>0</v>
      </c>
      <c r="CE76" s="1025">
        <v>0</v>
      </c>
      <c r="CF76" s="1025">
        <v>0</v>
      </c>
      <c r="CG76" s="1025">
        <v>19</v>
      </c>
      <c r="CH76" s="1025">
        <v>0</v>
      </c>
      <c r="CI76" s="1026">
        <v>0</v>
      </c>
      <c r="CJ76" s="146"/>
      <c r="CK76" s="135"/>
      <c r="CL76" s="135"/>
      <c r="CM76" s="135"/>
      <c r="CN76" s="135"/>
      <c r="CO76" s="131"/>
      <c r="CP76" s="146"/>
      <c r="CQ76" s="135"/>
      <c r="CR76" s="135"/>
      <c r="CS76" s="135"/>
      <c r="CT76" s="135"/>
      <c r="CU76" s="131"/>
      <c r="CV76" s="146"/>
      <c r="CW76" s="135"/>
      <c r="CX76" s="135"/>
      <c r="CY76" s="135"/>
      <c r="CZ76" s="135"/>
      <c r="DA76" s="131"/>
      <c r="DB76" s="146"/>
      <c r="DC76" s="135"/>
      <c r="DD76" s="135"/>
      <c r="DE76" s="135"/>
      <c r="DF76" s="135"/>
      <c r="DG76" s="131"/>
      <c r="DH76" s="146"/>
      <c r="DI76" s="135"/>
      <c r="DJ76" s="135"/>
      <c r="DK76" s="135"/>
      <c r="DL76" s="135"/>
      <c r="DM76" s="131"/>
      <c r="DN76" s="146"/>
      <c r="DO76" s="135"/>
      <c r="DP76" s="135"/>
      <c r="DQ76" s="135"/>
      <c r="DR76" s="135"/>
      <c r="DS76" s="131"/>
      <c r="DT76" s="146"/>
      <c r="DU76" s="135"/>
      <c r="DV76" s="135"/>
      <c r="DW76" s="135"/>
      <c r="DX76" s="135"/>
      <c r="DY76" s="131"/>
      <c r="DZ76" s="146"/>
      <c r="EA76" s="135"/>
      <c r="EB76" s="135"/>
      <c r="EC76" s="135"/>
      <c r="ED76" s="135"/>
      <c r="EE76" s="131"/>
      <c r="EF76" s="135">
        <f t="shared" si="2"/>
        <v>14</v>
      </c>
      <c r="EG76" s="135"/>
      <c r="EH76" s="581">
        <v>14</v>
      </c>
      <c r="EI76" s="601">
        <v>0</v>
      </c>
      <c r="EJ76" s="602">
        <f>AVERAGE(E76,G76,I76,K76,M76,O76,Q76,S76,U76,W76,Y76,AA76,AC76,AE76,AG76,AI76,AK76,AM76,AO76,AQ76,AS76,AU76,AW76,AY76,BA76,BC76,BE76)</f>
        <v>25.666666666666668</v>
      </c>
      <c r="EK76" s="603">
        <f t="shared" si="10"/>
        <v>0</v>
      </c>
      <c r="EL76" s="603">
        <f t="shared" si="10"/>
        <v>1</v>
      </c>
      <c r="EM76" s="602">
        <f t="shared" si="11"/>
        <v>25.666666666666668</v>
      </c>
      <c r="EN76" s="581">
        <v>14</v>
      </c>
      <c r="EO76" s="602">
        <v>0</v>
      </c>
      <c r="EP76" s="602">
        <f>AVERAGE(AK76,AM76,AO76,AQ76,AS76,AU76,AW76,AY76,BA76,BC76,BE76)</f>
        <v>25.666666666666668</v>
      </c>
      <c r="EQ76" s="603">
        <f t="shared" si="16"/>
        <v>0</v>
      </c>
      <c r="ER76" s="603">
        <f t="shared" si="12"/>
        <v>1</v>
      </c>
      <c r="ES76" s="602">
        <f t="shared" si="13"/>
        <v>25.666666666666668</v>
      </c>
      <c r="ET76" s="519">
        <f t="shared" si="7"/>
        <v>14</v>
      </c>
      <c r="EU76" s="602">
        <v>0</v>
      </c>
      <c r="EV76" s="602">
        <v>0</v>
      </c>
      <c r="EW76" s="603">
        <f t="shared" si="14"/>
        <v>0</v>
      </c>
      <c r="EX76" s="603">
        <f t="shared" si="14"/>
        <v>0</v>
      </c>
      <c r="EY76" s="602">
        <f t="shared" si="15"/>
        <v>0</v>
      </c>
      <c r="EZ76" s="580"/>
      <c r="FA76" s="580"/>
      <c r="FB76" s="580"/>
      <c r="FC76" s="580"/>
      <c r="FD76" s="580"/>
      <c r="FE76" s="580"/>
      <c r="FF76" s="580"/>
      <c r="FG76" s="580"/>
      <c r="FH76" s="580"/>
    </row>
    <row r="77" spans="1:164" x14ac:dyDescent="0.2">
      <c r="A77" s="180">
        <v>15</v>
      </c>
      <c r="B77" s="146"/>
      <c r="C77" s="131"/>
      <c r="D77" s="146"/>
      <c r="E77" s="131"/>
      <c r="F77" s="124"/>
      <c r="G77" s="124"/>
      <c r="H77" s="146"/>
      <c r="I77" s="131"/>
      <c r="J77" s="124"/>
      <c r="K77" s="124"/>
      <c r="L77" s="146"/>
      <c r="M77" s="131"/>
      <c r="N77" s="124"/>
      <c r="O77" s="124"/>
      <c r="P77" s="146"/>
      <c r="Q77" s="131"/>
      <c r="R77" s="124"/>
      <c r="S77" s="124"/>
      <c r="T77" s="146"/>
      <c r="U77" s="131"/>
      <c r="V77" s="124"/>
      <c r="W77" s="124"/>
      <c r="X77" s="146"/>
      <c r="Y77" s="131"/>
      <c r="Z77" s="124"/>
      <c r="AA77" s="124"/>
      <c r="AB77" s="146"/>
      <c r="AC77" s="131"/>
      <c r="AD77" s="124"/>
      <c r="AE77" s="124"/>
      <c r="AF77" s="146"/>
      <c r="AG77" s="135"/>
      <c r="AH77" s="146"/>
      <c r="AI77" s="141"/>
      <c r="AJ77" s="135"/>
      <c r="AK77" s="131"/>
      <c r="AN77" s="146"/>
      <c r="AO77" s="131"/>
      <c r="AR77" s="146"/>
      <c r="AS77" s="131"/>
      <c r="AU77" s="181">
        <v>15</v>
      </c>
      <c r="AV77" s="182">
        <v>2</v>
      </c>
      <c r="AW77" s="183">
        <v>52</v>
      </c>
      <c r="AZ77" s="182">
        <v>1</v>
      </c>
      <c r="BA77" s="183">
        <v>12</v>
      </c>
      <c r="BB77" s="146"/>
      <c r="BC77" s="131"/>
      <c r="BD77" s="146"/>
      <c r="BE77" s="131"/>
      <c r="BF77" s="146"/>
      <c r="BG77" s="135"/>
      <c r="BH77" s="135"/>
      <c r="BI77" s="135"/>
      <c r="BJ77" s="135"/>
      <c r="BK77" s="135"/>
      <c r="BL77" s="182">
        <v>0</v>
      </c>
      <c r="BM77" s="188">
        <v>0</v>
      </c>
      <c r="BN77" s="188">
        <v>0</v>
      </c>
      <c r="BO77" s="188">
        <v>2</v>
      </c>
      <c r="BP77" s="188">
        <v>0</v>
      </c>
      <c r="BQ77" s="183">
        <v>0</v>
      </c>
      <c r="BR77" s="182">
        <v>0</v>
      </c>
      <c r="BS77" s="188">
        <v>0</v>
      </c>
      <c r="BT77" s="188">
        <v>0</v>
      </c>
      <c r="BU77" s="188">
        <v>13</v>
      </c>
      <c r="BV77" s="188">
        <v>2</v>
      </c>
      <c r="BW77" s="183">
        <v>0</v>
      </c>
      <c r="BX77" s="1024">
        <v>0</v>
      </c>
      <c r="BY77" s="1025">
        <v>0</v>
      </c>
      <c r="BZ77" s="1025">
        <v>0</v>
      </c>
      <c r="CA77" s="1025">
        <v>10</v>
      </c>
      <c r="CB77" s="1025">
        <v>1</v>
      </c>
      <c r="CC77" s="1026">
        <v>0</v>
      </c>
      <c r="CD77" s="1024">
        <v>0</v>
      </c>
      <c r="CE77" s="1025">
        <v>0</v>
      </c>
      <c r="CF77" s="1025">
        <v>0</v>
      </c>
      <c r="CG77" s="1025">
        <v>26</v>
      </c>
      <c r="CH77" s="1025">
        <v>7</v>
      </c>
      <c r="CI77" s="1026">
        <v>0</v>
      </c>
      <c r="CJ77" s="146"/>
      <c r="CK77" s="135"/>
      <c r="CL77" s="135"/>
      <c r="CM77" s="135"/>
      <c r="CN77" s="135"/>
      <c r="CO77" s="131"/>
      <c r="CP77" s="146"/>
      <c r="CQ77" s="135"/>
      <c r="CR77" s="135"/>
      <c r="CS77" s="135"/>
      <c r="CT77" s="135"/>
      <c r="CU77" s="131"/>
      <c r="CV77" s="146"/>
      <c r="CW77" s="135"/>
      <c r="CX77" s="135"/>
      <c r="CY77" s="135"/>
      <c r="CZ77" s="135"/>
      <c r="DA77" s="131"/>
      <c r="DB77" s="146"/>
      <c r="DC77" s="135"/>
      <c r="DD77" s="135"/>
      <c r="DE77" s="135"/>
      <c r="DF77" s="135"/>
      <c r="DG77" s="131"/>
      <c r="DH77" s="146"/>
      <c r="DI77" s="135"/>
      <c r="DJ77" s="135"/>
      <c r="DK77" s="135"/>
      <c r="DL77" s="135"/>
      <c r="DM77" s="131"/>
      <c r="DN77" s="146"/>
      <c r="DO77" s="135"/>
      <c r="DP77" s="135"/>
      <c r="DQ77" s="135"/>
      <c r="DR77" s="135"/>
      <c r="DS77" s="131"/>
      <c r="DT77" s="146"/>
      <c r="DU77" s="135"/>
      <c r="DV77" s="135"/>
      <c r="DW77" s="135"/>
      <c r="DX77" s="135"/>
      <c r="DY77" s="131"/>
      <c r="DZ77" s="146"/>
      <c r="EA77" s="135"/>
      <c r="EB77" s="135"/>
      <c r="EC77" s="135"/>
      <c r="ED77" s="135"/>
      <c r="EE77" s="131"/>
      <c r="EF77" s="135">
        <f t="shared" si="2"/>
        <v>15</v>
      </c>
      <c r="EG77" s="135"/>
      <c r="EH77" s="581">
        <v>15</v>
      </c>
      <c r="EI77" s="601">
        <f>AVERAGE(D77,F77,H77,J77,L77,N77,P77,R77,T77,V77,X77,Z77,AB77,AD77,AF77,AH77,AJ77,AL77,AN77,AP77,AR77,AT77,AV77,AX77,AZ77,BB77,BD77)</f>
        <v>1.5</v>
      </c>
      <c r="EJ77" s="602">
        <f>AVERAGE(E77,G77,I77,K77,M77,O77,Q77,S77,U77,W77,Y77,AA77,AC77,AE77,AG77,AI77,AK77,AM77,AO77,AQ77,AS77,AU77,AW77,AY77,BA77,BC77,BE77)</f>
        <v>26.333333333333332</v>
      </c>
      <c r="EK77" s="603">
        <f t="shared" si="10"/>
        <v>3.7986704653371318E-2</v>
      </c>
      <c r="EL77" s="603">
        <f t="shared" si="10"/>
        <v>0.96201329534662872</v>
      </c>
      <c r="EM77" s="602">
        <f t="shared" si="11"/>
        <v>27.833333333333332</v>
      </c>
      <c r="EN77" s="581">
        <v>15</v>
      </c>
      <c r="EO77" s="602">
        <f>AVERAGE(AJ77,AL77,AN77,AP77,AR77,AT77,AV77,AX77,AZ77,BB77,BD77)</f>
        <v>1.5</v>
      </c>
      <c r="EP77" s="602">
        <f>AVERAGE(AK77,AM77,AO77,AQ77,AS77,AU77,AW77,AY77,BA77,BC77,BE77)</f>
        <v>26.333333333333332</v>
      </c>
      <c r="EQ77" s="603">
        <f t="shared" si="16"/>
        <v>3.7986704653371318E-2</v>
      </c>
      <c r="ER77" s="603">
        <f t="shared" si="12"/>
        <v>0.96201329534662872</v>
      </c>
      <c r="ES77" s="602">
        <f t="shared" si="13"/>
        <v>27.833333333333332</v>
      </c>
      <c r="ET77" s="519">
        <f t="shared" si="7"/>
        <v>15</v>
      </c>
      <c r="EU77" s="602">
        <v>0</v>
      </c>
      <c r="EV77" s="602">
        <v>0</v>
      </c>
      <c r="EW77" s="603">
        <f t="shared" si="14"/>
        <v>0</v>
      </c>
      <c r="EX77" s="603">
        <f t="shared" si="14"/>
        <v>0</v>
      </c>
      <c r="EY77" s="602">
        <f t="shared" si="15"/>
        <v>0</v>
      </c>
      <c r="EZ77" s="580"/>
      <c r="FA77" s="580"/>
      <c r="FB77" s="580"/>
      <c r="FC77" s="580"/>
      <c r="FD77" s="580"/>
      <c r="FE77" s="580"/>
      <c r="FF77" s="580"/>
      <c r="FG77" s="580"/>
      <c r="FH77" s="580"/>
    </row>
    <row r="78" spans="1:164" x14ac:dyDescent="0.2">
      <c r="A78" s="180">
        <v>16</v>
      </c>
      <c r="B78" s="146"/>
      <c r="C78" s="131"/>
      <c r="D78" s="146"/>
      <c r="E78" s="131"/>
      <c r="F78" s="124"/>
      <c r="G78" s="124"/>
      <c r="H78" s="146"/>
      <c r="I78" s="131"/>
      <c r="J78" s="124"/>
      <c r="K78" s="124"/>
      <c r="L78" s="146"/>
      <c r="M78" s="131"/>
      <c r="N78" s="124"/>
      <c r="O78" s="124"/>
      <c r="P78" s="146"/>
      <c r="Q78" s="131"/>
      <c r="R78" s="124"/>
      <c r="S78" s="124"/>
      <c r="T78" s="146"/>
      <c r="U78" s="183">
        <v>9</v>
      </c>
      <c r="V78" s="124"/>
      <c r="W78" s="124"/>
      <c r="X78" s="146"/>
      <c r="Y78" s="131"/>
      <c r="Z78" s="124"/>
      <c r="AA78" s="124"/>
      <c r="AB78" s="146"/>
      <c r="AC78" s="131"/>
      <c r="AD78" s="124"/>
      <c r="AE78" s="124"/>
      <c r="AF78" s="146"/>
      <c r="AG78" s="135"/>
      <c r="AH78" s="146"/>
      <c r="AI78" s="141"/>
      <c r="AJ78" s="135"/>
      <c r="AK78" s="131"/>
      <c r="AN78" s="146"/>
      <c r="AO78" s="131"/>
      <c r="AR78" s="146"/>
      <c r="AS78" s="183">
        <v>40</v>
      </c>
      <c r="AV78" s="146"/>
      <c r="AW78" s="131"/>
      <c r="AZ78" s="146"/>
      <c r="BA78" s="183">
        <v>1</v>
      </c>
      <c r="BB78" s="146"/>
      <c r="BC78" s="131"/>
      <c r="BD78" s="146"/>
      <c r="BE78" s="183">
        <f>5+56</f>
        <v>61</v>
      </c>
      <c r="BF78" s="146"/>
      <c r="BG78" s="135"/>
      <c r="BH78" s="135"/>
      <c r="BI78" s="135"/>
      <c r="BJ78" s="135"/>
      <c r="BK78" s="135"/>
      <c r="BL78" s="182">
        <v>0</v>
      </c>
      <c r="BM78" s="188">
        <v>0</v>
      </c>
      <c r="BN78" s="188">
        <v>0</v>
      </c>
      <c r="BO78" s="188">
        <v>13</v>
      </c>
      <c r="BP78" s="188">
        <v>0</v>
      </c>
      <c r="BQ78" s="183">
        <v>2</v>
      </c>
      <c r="BR78" s="182">
        <v>0</v>
      </c>
      <c r="BS78" s="188">
        <v>0</v>
      </c>
      <c r="BT78" s="188">
        <v>0</v>
      </c>
      <c r="BU78" s="188">
        <v>12</v>
      </c>
      <c r="BV78" s="188">
        <v>1</v>
      </c>
      <c r="BW78" s="183">
        <v>0</v>
      </c>
      <c r="BX78" s="1024">
        <v>0</v>
      </c>
      <c r="BY78" s="1025">
        <v>0</v>
      </c>
      <c r="BZ78" s="1025">
        <v>0</v>
      </c>
      <c r="CA78" s="1025">
        <v>8</v>
      </c>
      <c r="CB78" s="1025">
        <v>1</v>
      </c>
      <c r="CC78" s="1026">
        <v>0</v>
      </c>
      <c r="CD78" s="1024">
        <v>0</v>
      </c>
      <c r="CE78" s="1025">
        <v>0</v>
      </c>
      <c r="CF78" s="1025">
        <v>0</v>
      </c>
      <c r="CG78" s="1025">
        <v>12</v>
      </c>
      <c r="CH78" s="1025">
        <v>1</v>
      </c>
      <c r="CI78" s="1026">
        <v>0</v>
      </c>
      <c r="CJ78" s="146"/>
      <c r="CK78" s="135"/>
      <c r="CL78" s="135"/>
      <c r="CM78" s="135"/>
      <c r="CN78" s="135"/>
      <c r="CO78" s="131"/>
      <c r="CP78" s="146"/>
      <c r="CQ78" s="135"/>
      <c r="CR78" s="135"/>
      <c r="CS78" s="135"/>
      <c r="CT78" s="135"/>
      <c r="CU78" s="131"/>
      <c r="CV78" s="146"/>
      <c r="CW78" s="135"/>
      <c r="CX78" s="135"/>
      <c r="CY78" s="135"/>
      <c r="CZ78" s="135"/>
      <c r="DA78" s="131"/>
      <c r="DB78" s="146"/>
      <c r="DC78" s="135"/>
      <c r="DD78" s="135"/>
      <c r="DE78" s="135"/>
      <c r="DF78" s="135"/>
      <c r="DG78" s="131"/>
      <c r="DH78" s="146"/>
      <c r="DI78" s="135"/>
      <c r="DJ78" s="135"/>
      <c r="DK78" s="135"/>
      <c r="DL78" s="135"/>
      <c r="DM78" s="131"/>
      <c r="DN78" s="146"/>
      <c r="DO78" s="135"/>
      <c r="DP78" s="135"/>
      <c r="DQ78" s="135"/>
      <c r="DR78" s="135"/>
      <c r="DS78" s="131"/>
      <c r="DT78" s="146"/>
      <c r="DU78" s="135"/>
      <c r="DV78" s="135"/>
      <c r="DW78" s="135"/>
      <c r="DX78" s="135"/>
      <c r="DY78" s="131"/>
      <c r="DZ78" s="146"/>
      <c r="EA78" s="135"/>
      <c r="EB78" s="135"/>
      <c r="EC78" s="135"/>
      <c r="ED78" s="135"/>
      <c r="EE78" s="131"/>
      <c r="EF78" s="135">
        <f t="shared" si="2"/>
        <v>16</v>
      </c>
      <c r="EG78" s="135"/>
      <c r="EH78" s="581">
        <v>16</v>
      </c>
      <c r="EI78" s="601">
        <v>0</v>
      </c>
      <c r="EJ78" s="602">
        <f>AVERAGE(E78,G78,I78,K78,M78,O78,Q78,S78,U78,W78,Y78,AA78,AC78,AE78,AG78,AI78,AK78,AM78,AO78,AQ78,AS78,AU78,AW78,AY78,BA78,BC78,BE78)</f>
        <v>27.75</v>
      </c>
      <c r="EK78" s="603">
        <f t="shared" si="10"/>
        <v>0</v>
      </c>
      <c r="EL78" s="603">
        <f t="shared" si="10"/>
        <v>1</v>
      </c>
      <c r="EM78" s="602">
        <f t="shared" si="11"/>
        <v>27.75</v>
      </c>
      <c r="EN78" s="581">
        <v>16</v>
      </c>
      <c r="EO78" s="602">
        <v>0</v>
      </c>
      <c r="EP78" s="602">
        <f>AVERAGE(AK78,AM78,AO78,AQ78,AS78,AU78,AW78,AY78,BA78,BC78,BE78)</f>
        <v>34</v>
      </c>
      <c r="EQ78" s="603">
        <f t="shared" si="16"/>
        <v>0</v>
      </c>
      <c r="ER78" s="603">
        <f t="shared" si="12"/>
        <v>1</v>
      </c>
      <c r="ES78" s="602">
        <f t="shared" si="13"/>
        <v>34</v>
      </c>
      <c r="ET78" s="519">
        <f t="shared" si="7"/>
        <v>16</v>
      </c>
      <c r="EU78" s="602">
        <v>0</v>
      </c>
      <c r="EV78" s="602">
        <f>AVERAGE(E78,G78,I78,K78,M78,O78,Q78,S78,U78,W78,Y78,AA78,AC78,AE78,AG78,AI78)</f>
        <v>9</v>
      </c>
      <c r="EW78" s="603">
        <f t="shared" si="14"/>
        <v>0</v>
      </c>
      <c r="EX78" s="603">
        <f t="shared" si="14"/>
        <v>1</v>
      </c>
      <c r="EY78" s="602">
        <f t="shared" si="15"/>
        <v>9</v>
      </c>
      <c r="EZ78" s="580"/>
      <c r="FA78" s="580"/>
      <c r="FB78" s="580"/>
      <c r="FC78" s="580"/>
      <c r="FD78" s="580"/>
      <c r="FE78" s="580"/>
      <c r="FF78" s="580"/>
      <c r="FG78" s="580"/>
      <c r="FH78" s="580"/>
    </row>
    <row r="79" spans="1:164" x14ac:dyDescent="0.2">
      <c r="A79" s="187">
        <v>17</v>
      </c>
      <c r="B79" s="134"/>
      <c r="C79" s="133"/>
      <c r="D79" s="134"/>
      <c r="E79" s="133"/>
      <c r="F79" s="132"/>
      <c r="G79" s="132"/>
      <c r="H79" s="134"/>
      <c r="I79" s="133"/>
      <c r="J79" s="132"/>
      <c r="K79" s="132"/>
      <c r="L79" s="134"/>
      <c r="M79" s="133"/>
      <c r="N79" s="132"/>
      <c r="O79" s="132"/>
      <c r="P79" s="134"/>
      <c r="Q79" s="133"/>
      <c r="R79" s="132"/>
      <c r="S79" s="132"/>
      <c r="T79" s="134"/>
      <c r="U79" s="133"/>
      <c r="V79" s="132"/>
      <c r="W79" s="132"/>
      <c r="X79" s="134"/>
      <c r="Y79" s="133"/>
      <c r="Z79" s="132"/>
      <c r="AA79" s="132"/>
      <c r="AB79" s="134"/>
      <c r="AC79" s="133"/>
      <c r="AD79" s="132"/>
      <c r="AE79" s="132"/>
      <c r="AF79" s="134"/>
      <c r="AG79" s="132"/>
      <c r="AH79" s="134"/>
      <c r="AI79" s="153"/>
      <c r="AJ79" s="132"/>
      <c r="AK79" s="133"/>
      <c r="AL79" s="132"/>
      <c r="AM79" s="132"/>
      <c r="AN79" s="134"/>
      <c r="AO79" s="133"/>
      <c r="AP79" s="132"/>
      <c r="AQ79" s="132"/>
      <c r="AR79" s="134"/>
      <c r="AS79" s="133"/>
      <c r="AT79" s="132"/>
      <c r="AU79" s="132"/>
      <c r="AV79" s="134"/>
      <c r="AW79" s="133"/>
      <c r="AX79" s="132"/>
      <c r="AY79" s="132"/>
      <c r="AZ79" s="134"/>
      <c r="BA79" s="133"/>
      <c r="BB79" s="134"/>
      <c r="BC79" s="133"/>
      <c r="BD79" s="134"/>
      <c r="BE79" s="133"/>
      <c r="BF79" s="134"/>
      <c r="BG79" s="132"/>
      <c r="BH79" s="132"/>
      <c r="BI79" s="132"/>
      <c r="BJ79" s="132"/>
      <c r="BK79" s="132"/>
      <c r="BL79" s="192">
        <v>0</v>
      </c>
      <c r="BM79" s="190">
        <v>0</v>
      </c>
      <c r="BN79" s="190">
        <v>0</v>
      </c>
      <c r="BO79" s="190">
        <v>10</v>
      </c>
      <c r="BP79" s="190">
        <v>2</v>
      </c>
      <c r="BQ79" s="189">
        <v>0</v>
      </c>
      <c r="BR79" s="192">
        <v>1</v>
      </c>
      <c r="BS79" s="190">
        <v>0</v>
      </c>
      <c r="BT79" s="190">
        <v>0</v>
      </c>
      <c r="BU79" s="190">
        <v>3</v>
      </c>
      <c r="BV79" s="190">
        <v>0</v>
      </c>
      <c r="BW79" s="189">
        <v>1</v>
      </c>
      <c r="BX79" s="1028">
        <v>0</v>
      </c>
      <c r="BY79" s="1029">
        <v>0</v>
      </c>
      <c r="BZ79" s="1029">
        <v>0</v>
      </c>
      <c r="CA79" s="1029">
        <v>4</v>
      </c>
      <c r="CB79" s="1029">
        <v>3</v>
      </c>
      <c r="CC79" s="1030">
        <v>0</v>
      </c>
      <c r="CD79" s="1028">
        <v>0</v>
      </c>
      <c r="CE79" s="1029">
        <v>0</v>
      </c>
      <c r="CF79" s="1029">
        <v>0</v>
      </c>
      <c r="CG79" s="1029">
        <v>6</v>
      </c>
      <c r="CH79" s="1029">
        <v>5</v>
      </c>
      <c r="CI79" s="1030">
        <v>0</v>
      </c>
      <c r="CJ79" s="134"/>
      <c r="CK79" s="132"/>
      <c r="CL79" s="132"/>
      <c r="CM79" s="132"/>
      <c r="CN79" s="132"/>
      <c r="CO79" s="133"/>
      <c r="CP79" s="134"/>
      <c r="CQ79" s="132"/>
      <c r="CR79" s="132"/>
      <c r="CS79" s="132"/>
      <c r="CT79" s="132"/>
      <c r="CU79" s="133"/>
      <c r="CV79" s="134"/>
      <c r="CW79" s="132"/>
      <c r="CX79" s="132"/>
      <c r="CY79" s="132"/>
      <c r="CZ79" s="132"/>
      <c r="DA79" s="133"/>
      <c r="DB79" s="134"/>
      <c r="DC79" s="132"/>
      <c r="DD79" s="132"/>
      <c r="DE79" s="132"/>
      <c r="DF79" s="132"/>
      <c r="DG79" s="133"/>
      <c r="DH79" s="134"/>
      <c r="DI79" s="132"/>
      <c r="DJ79" s="132"/>
      <c r="DK79" s="132"/>
      <c r="DL79" s="132"/>
      <c r="DM79" s="133"/>
      <c r="DN79" s="134"/>
      <c r="DO79" s="132"/>
      <c r="DP79" s="132"/>
      <c r="DQ79" s="132"/>
      <c r="DR79" s="132"/>
      <c r="DS79" s="133"/>
      <c r="DT79" s="134"/>
      <c r="DU79" s="132"/>
      <c r="DV79" s="132"/>
      <c r="DW79" s="132"/>
      <c r="DX79" s="132"/>
      <c r="DY79" s="133"/>
      <c r="DZ79" s="134"/>
      <c r="EA79" s="132"/>
      <c r="EB79" s="132"/>
      <c r="EC79" s="132"/>
      <c r="ED79" s="132"/>
      <c r="EE79" s="133"/>
      <c r="EF79" s="135">
        <f t="shared" si="2"/>
        <v>17</v>
      </c>
      <c r="EG79" s="135"/>
      <c r="EH79" s="581">
        <v>17</v>
      </c>
      <c r="EI79" s="601">
        <v>0</v>
      </c>
      <c r="EJ79" s="602">
        <v>0</v>
      </c>
      <c r="EK79" s="603">
        <f t="shared" si="10"/>
        <v>0</v>
      </c>
      <c r="EL79" s="603">
        <f t="shared" si="10"/>
        <v>0</v>
      </c>
      <c r="EM79" s="602">
        <f t="shared" si="11"/>
        <v>0</v>
      </c>
      <c r="EN79" s="581">
        <v>17</v>
      </c>
      <c r="EO79" s="602">
        <v>0</v>
      </c>
      <c r="EP79" s="602">
        <v>0</v>
      </c>
      <c r="EQ79" s="603">
        <f t="shared" si="16"/>
        <v>0</v>
      </c>
      <c r="ER79" s="603">
        <f t="shared" si="12"/>
        <v>0</v>
      </c>
      <c r="ES79" s="602">
        <f t="shared" si="13"/>
        <v>0</v>
      </c>
      <c r="ET79" s="519">
        <f t="shared" si="7"/>
        <v>17</v>
      </c>
      <c r="EU79" s="602">
        <v>0</v>
      </c>
      <c r="EV79" s="602">
        <v>0</v>
      </c>
      <c r="EW79" s="603">
        <f t="shared" si="14"/>
        <v>0</v>
      </c>
      <c r="EX79" s="603">
        <f t="shared" si="14"/>
        <v>0</v>
      </c>
      <c r="EY79" s="602">
        <f t="shared" si="15"/>
        <v>0</v>
      </c>
      <c r="EZ79" s="580"/>
      <c r="FA79" s="580"/>
      <c r="FB79" s="580"/>
      <c r="FC79" s="580"/>
      <c r="FD79" s="580"/>
      <c r="FE79" s="580"/>
      <c r="FF79" s="580"/>
      <c r="FG79" s="580"/>
      <c r="FH79" s="580"/>
    </row>
    <row r="80" spans="1:164" x14ac:dyDescent="0.2">
      <c r="A80" s="156">
        <v>18</v>
      </c>
      <c r="B80" s="146"/>
      <c r="C80" s="131"/>
      <c r="D80" s="146"/>
      <c r="E80" s="131"/>
      <c r="F80" s="124"/>
      <c r="G80" s="124"/>
      <c r="H80" s="146"/>
      <c r="I80" s="131"/>
      <c r="J80" s="124"/>
      <c r="K80" s="124"/>
      <c r="L80" s="146"/>
      <c r="M80" s="373">
        <f>2+1</f>
        <v>3</v>
      </c>
      <c r="N80" s="124"/>
      <c r="O80" s="124"/>
      <c r="P80" s="146"/>
      <c r="Q80" s="131"/>
      <c r="R80" s="124"/>
      <c r="S80" s="124"/>
      <c r="T80" s="146"/>
      <c r="U80" s="131"/>
      <c r="V80" s="124"/>
      <c r="W80" s="124"/>
      <c r="X80" s="146"/>
      <c r="Y80" s="183">
        <v>5</v>
      </c>
      <c r="Z80" s="124"/>
      <c r="AA80" s="124"/>
      <c r="AB80" s="146"/>
      <c r="AC80" s="131"/>
      <c r="AD80" s="124"/>
      <c r="AE80" s="124"/>
      <c r="AF80" s="146"/>
      <c r="AG80" s="135"/>
      <c r="AH80" s="146"/>
      <c r="AI80" s="141"/>
      <c r="AJ80" s="188">
        <v>1</v>
      </c>
      <c r="AK80" s="183">
        <v>3</v>
      </c>
      <c r="AN80" s="146"/>
      <c r="AO80" s="131"/>
      <c r="AR80" s="146"/>
      <c r="AS80" s="131"/>
      <c r="AV80" s="146"/>
      <c r="AW80" s="131"/>
      <c r="AZ80" s="146"/>
      <c r="BA80" s="131"/>
      <c r="BB80" s="146"/>
      <c r="BC80" s="131"/>
      <c r="BD80" s="143"/>
      <c r="BE80" s="139"/>
      <c r="BF80" s="143"/>
      <c r="BG80" s="253"/>
      <c r="BH80" s="253"/>
      <c r="BI80" s="253"/>
      <c r="BJ80" s="253"/>
      <c r="BK80" s="253"/>
      <c r="BL80" s="517">
        <v>0</v>
      </c>
      <c r="BM80" s="665">
        <v>0</v>
      </c>
      <c r="BN80" s="665">
        <v>0</v>
      </c>
      <c r="BO80" s="665">
        <v>5</v>
      </c>
      <c r="BP80" s="665">
        <v>4</v>
      </c>
      <c r="BQ80" s="568">
        <v>0</v>
      </c>
      <c r="BR80" s="143"/>
      <c r="BS80" s="253"/>
      <c r="BT80" s="253"/>
      <c r="BU80" s="253"/>
      <c r="BV80" s="253"/>
      <c r="BW80" s="139"/>
      <c r="BX80" s="1034">
        <v>0</v>
      </c>
      <c r="BY80" s="1035">
        <v>0</v>
      </c>
      <c r="BZ80" s="1035">
        <v>0</v>
      </c>
      <c r="CA80" s="1035">
        <v>4</v>
      </c>
      <c r="CB80" s="1035">
        <v>5</v>
      </c>
      <c r="CC80" s="1036">
        <v>0</v>
      </c>
      <c r="CD80" s="1034">
        <v>0</v>
      </c>
      <c r="CE80" s="1035">
        <v>0</v>
      </c>
      <c r="CF80" s="1035">
        <v>0</v>
      </c>
      <c r="CG80" s="1035">
        <v>0</v>
      </c>
      <c r="CH80" s="1035">
        <v>7</v>
      </c>
      <c r="CI80" s="1036">
        <v>0</v>
      </c>
      <c r="CJ80" s="143"/>
      <c r="CK80" s="253"/>
      <c r="CL80" s="253"/>
      <c r="CM80" s="253"/>
      <c r="CN80" s="253"/>
      <c r="CO80" s="139"/>
      <c r="CP80" s="143"/>
      <c r="CQ80" s="253"/>
      <c r="CR80" s="253"/>
      <c r="CS80" s="253"/>
      <c r="CT80" s="253"/>
      <c r="CU80" s="139"/>
      <c r="CV80" s="143"/>
      <c r="CW80" s="253"/>
      <c r="CX80" s="253"/>
      <c r="CY80" s="253"/>
      <c r="CZ80" s="253"/>
      <c r="DA80" s="139"/>
      <c r="DB80" s="143"/>
      <c r="DC80" s="253"/>
      <c r="DD80" s="253"/>
      <c r="DE80" s="253"/>
      <c r="DF80" s="253"/>
      <c r="DG80" s="139"/>
      <c r="DH80" s="143"/>
      <c r="DI80" s="253"/>
      <c r="DJ80" s="253"/>
      <c r="DK80" s="253"/>
      <c r="DL80" s="253"/>
      <c r="DM80" s="139"/>
      <c r="DN80" s="143"/>
      <c r="DO80" s="253"/>
      <c r="DP80" s="253"/>
      <c r="DQ80" s="253"/>
      <c r="DR80" s="253"/>
      <c r="DS80" s="139"/>
      <c r="DT80" s="143"/>
      <c r="DU80" s="253"/>
      <c r="DV80" s="253"/>
      <c r="DW80" s="253"/>
      <c r="DX80" s="253"/>
      <c r="DY80" s="139"/>
      <c r="DZ80" s="143"/>
      <c r="EA80" s="253"/>
      <c r="EB80" s="253"/>
      <c r="EC80" s="253"/>
      <c r="ED80" s="253"/>
      <c r="EE80" s="139"/>
      <c r="EF80" s="135">
        <f t="shared" si="2"/>
        <v>18</v>
      </c>
      <c r="EG80" s="135"/>
      <c r="EH80" s="581">
        <v>18</v>
      </c>
      <c r="EI80" s="601">
        <f t="shared" ref="EI80:EJ85" si="17">AVERAGE(D80,F80,H80,J80,L80,N80,P80,R80,T80,V80,X80,Z80,AB80,AD80,AF80,AH80,AJ80,AL80,AN80,AP80,AR80,AT80,AV80,AX80,AZ80,BB80,BD80)</f>
        <v>1</v>
      </c>
      <c r="EJ80" s="602">
        <f t="shared" si="17"/>
        <v>3.6666666666666665</v>
      </c>
      <c r="EK80" s="603">
        <f t="shared" ref="EK80:EL95" si="18">EI139</f>
        <v>8.3333333333333329E-2</v>
      </c>
      <c r="EL80" s="603">
        <f t="shared" si="18"/>
        <v>0.91666666666666663</v>
      </c>
      <c r="EM80" s="602">
        <f t="shared" si="11"/>
        <v>4.6666666666666661</v>
      </c>
      <c r="EN80" s="581">
        <v>18</v>
      </c>
      <c r="EO80" s="602">
        <f t="shared" ref="EO80:EP84" si="19">AVERAGE(AJ80,AL80,AN80,AP80,AR80,AT80,AV80,AX80,AZ80,BB80,BD80)</f>
        <v>1</v>
      </c>
      <c r="EP80" s="602">
        <f t="shared" si="19"/>
        <v>3</v>
      </c>
      <c r="EQ80" s="603">
        <f t="shared" si="16"/>
        <v>0.25</v>
      </c>
      <c r="ER80" s="603">
        <f t="shared" si="12"/>
        <v>0.75</v>
      </c>
      <c r="ES80" s="602">
        <f t="shared" si="13"/>
        <v>4</v>
      </c>
      <c r="ET80" s="519">
        <f t="shared" si="7"/>
        <v>18</v>
      </c>
      <c r="EU80" s="602">
        <v>0</v>
      </c>
      <c r="EV80" s="602">
        <f t="shared" ref="EV80:EV86" si="20">AVERAGE(E80,G80,I80,K80,M80,O80,Q80,S80,U80,W80,Y80,AA80,AC80,AE80,AG80,AI80)</f>
        <v>4</v>
      </c>
      <c r="EW80" s="603">
        <f t="shared" ref="EW80:EX95" si="21">EO139</f>
        <v>0</v>
      </c>
      <c r="EX80" s="603">
        <f t="shared" si="21"/>
        <v>1</v>
      </c>
      <c r="EY80" s="602">
        <f t="shared" si="15"/>
        <v>4</v>
      </c>
      <c r="EZ80" s="580"/>
      <c r="FA80" s="580"/>
      <c r="FB80" s="580"/>
      <c r="FC80" s="580"/>
      <c r="FD80" s="580"/>
      <c r="FE80" s="580"/>
      <c r="FF80" s="580"/>
      <c r="FG80" s="580"/>
      <c r="FH80" s="580"/>
    </row>
    <row r="81" spans="1:164" x14ac:dyDescent="0.2">
      <c r="A81" s="159">
        <v>19</v>
      </c>
      <c r="B81" s="146"/>
      <c r="C81" s="131"/>
      <c r="D81" s="146"/>
      <c r="E81" s="131"/>
      <c r="F81" s="124"/>
      <c r="G81" s="124"/>
      <c r="H81" s="146"/>
      <c r="I81" s="131"/>
      <c r="J81" s="124"/>
      <c r="K81" s="124"/>
      <c r="L81" s="431">
        <v>2</v>
      </c>
      <c r="M81" s="373">
        <f>2+5</f>
        <v>7</v>
      </c>
      <c r="N81" s="124"/>
      <c r="O81" s="124"/>
      <c r="P81" s="146"/>
      <c r="Q81" s="131"/>
      <c r="R81" s="181">
        <v>1</v>
      </c>
      <c r="S81" s="124"/>
      <c r="T81" s="146"/>
      <c r="U81" s="183">
        <v>8</v>
      </c>
      <c r="V81" s="124"/>
      <c r="W81" s="181">
        <v>2</v>
      </c>
      <c r="X81" s="146"/>
      <c r="Y81" s="183">
        <v>5</v>
      </c>
      <c r="Z81" s="124"/>
      <c r="AA81" s="124"/>
      <c r="AB81" s="146"/>
      <c r="AC81" s="183">
        <v>1</v>
      </c>
      <c r="AD81" s="124"/>
      <c r="AE81" s="124"/>
      <c r="AF81" s="146"/>
      <c r="AG81" s="135"/>
      <c r="AH81" s="146"/>
      <c r="AI81" s="141"/>
      <c r="AJ81" s="135"/>
      <c r="AK81" s="183">
        <v>3</v>
      </c>
      <c r="AM81" s="181">
        <v>1</v>
      </c>
      <c r="AN81" s="146"/>
      <c r="AO81" s="131"/>
      <c r="AQ81" s="181">
        <v>1</v>
      </c>
      <c r="AR81" s="146"/>
      <c r="AS81" s="183">
        <v>4</v>
      </c>
      <c r="AU81" s="181">
        <v>4</v>
      </c>
      <c r="AV81" s="146"/>
      <c r="AW81" s="183">
        <v>3</v>
      </c>
      <c r="AX81" s="429">
        <v>6</v>
      </c>
      <c r="AY81" s="429">
        <f>24+17</f>
        <v>41</v>
      </c>
      <c r="AZ81" s="430">
        <v>2.1</v>
      </c>
      <c r="BA81" s="373">
        <f>20+11</f>
        <v>31</v>
      </c>
      <c r="BB81" s="430">
        <v>0</v>
      </c>
      <c r="BC81" s="373">
        <f>22.286+16.714</f>
        <v>39</v>
      </c>
      <c r="BD81" s="146"/>
      <c r="BE81" s="183">
        <v>5</v>
      </c>
      <c r="BF81" s="182">
        <v>0</v>
      </c>
      <c r="BG81" s="188">
        <v>0</v>
      </c>
      <c r="BH81" s="188">
        <v>0</v>
      </c>
      <c r="BI81" s="188">
        <v>11</v>
      </c>
      <c r="BJ81" s="188">
        <v>5</v>
      </c>
      <c r="BK81" s="188">
        <v>0</v>
      </c>
      <c r="BL81" s="182">
        <v>0</v>
      </c>
      <c r="BM81" s="188">
        <v>0</v>
      </c>
      <c r="BN81" s="188">
        <v>0</v>
      </c>
      <c r="BO81" s="188">
        <v>11</v>
      </c>
      <c r="BP81" s="188">
        <v>14</v>
      </c>
      <c r="BQ81" s="183">
        <v>0</v>
      </c>
      <c r="BR81" s="182">
        <v>0</v>
      </c>
      <c r="BS81" s="188">
        <v>0</v>
      </c>
      <c r="BT81" s="188">
        <v>0</v>
      </c>
      <c r="BU81" s="188">
        <v>7</v>
      </c>
      <c r="BV81" s="188">
        <v>2</v>
      </c>
      <c r="BW81" s="183">
        <v>0</v>
      </c>
      <c r="BX81" s="182">
        <v>0</v>
      </c>
      <c r="BY81" s="188">
        <v>0</v>
      </c>
      <c r="BZ81" s="188">
        <v>0</v>
      </c>
      <c r="CA81" s="188">
        <v>6</v>
      </c>
      <c r="CB81" s="188">
        <v>7</v>
      </c>
      <c r="CC81" s="183">
        <v>0</v>
      </c>
      <c r="CD81" s="182">
        <v>0</v>
      </c>
      <c r="CE81" s="188">
        <v>0</v>
      </c>
      <c r="CF81" s="188">
        <v>0</v>
      </c>
      <c r="CG81" s="188">
        <v>1</v>
      </c>
      <c r="CH81" s="188">
        <v>0</v>
      </c>
      <c r="CI81" s="183">
        <v>0</v>
      </c>
      <c r="CJ81" s="146"/>
      <c r="CK81" s="135"/>
      <c r="CL81" s="135"/>
      <c r="CM81" s="135"/>
      <c r="CN81" s="135"/>
      <c r="CO81" s="131"/>
      <c r="CP81" s="146"/>
      <c r="CQ81" s="135"/>
      <c r="CR81" s="135"/>
      <c r="CS81" s="135"/>
      <c r="CT81" s="135"/>
      <c r="CU81" s="131"/>
      <c r="CV81" s="146"/>
      <c r="CW81" s="135"/>
      <c r="CX81" s="135"/>
      <c r="CY81" s="135"/>
      <c r="CZ81" s="135"/>
      <c r="DA81" s="131"/>
      <c r="DB81" s="146"/>
      <c r="DC81" s="135"/>
      <c r="DD81" s="135"/>
      <c r="DE81" s="135"/>
      <c r="DF81" s="135"/>
      <c r="DG81" s="131"/>
      <c r="DH81" s="146"/>
      <c r="DI81" s="135"/>
      <c r="DJ81" s="135"/>
      <c r="DK81" s="135"/>
      <c r="DL81" s="135"/>
      <c r="DM81" s="131"/>
      <c r="DN81" s="146"/>
      <c r="DO81" s="135"/>
      <c r="DP81" s="135"/>
      <c r="DQ81" s="135"/>
      <c r="DR81" s="135"/>
      <c r="DS81" s="131"/>
      <c r="DT81" s="146"/>
      <c r="DU81" s="135"/>
      <c r="DV81" s="135"/>
      <c r="DW81" s="135"/>
      <c r="DX81" s="135"/>
      <c r="DY81" s="131"/>
      <c r="DZ81" s="146"/>
      <c r="EA81" s="135"/>
      <c r="EB81" s="135"/>
      <c r="EC81" s="135"/>
      <c r="ED81" s="135"/>
      <c r="EE81" s="131"/>
      <c r="EF81" s="135">
        <f t="shared" si="2"/>
        <v>19</v>
      </c>
      <c r="EG81" s="135"/>
      <c r="EH81" s="581">
        <v>19</v>
      </c>
      <c r="EI81" s="601">
        <f t="shared" si="17"/>
        <v>2.2199999999999998</v>
      </c>
      <c r="EJ81" s="602">
        <f t="shared" si="17"/>
        <v>10.333333333333334</v>
      </c>
      <c r="EK81" s="603">
        <f t="shared" si="18"/>
        <v>8.8332869090727295E-2</v>
      </c>
      <c r="EL81" s="603">
        <f t="shared" si="18"/>
        <v>0.91166713090927276</v>
      </c>
      <c r="EM81" s="602">
        <f t="shared" si="11"/>
        <v>12.553333333333335</v>
      </c>
      <c r="EN81" s="581">
        <v>19</v>
      </c>
      <c r="EO81" s="602">
        <f t="shared" si="19"/>
        <v>2.6999999999999997</v>
      </c>
      <c r="EP81" s="602">
        <f t="shared" si="19"/>
        <v>13.2</v>
      </c>
      <c r="EQ81" s="603">
        <f t="shared" si="16"/>
        <v>1.911036832294144E-2</v>
      </c>
      <c r="ER81" s="603">
        <f t="shared" si="12"/>
        <v>0.98088963167705856</v>
      </c>
      <c r="ES81" s="602">
        <f t="shared" si="13"/>
        <v>15.899999999999999</v>
      </c>
      <c r="ET81" s="519">
        <f t="shared" si="7"/>
        <v>19</v>
      </c>
      <c r="EU81" s="602">
        <f>AVERAGE(D81,F81,H81,J81,L81,N81,P81,R81,T81,V81,X81,Z81,AB81,AD81,AF81,AH81)</f>
        <v>1.5</v>
      </c>
      <c r="EV81" s="602">
        <f t="shared" si="20"/>
        <v>4.5999999999999996</v>
      </c>
      <c r="EW81" s="603">
        <f t="shared" si="21"/>
        <v>0.20370370370370372</v>
      </c>
      <c r="EX81" s="603">
        <f t="shared" si="21"/>
        <v>0.79629629629629628</v>
      </c>
      <c r="EY81" s="602">
        <f t="shared" si="15"/>
        <v>6.1</v>
      </c>
      <c r="EZ81" s="580"/>
      <c r="FA81" s="580"/>
      <c r="FB81" s="580"/>
      <c r="FC81" s="580"/>
      <c r="FD81" s="580"/>
      <c r="FE81" s="580"/>
      <c r="FF81" s="580"/>
      <c r="FG81" s="580"/>
      <c r="FH81" s="580"/>
    </row>
    <row r="82" spans="1:164" x14ac:dyDescent="0.2">
      <c r="A82" s="159">
        <v>20</v>
      </c>
      <c r="B82" s="146"/>
      <c r="C82" s="131"/>
      <c r="D82" s="146"/>
      <c r="E82" s="131"/>
      <c r="F82" s="124"/>
      <c r="G82" s="124"/>
      <c r="H82" s="146"/>
      <c r="I82" s="131"/>
      <c r="J82" s="124"/>
      <c r="K82" s="124"/>
      <c r="L82" s="146"/>
      <c r="M82" s="373">
        <f>2+2</f>
        <v>4</v>
      </c>
      <c r="N82" s="124"/>
      <c r="O82" s="124"/>
      <c r="P82" s="146"/>
      <c r="Q82" s="131"/>
      <c r="R82" s="124"/>
      <c r="S82" s="124"/>
      <c r="T82" s="146"/>
      <c r="U82" s="131"/>
      <c r="V82" s="124"/>
      <c r="W82" s="181">
        <v>3</v>
      </c>
      <c r="X82" s="146"/>
      <c r="Y82" s="183">
        <v>4</v>
      </c>
      <c r="Z82" s="124"/>
      <c r="AA82" s="181">
        <v>1</v>
      </c>
      <c r="AB82" s="146"/>
      <c r="AC82" s="131"/>
      <c r="AD82" s="124"/>
      <c r="AE82" s="181">
        <v>1</v>
      </c>
      <c r="AF82" s="146"/>
      <c r="AG82" s="135"/>
      <c r="AH82" s="146"/>
      <c r="AI82" s="141"/>
      <c r="AJ82" s="135"/>
      <c r="AK82" s="131"/>
      <c r="AM82" s="181">
        <v>1</v>
      </c>
      <c r="AN82" s="146"/>
      <c r="AO82" s="131"/>
      <c r="AQ82" s="181">
        <v>1</v>
      </c>
      <c r="AR82" s="146"/>
      <c r="AS82" s="131"/>
      <c r="AV82" s="146"/>
      <c r="AW82" s="183">
        <v>3</v>
      </c>
      <c r="AX82" s="429">
        <v>0</v>
      </c>
      <c r="AY82" s="429">
        <f>10+14</f>
        <v>24</v>
      </c>
      <c r="AZ82" s="430">
        <v>1.1000000000000001</v>
      </c>
      <c r="BA82" s="373">
        <f>10.8+13.1</f>
        <v>23.9</v>
      </c>
      <c r="BB82" s="430">
        <v>0</v>
      </c>
      <c r="BC82" s="373">
        <f>5.9+13.1</f>
        <v>19</v>
      </c>
      <c r="BD82" s="182">
        <v>2</v>
      </c>
      <c r="BE82" s="183">
        <f>20+10+1</f>
        <v>31</v>
      </c>
      <c r="BF82" s="182">
        <v>1</v>
      </c>
      <c r="BG82" s="188">
        <v>1</v>
      </c>
      <c r="BH82" s="188">
        <v>0</v>
      </c>
      <c r="BI82" s="188">
        <v>17</v>
      </c>
      <c r="BJ82" s="188">
        <v>36</v>
      </c>
      <c r="BK82" s="188">
        <v>0</v>
      </c>
      <c r="BL82" s="182">
        <v>2</v>
      </c>
      <c r="BM82" s="188">
        <v>0</v>
      </c>
      <c r="BN82" s="188">
        <v>0</v>
      </c>
      <c r="BO82" s="188">
        <v>27</v>
      </c>
      <c r="BP82" s="188">
        <v>58</v>
      </c>
      <c r="BQ82" s="183">
        <v>2</v>
      </c>
      <c r="BR82" s="182">
        <v>0</v>
      </c>
      <c r="BS82" s="188">
        <v>0</v>
      </c>
      <c r="BT82" s="188">
        <v>0</v>
      </c>
      <c r="BU82" s="188">
        <v>24</v>
      </c>
      <c r="BV82" s="188">
        <v>39</v>
      </c>
      <c r="BW82" s="183">
        <v>0</v>
      </c>
      <c r="BX82" s="181">
        <v>0</v>
      </c>
      <c r="BY82" s="181">
        <v>0</v>
      </c>
      <c r="BZ82" s="181">
        <v>0</v>
      </c>
      <c r="CA82" s="181">
        <v>0</v>
      </c>
      <c r="CB82" s="181">
        <v>1</v>
      </c>
      <c r="CC82" s="181">
        <v>0</v>
      </c>
      <c r="CD82" s="182">
        <v>0</v>
      </c>
      <c r="CE82" s="188">
        <v>0</v>
      </c>
      <c r="CF82" s="188">
        <v>0</v>
      </c>
      <c r="CG82" s="188">
        <v>1</v>
      </c>
      <c r="CH82" s="188">
        <v>1</v>
      </c>
      <c r="CI82" s="183">
        <v>0</v>
      </c>
      <c r="CJ82" s="146"/>
      <c r="CK82" s="135"/>
      <c r="CL82" s="135"/>
      <c r="CM82" s="135"/>
      <c r="CN82" s="135"/>
      <c r="CO82" s="131"/>
      <c r="CP82" s="146"/>
      <c r="CQ82" s="135"/>
      <c r="CR82" s="135"/>
      <c r="CS82" s="135"/>
      <c r="CT82" s="135"/>
      <c r="CU82" s="131"/>
      <c r="CV82" s="146"/>
      <c r="CW82" s="135"/>
      <c r="CX82" s="135"/>
      <c r="CY82" s="135"/>
      <c r="CZ82" s="135"/>
      <c r="DA82" s="131"/>
      <c r="DB82" s="146"/>
      <c r="DC82" s="135"/>
      <c r="DD82" s="135"/>
      <c r="DE82" s="135"/>
      <c r="DF82" s="135"/>
      <c r="DG82" s="131"/>
      <c r="DH82" s="146"/>
      <c r="DI82" s="135"/>
      <c r="DJ82" s="135"/>
      <c r="DK82" s="135"/>
      <c r="DL82" s="135"/>
      <c r="DM82" s="131"/>
      <c r="DN82" s="146"/>
      <c r="DO82" s="135"/>
      <c r="DP82" s="135"/>
      <c r="DQ82" s="135"/>
      <c r="DR82" s="135"/>
      <c r="DS82" s="131"/>
      <c r="DT82" s="146"/>
      <c r="DU82" s="135"/>
      <c r="DV82" s="135"/>
      <c r="DW82" s="135"/>
      <c r="DX82" s="135"/>
      <c r="DY82" s="131"/>
      <c r="DZ82" s="146"/>
      <c r="EA82" s="135"/>
      <c r="EB82" s="135"/>
      <c r="EC82" s="135"/>
      <c r="ED82" s="135"/>
      <c r="EE82" s="131"/>
      <c r="EF82" s="135">
        <f t="shared" si="2"/>
        <v>20</v>
      </c>
      <c r="EG82" s="135"/>
      <c r="EH82" s="581">
        <v>20</v>
      </c>
      <c r="EI82" s="601">
        <f t="shared" si="17"/>
        <v>0.77500000000000002</v>
      </c>
      <c r="EJ82" s="602">
        <f t="shared" si="17"/>
        <v>9.6583333333333332</v>
      </c>
      <c r="EK82" s="603">
        <f t="shared" si="18"/>
        <v>8.7171717171717188E-3</v>
      </c>
      <c r="EL82" s="603">
        <f t="shared" si="18"/>
        <v>0.99128282828282821</v>
      </c>
      <c r="EM82" s="602">
        <f t="shared" si="11"/>
        <v>10.433333333333334</v>
      </c>
      <c r="EN82" s="581">
        <v>20</v>
      </c>
      <c r="EO82" s="602">
        <f t="shared" si="19"/>
        <v>0.77500000000000002</v>
      </c>
      <c r="EP82" s="602">
        <f t="shared" si="19"/>
        <v>14.700000000000001</v>
      </c>
      <c r="EQ82" s="603">
        <f t="shared" si="16"/>
        <v>1.4943722943722945E-2</v>
      </c>
      <c r="ER82" s="603">
        <f t="shared" si="12"/>
        <v>0.98505627705627696</v>
      </c>
      <c r="ES82" s="602">
        <f t="shared" si="13"/>
        <v>15.475000000000001</v>
      </c>
      <c r="ET82" s="519">
        <f t="shared" si="7"/>
        <v>20</v>
      </c>
      <c r="EU82" s="602">
        <v>0</v>
      </c>
      <c r="EV82" s="602">
        <f t="shared" si="20"/>
        <v>2.6</v>
      </c>
      <c r="EW82" s="603">
        <f t="shared" si="21"/>
        <v>0</v>
      </c>
      <c r="EX82" s="603">
        <f t="shared" si="21"/>
        <v>1</v>
      </c>
      <c r="EY82" s="602">
        <f t="shared" si="15"/>
        <v>2.6</v>
      </c>
      <c r="EZ82" s="580"/>
      <c r="FA82" s="580"/>
      <c r="FB82" s="580"/>
      <c r="FC82" s="580"/>
      <c r="FD82" s="580"/>
      <c r="FE82" s="580"/>
      <c r="FF82" s="580"/>
      <c r="FG82" s="580"/>
      <c r="FH82" s="580"/>
    </row>
    <row r="83" spans="1:164" x14ac:dyDescent="0.2">
      <c r="A83" s="159">
        <v>21</v>
      </c>
      <c r="B83" s="146"/>
      <c r="C83" s="131"/>
      <c r="D83" s="146"/>
      <c r="E83" s="131"/>
      <c r="F83" s="124"/>
      <c r="G83" s="124"/>
      <c r="H83" s="146"/>
      <c r="I83" s="131"/>
      <c r="J83" s="124"/>
      <c r="K83" s="124"/>
      <c r="L83" s="430">
        <f>3</f>
        <v>3</v>
      </c>
      <c r="M83" s="373">
        <f>31+12</f>
        <v>43</v>
      </c>
      <c r="N83" s="124"/>
      <c r="O83" s="124"/>
      <c r="P83" s="146"/>
      <c r="Q83" s="131"/>
      <c r="R83" s="181">
        <v>2</v>
      </c>
      <c r="S83" s="124"/>
      <c r="T83" s="146"/>
      <c r="U83" s="183">
        <v>1</v>
      </c>
      <c r="V83" s="124"/>
      <c r="W83" s="181">
        <v>1</v>
      </c>
      <c r="X83" s="146"/>
      <c r="Y83" s="131"/>
      <c r="Z83" s="124"/>
      <c r="AA83" s="181">
        <v>3</v>
      </c>
      <c r="AB83" s="146"/>
      <c r="AC83" s="131"/>
      <c r="AD83" s="124"/>
      <c r="AE83" s="181">
        <v>1</v>
      </c>
      <c r="AF83" s="146"/>
      <c r="AG83" s="135"/>
      <c r="AH83" s="146"/>
      <c r="AI83" s="141"/>
      <c r="AJ83" s="135"/>
      <c r="AK83" s="131"/>
      <c r="AM83" s="181">
        <v>1</v>
      </c>
      <c r="AN83" s="146"/>
      <c r="AO83" s="131"/>
      <c r="AQ83" s="181">
        <v>4</v>
      </c>
      <c r="AR83" s="146"/>
      <c r="AS83" s="131"/>
      <c r="AU83" s="181">
        <v>1</v>
      </c>
      <c r="AV83" s="146"/>
      <c r="AW83" s="131"/>
      <c r="AZ83" s="430">
        <v>1.1000000000000001</v>
      </c>
      <c r="BA83" s="373">
        <f>0+7.9</f>
        <v>7.9</v>
      </c>
      <c r="BB83" s="430">
        <v>0</v>
      </c>
      <c r="BC83" s="373">
        <f>3+11</f>
        <v>14</v>
      </c>
      <c r="BD83" s="182">
        <v>1</v>
      </c>
      <c r="BE83" s="183">
        <v>25</v>
      </c>
      <c r="BF83" s="182">
        <v>0</v>
      </c>
      <c r="BG83" s="188">
        <v>0</v>
      </c>
      <c r="BH83" s="188">
        <v>0</v>
      </c>
      <c r="BI83" s="188">
        <v>1</v>
      </c>
      <c r="BJ83" s="188">
        <v>7</v>
      </c>
      <c r="BK83" s="188">
        <v>0</v>
      </c>
      <c r="BL83" s="182">
        <v>1</v>
      </c>
      <c r="BM83" s="188">
        <v>0</v>
      </c>
      <c r="BN83" s="188">
        <v>0</v>
      </c>
      <c r="BO83" s="188">
        <v>14</v>
      </c>
      <c r="BP83" s="188">
        <v>34</v>
      </c>
      <c r="BQ83" s="183">
        <v>0</v>
      </c>
      <c r="BR83" s="182">
        <v>0</v>
      </c>
      <c r="BS83" s="188">
        <v>0</v>
      </c>
      <c r="BT83" s="188">
        <v>0</v>
      </c>
      <c r="BU83" s="188">
        <v>19</v>
      </c>
      <c r="BV83" s="188">
        <v>27</v>
      </c>
      <c r="BW83" s="183">
        <v>0</v>
      </c>
      <c r="BX83" s="182">
        <v>0</v>
      </c>
      <c r="BY83" s="188">
        <v>0</v>
      </c>
      <c r="BZ83" s="188">
        <v>0</v>
      </c>
      <c r="CA83" s="188">
        <v>0</v>
      </c>
      <c r="CB83" s="188">
        <v>2</v>
      </c>
      <c r="CC83" s="183">
        <v>0</v>
      </c>
      <c r="CD83" s="182">
        <v>0</v>
      </c>
      <c r="CE83" s="188">
        <v>0</v>
      </c>
      <c r="CF83" s="188">
        <v>0</v>
      </c>
      <c r="CG83" s="188">
        <v>1</v>
      </c>
      <c r="CH83" s="188">
        <v>1</v>
      </c>
      <c r="CI83" s="183">
        <v>0</v>
      </c>
      <c r="CJ83" s="146"/>
      <c r="CK83" s="135"/>
      <c r="CL83" s="135"/>
      <c r="CM83" s="135"/>
      <c r="CN83" s="135"/>
      <c r="CO83" s="131"/>
      <c r="CP83" s="146"/>
      <c r="CQ83" s="135"/>
      <c r="CR83" s="135"/>
      <c r="CS83" s="135"/>
      <c r="CT83" s="135"/>
      <c r="CU83" s="131"/>
      <c r="CV83" s="146"/>
      <c r="CW83" s="135"/>
      <c r="CX83" s="135"/>
      <c r="CY83" s="135"/>
      <c r="CZ83" s="135"/>
      <c r="DA83" s="131"/>
      <c r="DB83" s="146"/>
      <c r="DC83" s="135"/>
      <c r="DD83" s="135"/>
      <c r="DE83" s="135"/>
      <c r="DF83" s="135"/>
      <c r="DG83" s="131"/>
      <c r="DH83" s="146"/>
      <c r="DI83" s="135"/>
      <c r="DJ83" s="135"/>
      <c r="DK83" s="135"/>
      <c r="DL83" s="135"/>
      <c r="DM83" s="131"/>
      <c r="DN83" s="146"/>
      <c r="DO83" s="135"/>
      <c r="DP83" s="135"/>
      <c r="DQ83" s="135"/>
      <c r="DR83" s="135"/>
      <c r="DS83" s="131"/>
      <c r="DT83" s="146"/>
      <c r="DU83" s="135"/>
      <c r="DV83" s="135"/>
      <c r="DW83" s="135"/>
      <c r="DX83" s="135"/>
      <c r="DY83" s="131"/>
      <c r="DZ83" s="146"/>
      <c r="EA83" s="135"/>
      <c r="EB83" s="135"/>
      <c r="EC83" s="135"/>
      <c r="ED83" s="135"/>
      <c r="EE83" s="131"/>
      <c r="EF83" s="135">
        <f t="shared" si="2"/>
        <v>21</v>
      </c>
      <c r="EG83" s="135"/>
      <c r="EH83" s="581">
        <v>21</v>
      </c>
      <c r="EI83" s="601">
        <f t="shared" si="17"/>
        <v>1.42</v>
      </c>
      <c r="EJ83" s="602">
        <f t="shared" si="17"/>
        <v>9.2636363636363637</v>
      </c>
      <c r="EK83" s="603">
        <f t="shared" si="18"/>
        <v>0.10215842933234238</v>
      </c>
      <c r="EL83" s="603">
        <f t="shared" si="18"/>
        <v>0.89784157066765768</v>
      </c>
      <c r="EM83" s="602">
        <f t="shared" si="11"/>
        <v>10.683636363636364</v>
      </c>
      <c r="EN83" s="581">
        <v>21</v>
      </c>
      <c r="EO83" s="602">
        <f t="shared" si="19"/>
        <v>0.70000000000000007</v>
      </c>
      <c r="EP83" s="602">
        <f t="shared" si="19"/>
        <v>8.8166666666666664</v>
      </c>
      <c r="EQ83" s="603">
        <f t="shared" si="16"/>
        <v>2.6780626780626784E-2</v>
      </c>
      <c r="ER83" s="603">
        <f t="shared" si="12"/>
        <v>0.97321937321937335</v>
      </c>
      <c r="ES83" s="602">
        <f t="shared" si="13"/>
        <v>9.5166666666666657</v>
      </c>
      <c r="ET83" s="519">
        <f t="shared" si="7"/>
        <v>21</v>
      </c>
      <c r="EU83" s="602">
        <f>AVERAGE(D83,F83,H83,J83,L83,N83,P83,R83,T83,V83,X83,Z83,AB83,AD83,AF83,AH83)</f>
        <v>2.5</v>
      </c>
      <c r="EV83" s="602">
        <f t="shared" si="20"/>
        <v>9.8000000000000007</v>
      </c>
      <c r="EW83" s="603">
        <f t="shared" si="21"/>
        <v>0.17753623188405798</v>
      </c>
      <c r="EX83" s="603">
        <f t="shared" si="21"/>
        <v>0.82246376811594202</v>
      </c>
      <c r="EY83" s="602">
        <f t="shared" si="15"/>
        <v>12.3</v>
      </c>
      <c r="EZ83" s="580"/>
      <c r="FA83" s="580"/>
      <c r="FB83" s="580"/>
      <c r="FC83" s="580"/>
      <c r="FD83" s="580"/>
      <c r="FE83" s="580"/>
      <c r="FF83" s="580"/>
      <c r="FG83" s="580"/>
      <c r="FH83" s="580"/>
    </row>
    <row r="84" spans="1:164" ht="12.75" customHeight="1" x14ac:dyDescent="0.25">
      <c r="A84" s="159">
        <v>22</v>
      </c>
      <c r="B84" s="146"/>
      <c r="C84" s="131"/>
      <c r="D84" s="146"/>
      <c r="E84" s="131"/>
      <c r="F84" s="124"/>
      <c r="G84" s="124"/>
      <c r="H84" s="146"/>
      <c r="I84" s="131"/>
      <c r="J84" s="124"/>
      <c r="K84" s="124"/>
      <c r="L84" s="430">
        <v>1</v>
      </c>
      <c r="M84" s="373">
        <v>12</v>
      </c>
      <c r="N84" s="124"/>
      <c r="O84" s="124"/>
      <c r="P84" s="146"/>
      <c r="Q84" s="131"/>
      <c r="R84" s="124"/>
      <c r="S84" s="124"/>
      <c r="T84" s="146"/>
      <c r="U84" s="183">
        <v>2</v>
      </c>
      <c r="V84" s="124"/>
      <c r="W84" s="181">
        <v>2</v>
      </c>
      <c r="X84" s="146"/>
      <c r="Y84" s="183">
        <v>4</v>
      </c>
      <c r="Z84" s="124"/>
      <c r="AA84" s="124"/>
      <c r="AB84" s="146"/>
      <c r="AC84" s="183">
        <v>1</v>
      </c>
      <c r="AD84" s="124"/>
      <c r="AE84" s="181">
        <v>2</v>
      </c>
      <c r="AF84" s="146"/>
      <c r="AG84" s="135"/>
      <c r="AH84" s="146"/>
      <c r="AI84" s="141"/>
      <c r="AJ84" s="135"/>
      <c r="AK84" s="131"/>
      <c r="AM84" s="181">
        <v>1</v>
      </c>
      <c r="AN84" s="146"/>
      <c r="AO84" s="131"/>
      <c r="AR84" s="146"/>
      <c r="AS84" s="131"/>
      <c r="AV84" s="146"/>
      <c r="AW84" s="183">
        <v>1</v>
      </c>
      <c r="AX84" s="429">
        <v>0</v>
      </c>
      <c r="AY84" s="429">
        <f>3+6</f>
        <v>9</v>
      </c>
      <c r="AZ84" s="146"/>
      <c r="BA84" s="131"/>
      <c r="BB84" s="146"/>
      <c r="BC84" s="131"/>
      <c r="BD84"/>
      <c r="BE84" s="506"/>
      <c r="BF84" s="182">
        <v>0</v>
      </c>
      <c r="BG84" s="188">
        <v>1</v>
      </c>
      <c r="BH84" s="188">
        <v>0</v>
      </c>
      <c r="BI84" s="188">
        <v>13</v>
      </c>
      <c r="BJ84" s="188">
        <v>45</v>
      </c>
      <c r="BK84" s="188">
        <v>0</v>
      </c>
      <c r="BL84" s="146"/>
      <c r="BM84" s="135"/>
      <c r="BN84" s="135"/>
      <c r="BO84" s="135"/>
      <c r="BP84" s="135"/>
      <c r="BQ84" s="131"/>
      <c r="BR84" s="182">
        <v>1</v>
      </c>
      <c r="BS84" s="188">
        <v>0</v>
      </c>
      <c r="BT84" s="188">
        <v>0</v>
      </c>
      <c r="BU84" s="188">
        <v>2</v>
      </c>
      <c r="BV84" s="188">
        <v>12</v>
      </c>
      <c r="BW84" s="183">
        <v>0</v>
      </c>
      <c r="CD84" s="146"/>
      <c r="CE84" s="135"/>
      <c r="CF84" s="135"/>
      <c r="CG84" s="135"/>
      <c r="CH84" s="135"/>
      <c r="CI84" s="131"/>
      <c r="CJ84" s="146"/>
      <c r="CK84" s="135"/>
      <c r="CL84" s="135"/>
      <c r="CM84" s="135"/>
      <c r="CN84" s="135"/>
      <c r="CO84" s="131"/>
      <c r="CP84" s="146"/>
      <c r="CQ84" s="135"/>
      <c r="CR84" s="135"/>
      <c r="CS84" s="135"/>
      <c r="CT84" s="135"/>
      <c r="CU84" s="131"/>
      <c r="CV84" s="146"/>
      <c r="CW84" s="135"/>
      <c r="CX84" s="135"/>
      <c r="CY84" s="135"/>
      <c r="CZ84" s="135"/>
      <c r="DA84" s="131"/>
      <c r="DB84" s="146"/>
      <c r="DC84" s="135"/>
      <c r="DD84" s="135"/>
      <c r="DE84" s="135"/>
      <c r="DF84" s="135"/>
      <c r="DG84" s="131"/>
      <c r="DH84" s="146"/>
      <c r="DI84" s="135"/>
      <c r="DJ84" s="135"/>
      <c r="DK84" s="135"/>
      <c r="DL84" s="135"/>
      <c r="DM84" s="131"/>
      <c r="DN84" s="146"/>
      <c r="DO84" s="135"/>
      <c r="DP84" s="135"/>
      <c r="DQ84" s="135"/>
      <c r="DR84" s="135"/>
      <c r="DS84" s="131"/>
      <c r="DT84" s="146"/>
      <c r="DU84" s="135"/>
      <c r="DV84" s="135"/>
      <c r="DW84" s="135"/>
      <c r="DX84" s="135"/>
      <c r="DY84" s="131"/>
      <c r="DZ84" s="146"/>
      <c r="EA84" s="135"/>
      <c r="EB84" s="135"/>
      <c r="EC84" s="135"/>
      <c r="ED84" s="135"/>
      <c r="EE84" s="131"/>
      <c r="EF84" s="135">
        <f t="shared" si="2"/>
        <v>22</v>
      </c>
      <c r="EG84" s="135"/>
      <c r="EH84" s="581">
        <v>22</v>
      </c>
      <c r="EI84" s="601">
        <f t="shared" si="17"/>
        <v>0.5</v>
      </c>
      <c r="EJ84" s="602">
        <f t="shared" si="17"/>
        <v>3.7777777777777777</v>
      </c>
      <c r="EK84" s="603">
        <f t="shared" si="18"/>
        <v>8.5470085470085479E-3</v>
      </c>
      <c r="EL84" s="603">
        <f t="shared" si="18"/>
        <v>0.99145299145299148</v>
      </c>
      <c r="EM84" s="602">
        <f t="shared" si="11"/>
        <v>4.2777777777777777</v>
      </c>
      <c r="EN84" s="581">
        <v>22</v>
      </c>
      <c r="EO84" s="602">
        <f t="shared" si="19"/>
        <v>0</v>
      </c>
      <c r="EP84" s="602">
        <f t="shared" si="19"/>
        <v>3.6666666666666665</v>
      </c>
      <c r="EQ84" s="603">
        <f t="shared" si="16"/>
        <v>0</v>
      </c>
      <c r="ER84" s="603">
        <f t="shared" si="12"/>
        <v>1</v>
      </c>
      <c r="ES84" s="602">
        <f t="shared" si="13"/>
        <v>3.6666666666666665</v>
      </c>
      <c r="ET84" s="519">
        <f t="shared" si="7"/>
        <v>22</v>
      </c>
      <c r="EU84" s="602">
        <f>AVERAGE(D84,F84,H84,J84,L84,N84,P84,R84,T84,V84,X84,Z84,AB84,AD84,AF84,AH84)</f>
        <v>1</v>
      </c>
      <c r="EV84" s="602">
        <f t="shared" si="20"/>
        <v>3.8333333333333335</v>
      </c>
      <c r="EW84" s="603">
        <f t="shared" si="21"/>
        <v>1.2820512820512822E-2</v>
      </c>
      <c r="EX84" s="603">
        <f t="shared" si="21"/>
        <v>0.98717948717948723</v>
      </c>
      <c r="EY84" s="602">
        <f t="shared" si="15"/>
        <v>4.8333333333333339</v>
      </c>
      <c r="EZ84" s="580"/>
      <c r="FA84" s="580"/>
      <c r="FB84" s="580"/>
      <c r="FC84" s="580"/>
      <c r="FD84" s="580"/>
      <c r="FE84" s="580"/>
      <c r="FF84" s="580"/>
      <c r="FG84" s="580"/>
      <c r="FH84" s="580"/>
    </row>
    <row r="85" spans="1:164" x14ac:dyDescent="0.2">
      <c r="A85" s="159">
        <v>23</v>
      </c>
      <c r="B85" s="146"/>
      <c r="C85" s="131"/>
      <c r="D85" s="146"/>
      <c r="E85" s="131"/>
      <c r="F85" s="124"/>
      <c r="G85" s="124"/>
      <c r="H85" s="146"/>
      <c r="I85" s="131"/>
      <c r="J85" s="124"/>
      <c r="K85" s="124"/>
      <c r="L85" s="146"/>
      <c r="M85" s="373">
        <f>1</f>
        <v>1</v>
      </c>
      <c r="N85" s="181">
        <v>1</v>
      </c>
      <c r="O85" s="124"/>
      <c r="P85" s="146"/>
      <c r="Q85" s="131"/>
      <c r="R85" s="181">
        <v>1</v>
      </c>
      <c r="S85" s="124"/>
      <c r="T85" s="146"/>
      <c r="U85" s="183">
        <v>1</v>
      </c>
      <c r="V85" s="124"/>
      <c r="W85" s="181">
        <v>2</v>
      </c>
      <c r="X85" s="146"/>
      <c r="Y85" s="183">
        <v>1</v>
      </c>
      <c r="Z85" s="124"/>
      <c r="AA85" s="124"/>
      <c r="AB85" s="146"/>
      <c r="AC85" s="131"/>
      <c r="AD85" s="124"/>
      <c r="AE85" s="124"/>
      <c r="AF85" s="146"/>
      <c r="AG85" s="135"/>
      <c r="AH85" s="146"/>
      <c r="AI85" s="141"/>
      <c r="AJ85" s="135"/>
      <c r="AK85" s="131"/>
      <c r="AN85" s="146"/>
      <c r="AO85" s="131"/>
      <c r="AR85" s="146"/>
      <c r="AS85" s="183">
        <v>1</v>
      </c>
      <c r="AU85" s="181">
        <v>1</v>
      </c>
      <c r="AV85" s="146"/>
      <c r="AW85" s="131"/>
      <c r="AZ85" s="146"/>
      <c r="BA85" s="131"/>
      <c r="BB85" s="146"/>
      <c r="BC85" s="131"/>
      <c r="BD85" s="146"/>
      <c r="BE85" s="131"/>
      <c r="BF85" s="182">
        <v>0</v>
      </c>
      <c r="BG85" s="188">
        <v>0</v>
      </c>
      <c r="BH85" s="188">
        <v>0</v>
      </c>
      <c r="BI85" s="188">
        <v>2</v>
      </c>
      <c r="BJ85" s="188">
        <v>0</v>
      </c>
      <c r="BK85" s="188">
        <v>0</v>
      </c>
      <c r="BL85" s="146"/>
      <c r="BM85" s="135"/>
      <c r="BN85" s="135"/>
      <c r="BO85" s="135"/>
      <c r="BP85" s="135"/>
      <c r="BQ85" s="131"/>
      <c r="BR85" s="146"/>
      <c r="BS85" s="135"/>
      <c r="BT85" s="135"/>
      <c r="BU85" s="135"/>
      <c r="BV85" s="135"/>
      <c r="BW85" s="131"/>
      <c r="BX85" s="146"/>
      <c r="BY85" s="135"/>
      <c r="BZ85" s="135"/>
      <c r="CA85" s="135"/>
      <c r="CB85" s="135"/>
      <c r="CC85" s="131"/>
      <c r="CD85" s="146"/>
      <c r="CE85" s="135"/>
      <c r="CF85" s="135"/>
      <c r="CG85" s="135"/>
      <c r="CH85" s="135"/>
      <c r="CI85" s="131"/>
      <c r="CJ85" s="146"/>
      <c r="CK85" s="135"/>
      <c r="CL85" s="135"/>
      <c r="CM85" s="135"/>
      <c r="CN85" s="135"/>
      <c r="CO85" s="131"/>
      <c r="CP85" s="146"/>
      <c r="CQ85" s="135"/>
      <c r="CR85" s="135"/>
      <c r="CS85" s="135"/>
      <c r="CT85" s="135"/>
      <c r="CU85" s="131"/>
      <c r="CV85" s="146"/>
      <c r="CW85" s="135"/>
      <c r="CX85" s="135"/>
      <c r="CY85" s="135"/>
      <c r="CZ85" s="135"/>
      <c r="DA85" s="131"/>
      <c r="DB85" s="146"/>
      <c r="DC85" s="135"/>
      <c r="DD85" s="135"/>
      <c r="DE85" s="135"/>
      <c r="DF85" s="135"/>
      <c r="DG85" s="131"/>
      <c r="DH85" s="146"/>
      <c r="DI85" s="135"/>
      <c r="DJ85" s="135"/>
      <c r="DK85" s="135"/>
      <c r="DL85" s="135"/>
      <c r="DM85" s="131"/>
      <c r="DN85" s="146"/>
      <c r="DO85" s="135"/>
      <c r="DP85" s="135"/>
      <c r="DQ85" s="135"/>
      <c r="DR85" s="135"/>
      <c r="DS85" s="131"/>
      <c r="DT85" s="146"/>
      <c r="DU85" s="135"/>
      <c r="DV85" s="135"/>
      <c r="DW85" s="135"/>
      <c r="DX85" s="135"/>
      <c r="DY85" s="131"/>
      <c r="DZ85" s="146"/>
      <c r="EA85" s="135"/>
      <c r="EB85" s="135"/>
      <c r="EC85" s="135"/>
      <c r="ED85" s="135"/>
      <c r="EE85" s="131"/>
      <c r="EF85" s="135">
        <f t="shared" si="2"/>
        <v>23</v>
      </c>
      <c r="EG85" s="135"/>
      <c r="EH85" s="581">
        <v>23</v>
      </c>
      <c r="EI85" s="601">
        <f t="shared" si="17"/>
        <v>1</v>
      </c>
      <c r="EJ85" s="602">
        <f t="shared" si="17"/>
        <v>1.1666666666666667</v>
      </c>
      <c r="EK85" s="603">
        <f t="shared" si="18"/>
        <v>0.25</v>
      </c>
      <c r="EL85" s="603">
        <f t="shared" si="18"/>
        <v>0.75</v>
      </c>
      <c r="EM85" s="602">
        <f t="shared" si="11"/>
        <v>2.166666666666667</v>
      </c>
      <c r="EN85" s="581">
        <v>23</v>
      </c>
      <c r="EO85" s="602">
        <v>0</v>
      </c>
      <c r="EP85" s="602">
        <f>AVERAGE(AK85,AM85,AO85,AQ85,AS85,AU85,AW85,AY85,BA85,BC85,BE85)</f>
        <v>1</v>
      </c>
      <c r="EQ85" s="603">
        <f t="shared" si="16"/>
        <v>0</v>
      </c>
      <c r="ER85" s="603">
        <f t="shared" si="12"/>
        <v>1</v>
      </c>
      <c r="ES85" s="602">
        <f t="shared" si="13"/>
        <v>1</v>
      </c>
      <c r="ET85" s="519">
        <f t="shared" si="7"/>
        <v>23</v>
      </c>
      <c r="EU85" s="602">
        <f>AVERAGE(D85,F85,H85,J85,L85,N85,P85,R85,T85,V85,X85,Z85,AB85,AD85,AF85,AH85)</f>
        <v>1</v>
      </c>
      <c r="EV85" s="602">
        <f t="shared" si="20"/>
        <v>1.25</v>
      </c>
      <c r="EW85" s="603">
        <f t="shared" si="21"/>
        <v>0.33333333333333331</v>
      </c>
      <c r="EX85" s="603">
        <f t="shared" si="21"/>
        <v>0.66666666666666663</v>
      </c>
      <c r="EY85" s="602">
        <f t="shared" si="15"/>
        <v>2.25</v>
      </c>
      <c r="EZ85" s="580"/>
      <c r="FA85" s="580"/>
      <c r="FB85" s="580"/>
      <c r="FC85" s="580"/>
      <c r="FD85" s="580"/>
      <c r="FE85" s="580"/>
      <c r="FF85" s="580"/>
      <c r="FG85" s="580"/>
      <c r="FH85" s="580"/>
    </row>
    <row r="86" spans="1:164" x14ac:dyDescent="0.2">
      <c r="A86" s="161">
        <v>24</v>
      </c>
      <c r="B86" s="135"/>
      <c r="C86" s="131"/>
      <c r="D86" s="135"/>
      <c r="E86" s="131"/>
      <c r="F86" s="135"/>
      <c r="G86" s="131"/>
      <c r="H86" s="135"/>
      <c r="I86" s="131"/>
      <c r="J86" s="135"/>
      <c r="K86" s="131"/>
      <c r="L86" s="135"/>
      <c r="M86" s="373">
        <f>6+1</f>
        <v>7</v>
      </c>
      <c r="N86" s="135"/>
      <c r="O86" s="131"/>
      <c r="P86" s="135"/>
      <c r="Q86" s="131"/>
      <c r="R86" s="135"/>
      <c r="S86" s="131"/>
      <c r="T86" s="135"/>
      <c r="U86" s="183">
        <v>1</v>
      </c>
      <c r="V86" s="135"/>
      <c r="W86" s="183">
        <v>1</v>
      </c>
      <c r="X86" s="135"/>
      <c r="Y86" s="131"/>
      <c r="Z86" s="135"/>
      <c r="AA86" s="131"/>
      <c r="AB86" s="135"/>
      <c r="AC86" s="131"/>
      <c r="AD86" s="135"/>
      <c r="AE86" s="183">
        <v>1</v>
      </c>
      <c r="AF86" s="135"/>
      <c r="AG86" s="131"/>
      <c r="AH86" s="135"/>
      <c r="AI86" s="141"/>
      <c r="AJ86" s="135"/>
      <c r="AK86" s="131"/>
      <c r="AL86" s="135"/>
      <c r="AM86" s="131"/>
      <c r="AN86" s="135"/>
      <c r="AO86" s="131"/>
      <c r="AP86" s="135"/>
      <c r="AQ86" s="131"/>
      <c r="AR86" s="135"/>
      <c r="AS86" s="131"/>
      <c r="AT86" s="135"/>
      <c r="AU86" s="131"/>
      <c r="AV86" s="135"/>
      <c r="AW86" s="183">
        <v>1</v>
      </c>
      <c r="AX86" s="135"/>
      <c r="AY86" s="183">
        <v>1</v>
      </c>
      <c r="AZ86" s="135"/>
      <c r="BA86" s="131"/>
      <c r="BB86" s="135"/>
      <c r="BC86" s="131"/>
      <c r="BD86" s="146"/>
      <c r="BE86" s="183">
        <v>2</v>
      </c>
      <c r="BF86" s="182">
        <v>1</v>
      </c>
      <c r="BG86" s="188">
        <v>1</v>
      </c>
      <c r="BH86" s="188">
        <v>0</v>
      </c>
      <c r="BI86" s="188">
        <v>1</v>
      </c>
      <c r="BJ86" s="188">
        <v>6</v>
      </c>
      <c r="BK86" s="188">
        <v>0</v>
      </c>
      <c r="BL86" s="146"/>
      <c r="BM86" s="135"/>
      <c r="BN86" s="135"/>
      <c r="BO86" s="135"/>
      <c r="BP86" s="135"/>
      <c r="BQ86" s="131"/>
      <c r="BR86" s="146"/>
      <c r="BS86" s="135"/>
      <c r="BT86" s="135"/>
      <c r="BU86" s="135"/>
      <c r="BV86" s="135"/>
      <c r="BW86" s="131"/>
      <c r="BX86" s="182">
        <v>0</v>
      </c>
      <c r="BY86" s="188">
        <v>0</v>
      </c>
      <c r="BZ86" s="188">
        <v>0</v>
      </c>
      <c r="CA86" s="188">
        <v>0</v>
      </c>
      <c r="CB86" s="188">
        <v>1</v>
      </c>
      <c r="CC86" s="183">
        <v>1</v>
      </c>
      <c r="CD86" s="146"/>
      <c r="CE86" s="135"/>
      <c r="CF86" s="135"/>
      <c r="CG86" s="135"/>
      <c r="CH86" s="135"/>
      <c r="CI86" s="131"/>
      <c r="CJ86" s="146"/>
      <c r="CK86" s="135"/>
      <c r="CL86" s="135"/>
      <c r="CM86" s="135"/>
      <c r="CN86" s="135"/>
      <c r="CO86" s="131"/>
      <c r="CP86" s="146"/>
      <c r="CQ86" s="135"/>
      <c r="CR86" s="135"/>
      <c r="CS86" s="135"/>
      <c r="CT86" s="135"/>
      <c r="CU86" s="131"/>
      <c r="CV86" s="146"/>
      <c r="CW86" s="135"/>
      <c r="CX86" s="135"/>
      <c r="CY86" s="135"/>
      <c r="CZ86" s="135"/>
      <c r="DA86" s="131"/>
      <c r="DB86" s="146"/>
      <c r="DC86" s="135"/>
      <c r="DD86" s="135"/>
      <c r="DE86" s="135"/>
      <c r="DF86" s="135"/>
      <c r="DG86" s="131"/>
      <c r="DH86" s="146"/>
      <c r="DI86" s="135"/>
      <c r="DJ86" s="135"/>
      <c r="DK86" s="135"/>
      <c r="DL86" s="135"/>
      <c r="DM86" s="131"/>
      <c r="DN86" s="146"/>
      <c r="DO86" s="135"/>
      <c r="DP86" s="135"/>
      <c r="DQ86" s="135"/>
      <c r="DR86" s="135"/>
      <c r="DS86" s="131"/>
      <c r="DT86" s="146"/>
      <c r="DU86" s="135"/>
      <c r="DV86" s="135"/>
      <c r="DW86" s="135"/>
      <c r="DX86" s="135"/>
      <c r="DY86" s="131"/>
      <c r="DZ86" s="146"/>
      <c r="EA86" s="135"/>
      <c r="EB86" s="135"/>
      <c r="EC86" s="135"/>
      <c r="ED86" s="135"/>
      <c r="EE86" s="131"/>
      <c r="EF86" s="135">
        <f t="shared" si="2"/>
        <v>24</v>
      </c>
      <c r="EG86" s="135"/>
      <c r="EH86" s="581">
        <v>24</v>
      </c>
      <c r="EI86" s="601">
        <v>0</v>
      </c>
      <c r="EJ86" s="602">
        <f t="shared" ref="EJ86:EJ94" si="22">AVERAGE(E86,G86,I86,K86,M86,O86,Q86,S86,U86,W86,Y86,AA86,AC86,AE86,AG86,AI86,AK86,AM86,AO86,AQ86,AS86,AU86,AW86,AY86,BA86,BC86,BE86)</f>
        <v>2</v>
      </c>
      <c r="EK86" s="603">
        <f t="shared" si="18"/>
        <v>0</v>
      </c>
      <c r="EL86" s="603">
        <f t="shared" si="18"/>
        <v>1</v>
      </c>
      <c r="EM86" s="602">
        <f t="shared" si="11"/>
        <v>2</v>
      </c>
      <c r="EN86" s="581">
        <v>24</v>
      </c>
      <c r="EO86" s="602">
        <v>0</v>
      </c>
      <c r="EP86" s="602">
        <f>AVERAGE(AK86,AM86,AO86,AQ86,AS86,AU86,AW86,AY86,BA86,BC86,BE86)</f>
        <v>1.3333333333333333</v>
      </c>
      <c r="EQ86" s="603">
        <f t="shared" si="16"/>
        <v>0</v>
      </c>
      <c r="ER86" s="603">
        <f t="shared" si="12"/>
        <v>1</v>
      </c>
      <c r="ES86" s="602">
        <f t="shared" si="13"/>
        <v>1.3333333333333333</v>
      </c>
      <c r="ET86" s="519">
        <f t="shared" si="7"/>
        <v>24</v>
      </c>
      <c r="EU86" s="602">
        <v>0</v>
      </c>
      <c r="EV86" s="602">
        <f t="shared" si="20"/>
        <v>2.5</v>
      </c>
      <c r="EW86" s="603">
        <f t="shared" si="21"/>
        <v>0</v>
      </c>
      <c r="EX86" s="603">
        <f t="shared" si="21"/>
        <v>1</v>
      </c>
      <c r="EY86" s="602">
        <f t="shared" si="15"/>
        <v>2.5</v>
      </c>
      <c r="EZ86" s="580"/>
      <c r="FA86" s="580"/>
      <c r="FB86" s="580"/>
      <c r="FC86" s="580"/>
      <c r="FD86" s="580"/>
      <c r="FE86" s="580"/>
      <c r="FF86" s="580"/>
      <c r="FG86" s="580"/>
      <c r="FH86" s="580"/>
    </row>
    <row r="87" spans="1:164" x14ac:dyDescent="0.2">
      <c r="A87" s="159">
        <v>25</v>
      </c>
      <c r="B87" s="135"/>
      <c r="C87" s="131"/>
      <c r="D87" s="135"/>
      <c r="E87" s="131"/>
      <c r="F87" s="135"/>
      <c r="G87" s="131"/>
      <c r="H87" s="135"/>
      <c r="I87" s="131"/>
      <c r="J87" s="135"/>
      <c r="K87" s="131"/>
      <c r="L87" s="135"/>
      <c r="M87" s="131"/>
      <c r="N87" s="135"/>
      <c r="O87" s="131"/>
      <c r="P87" s="135"/>
      <c r="Q87" s="131"/>
      <c r="R87" s="135"/>
      <c r="S87" s="131"/>
      <c r="T87" s="135"/>
      <c r="U87" s="131"/>
      <c r="V87" s="188">
        <v>1</v>
      </c>
      <c r="W87" s="131"/>
      <c r="X87" s="135"/>
      <c r="Y87" s="183">
        <v>1</v>
      </c>
      <c r="Z87" s="135"/>
      <c r="AA87" s="131"/>
      <c r="AB87" s="135"/>
      <c r="AC87" s="131"/>
      <c r="AD87" s="135"/>
      <c r="AE87" s="131"/>
      <c r="AF87" s="135"/>
      <c r="AG87" s="131"/>
      <c r="AH87" s="135"/>
      <c r="AI87" s="141"/>
      <c r="AJ87" s="135"/>
      <c r="AK87" s="131"/>
      <c r="AL87" s="135"/>
      <c r="AM87" s="131"/>
      <c r="AN87" s="135"/>
      <c r="AO87" s="131"/>
      <c r="AP87" s="135"/>
      <c r="AQ87" s="131"/>
      <c r="AR87" s="135"/>
      <c r="AS87" s="183">
        <v>1</v>
      </c>
      <c r="AT87" s="135"/>
      <c r="AU87" s="183">
        <v>1</v>
      </c>
      <c r="AV87" s="135"/>
      <c r="AW87" s="131"/>
      <c r="AX87" s="135"/>
      <c r="AY87" s="131"/>
      <c r="AZ87" s="135"/>
      <c r="BA87" s="131"/>
      <c r="BB87" s="146"/>
      <c r="BC87" s="131"/>
      <c r="BD87" s="182">
        <v>1</v>
      </c>
      <c r="BE87" s="131"/>
      <c r="BF87" s="182">
        <v>2</v>
      </c>
      <c r="BG87" s="188">
        <v>0</v>
      </c>
      <c r="BH87" s="188">
        <v>0</v>
      </c>
      <c r="BI87" s="188">
        <v>1</v>
      </c>
      <c r="BJ87" s="188">
        <v>12</v>
      </c>
      <c r="BK87" s="188">
        <v>0</v>
      </c>
      <c r="BL87" s="182">
        <v>0</v>
      </c>
      <c r="BM87" s="188">
        <v>0</v>
      </c>
      <c r="BN87" s="188">
        <v>0</v>
      </c>
      <c r="BO87" s="188">
        <v>0</v>
      </c>
      <c r="BP87" s="188">
        <v>2</v>
      </c>
      <c r="BQ87" s="183">
        <v>0</v>
      </c>
      <c r="BR87" s="146"/>
      <c r="BS87" s="135"/>
      <c r="BT87" s="135"/>
      <c r="BU87" s="135"/>
      <c r="BV87" s="135"/>
      <c r="BW87" s="131"/>
      <c r="BX87" s="146"/>
      <c r="BY87" s="135"/>
      <c r="BZ87" s="135"/>
      <c r="CA87" s="135"/>
      <c r="CB87" s="135"/>
      <c r="CC87" s="131"/>
      <c r="CD87" s="146"/>
      <c r="CE87" s="135"/>
      <c r="CF87" s="135"/>
      <c r="CG87" s="135"/>
      <c r="CH87" s="135"/>
      <c r="CI87" s="131"/>
      <c r="CJ87" s="146"/>
      <c r="CK87" s="135"/>
      <c r="CL87" s="135"/>
      <c r="CM87" s="135"/>
      <c r="CN87" s="135"/>
      <c r="CO87" s="131"/>
      <c r="CP87" s="146"/>
      <c r="CQ87" s="135"/>
      <c r="CR87" s="135"/>
      <c r="CS87" s="135"/>
      <c r="CT87" s="135"/>
      <c r="CU87" s="131"/>
      <c r="CV87" s="146"/>
      <c r="CW87" s="135"/>
      <c r="CX87" s="135"/>
      <c r="CY87" s="135"/>
      <c r="CZ87" s="135"/>
      <c r="DA87" s="131"/>
      <c r="DB87" s="146"/>
      <c r="DC87" s="135"/>
      <c r="DD87" s="135"/>
      <c r="DE87" s="135"/>
      <c r="DF87" s="135"/>
      <c r="DG87" s="131"/>
      <c r="DH87" s="146"/>
      <c r="DI87" s="135"/>
      <c r="DJ87" s="135"/>
      <c r="DK87" s="135"/>
      <c r="DL87" s="135"/>
      <c r="DM87" s="131"/>
      <c r="DN87" s="146"/>
      <c r="DO87" s="135"/>
      <c r="DP87" s="135"/>
      <c r="DQ87" s="135"/>
      <c r="DR87" s="135"/>
      <c r="DS87" s="131"/>
      <c r="DT87" s="146"/>
      <c r="DU87" s="135"/>
      <c r="DV87" s="135"/>
      <c r="DW87" s="135"/>
      <c r="DX87" s="135"/>
      <c r="DY87" s="131"/>
      <c r="DZ87" s="146"/>
      <c r="EA87" s="135"/>
      <c r="EB87" s="135"/>
      <c r="EC87" s="135"/>
      <c r="ED87" s="135"/>
      <c r="EE87" s="131"/>
      <c r="EF87" s="135">
        <f t="shared" si="2"/>
        <v>25</v>
      </c>
      <c r="EG87" s="135"/>
      <c r="EH87" s="581">
        <v>25</v>
      </c>
      <c r="EI87" s="601">
        <f t="shared" ref="EI87:EI94" si="23">AVERAGE(D87,F87,H87,J87,L87,N87,P87,R87,T87,V87,X87,Z87,AB87,AD87,AF87,AH87,AJ87,AL87,AN87,AP87,AR87,AT87,AV87,AX87,AZ87,BB87,BD87)</f>
        <v>1</v>
      </c>
      <c r="EJ87" s="602">
        <f t="shared" si="22"/>
        <v>1</v>
      </c>
      <c r="EK87" s="603">
        <f t="shared" si="18"/>
        <v>0.25</v>
      </c>
      <c r="EL87" s="603">
        <f t="shared" si="18"/>
        <v>0.75</v>
      </c>
      <c r="EM87" s="602">
        <f t="shared" si="11"/>
        <v>2</v>
      </c>
      <c r="EN87" s="581">
        <v>25</v>
      </c>
      <c r="EO87" s="602">
        <v>0</v>
      </c>
      <c r="EP87" s="602">
        <f>AVERAGE(AK87,AM87,AO87,AQ87,AS87,AU87,AW87,AY87,BA87,BC87,BE87)</f>
        <v>1</v>
      </c>
      <c r="EQ87" s="603">
        <f t="shared" si="16"/>
        <v>0</v>
      </c>
      <c r="ER87" s="603">
        <f t="shared" si="12"/>
        <v>1</v>
      </c>
      <c r="ES87" s="602">
        <f t="shared" si="13"/>
        <v>1</v>
      </c>
      <c r="ET87" s="519">
        <f t="shared" si="7"/>
        <v>25</v>
      </c>
      <c r="EU87" s="602">
        <f>AVERAGE(D87,F87,H87,J87,L87,N87,P87,R87,T87,V87,X87,Z87,AB87,AD87,AF87,AH87)</f>
        <v>1</v>
      </c>
      <c r="EV87" s="602">
        <v>0</v>
      </c>
      <c r="EW87" s="603">
        <f t="shared" si="21"/>
        <v>0.5</v>
      </c>
      <c r="EX87" s="603">
        <f t="shared" si="21"/>
        <v>0.5</v>
      </c>
      <c r="EY87" s="602">
        <f t="shared" si="15"/>
        <v>1</v>
      </c>
      <c r="EZ87" s="580"/>
      <c r="FA87" s="580"/>
      <c r="FB87" s="580"/>
      <c r="FC87" s="580"/>
      <c r="FD87" s="580"/>
      <c r="FE87" s="580"/>
      <c r="FF87" s="580"/>
      <c r="FG87" s="580"/>
      <c r="FH87" s="580"/>
    </row>
    <row r="88" spans="1:164" x14ac:dyDescent="0.2">
      <c r="A88" s="159">
        <v>26</v>
      </c>
      <c r="B88" s="134"/>
      <c r="C88" s="133"/>
      <c r="D88" s="134"/>
      <c r="E88" s="133"/>
      <c r="F88" s="132"/>
      <c r="G88" s="132"/>
      <c r="H88" s="134"/>
      <c r="I88" s="133"/>
      <c r="J88" s="132"/>
      <c r="K88" s="132"/>
      <c r="L88" s="134"/>
      <c r="M88" s="133"/>
      <c r="N88" s="132"/>
      <c r="O88" s="132"/>
      <c r="P88" s="134"/>
      <c r="Q88" s="133"/>
      <c r="R88" s="132"/>
      <c r="S88" s="132"/>
      <c r="T88" s="134"/>
      <c r="U88" s="189">
        <v>1</v>
      </c>
      <c r="V88" s="132"/>
      <c r="W88" s="190">
        <v>2</v>
      </c>
      <c r="X88" s="134"/>
      <c r="Y88" s="133"/>
      <c r="Z88" s="132"/>
      <c r="AA88" s="132"/>
      <c r="AB88" s="134"/>
      <c r="AC88" s="133"/>
      <c r="AD88" s="132"/>
      <c r="AE88" s="132"/>
      <c r="AF88" s="134"/>
      <c r="AG88" s="132"/>
      <c r="AH88" s="134"/>
      <c r="AI88" s="153"/>
      <c r="AJ88" s="132"/>
      <c r="AK88" s="133"/>
      <c r="AL88" s="132"/>
      <c r="AM88" s="132"/>
      <c r="AN88" s="134"/>
      <c r="AO88" s="133"/>
      <c r="AP88" s="132"/>
      <c r="AQ88" s="132"/>
      <c r="AR88" s="134"/>
      <c r="AS88" s="133"/>
      <c r="AT88" s="132"/>
      <c r="AU88" s="132"/>
      <c r="AV88" s="134"/>
      <c r="AW88" s="133"/>
      <c r="AX88" s="190">
        <v>2</v>
      </c>
      <c r="AY88" s="190">
        <v>2</v>
      </c>
      <c r="AZ88" s="134"/>
      <c r="BA88" s="133"/>
      <c r="BB88" s="386">
        <v>2</v>
      </c>
      <c r="BC88" s="189">
        <v>1</v>
      </c>
      <c r="BD88" s="192">
        <v>2</v>
      </c>
      <c r="BE88" s="189">
        <v>6</v>
      </c>
      <c r="BF88" s="192">
        <v>1</v>
      </c>
      <c r="BG88" s="190">
        <v>0</v>
      </c>
      <c r="BH88" s="190">
        <v>0</v>
      </c>
      <c r="BI88" s="190">
        <v>0</v>
      </c>
      <c r="BJ88" s="190">
        <v>0</v>
      </c>
      <c r="BK88" s="190">
        <v>0</v>
      </c>
      <c r="BL88" s="192">
        <v>0</v>
      </c>
      <c r="BM88" s="190">
        <v>1</v>
      </c>
      <c r="BN88" s="190">
        <v>0</v>
      </c>
      <c r="BO88" s="190">
        <v>1</v>
      </c>
      <c r="BP88" s="190">
        <v>2</v>
      </c>
      <c r="BQ88" s="189">
        <v>0</v>
      </c>
      <c r="BR88" s="192">
        <v>0</v>
      </c>
      <c r="BS88" s="190">
        <v>0</v>
      </c>
      <c r="BT88" s="190">
        <v>0</v>
      </c>
      <c r="BU88" s="190">
        <v>1</v>
      </c>
      <c r="BV88" s="190">
        <v>0</v>
      </c>
      <c r="BW88" s="189">
        <v>0</v>
      </c>
      <c r="BX88" s="192">
        <v>1</v>
      </c>
      <c r="BY88" s="190">
        <v>0</v>
      </c>
      <c r="BZ88" s="190">
        <v>0</v>
      </c>
      <c r="CA88" s="190">
        <v>1</v>
      </c>
      <c r="CB88" s="190">
        <v>0</v>
      </c>
      <c r="CC88" s="189">
        <v>0</v>
      </c>
      <c r="CD88" s="192">
        <v>1</v>
      </c>
      <c r="CE88" s="190">
        <v>0</v>
      </c>
      <c r="CF88" s="190">
        <v>0</v>
      </c>
      <c r="CG88" s="190">
        <v>0</v>
      </c>
      <c r="CH88" s="190">
        <v>0</v>
      </c>
      <c r="CI88" s="189">
        <v>0</v>
      </c>
      <c r="CJ88" s="134"/>
      <c r="CK88" s="132"/>
      <c r="CL88" s="132"/>
      <c r="CM88" s="132"/>
      <c r="CN88" s="132"/>
      <c r="CO88" s="133"/>
      <c r="CP88" s="134"/>
      <c r="CQ88" s="132"/>
      <c r="CR88" s="132"/>
      <c r="CS88" s="132"/>
      <c r="CT88" s="132"/>
      <c r="CU88" s="133"/>
      <c r="CV88" s="134"/>
      <c r="CW88" s="132"/>
      <c r="CX88" s="132"/>
      <c r="CY88" s="132"/>
      <c r="CZ88" s="132"/>
      <c r="DA88" s="133"/>
      <c r="DB88" s="134"/>
      <c r="DC88" s="132"/>
      <c r="DD88" s="132"/>
      <c r="DE88" s="132"/>
      <c r="DF88" s="132"/>
      <c r="DG88" s="133"/>
      <c r="DH88" s="134"/>
      <c r="DI88" s="132"/>
      <c r="DJ88" s="132"/>
      <c r="DK88" s="132"/>
      <c r="DL88" s="132"/>
      <c r="DM88" s="133"/>
      <c r="DN88" s="134"/>
      <c r="DO88" s="132"/>
      <c r="DP88" s="132"/>
      <c r="DQ88" s="132"/>
      <c r="DR88" s="132"/>
      <c r="DS88" s="133"/>
      <c r="DT88" s="134"/>
      <c r="DU88" s="132"/>
      <c r="DV88" s="132"/>
      <c r="DW88" s="132"/>
      <c r="DX88" s="132"/>
      <c r="DY88" s="133"/>
      <c r="DZ88" s="134"/>
      <c r="EA88" s="132"/>
      <c r="EB88" s="132"/>
      <c r="EC88" s="132"/>
      <c r="ED88" s="132"/>
      <c r="EE88" s="133"/>
      <c r="EF88" s="135">
        <f t="shared" si="2"/>
        <v>26</v>
      </c>
      <c r="EG88" s="135"/>
      <c r="EH88" s="581">
        <v>26</v>
      </c>
      <c r="EI88" s="601">
        <f t="shared" si="23"/>
        <v>2</v>
      </c>
      <c r="EJ88" s="602">
        <f t="shared" si="22"/>
        <v>2.4</v>
      </c>
      <c r="EK88" s="603">
        <f t="shared" si="18"/>
        <v>0.28333333333333333</v>
      </c>
      <c r="EL88" s="603">
        <f t="shared" si="18"/>
        <v>0.71666666666666667</v>
      </c>
      <c r="EM88" s="602">
        <f t="shared" si="11"/>
        <v>4.4000000000000004</v>
      </c>
      <c r="EN88" s="581">
        <v>26</v>
      </c>
      <c r="EO88" s="602">
        <f t="shared" ref="EO88:EO94" si="24">AVERAGE(AJ88,AL88,AN88,AP88,AR88,AT88,AV88,AX88,AZ88,BB88,BD88)</f>
        <v>2</v>
      </c>
      <c r="EP88" s="602">
        <f>AVERAGE(AK88,AM88,AO88,AQ88,AS88,AU88,AW88,AY88,BA88,BC88,BE88)</f>
        <v>3</v>
      </c>
      <c r="EQ88" s="603">
        <f t="shared" si="16"/>
        <v>0.47222222222222215</v>
      </c>
      <c r="ER88" s="603">
        <f t="shared" si="12"/>
        <v>0.52777777777777779</v>
      </c>
      <c r="ES88" s="602">
        <f t="shared" si="13"/>
        <v>5</v>
      </c>
      <c r="ET88" s="519">
        <f t="shared" si="7"/>
        <v>26</v>
      </c>
      <c r="EU88" s="602">
        <v>0</v>
      </c>
      <c r="EV88" s="602">
        <f>AVERAGE(E88,G88,I88,K88,M88,O88,Q88,S88,U88,W88,Y88,AA88,AC88,AE88,AG88,AI88)</f>
        <v>1.5</v>
      </c>
      <c r="EW88" s="603">
        <f t="shared" si="21"/>
        <v>0</v>
      </c>
      <c r="EX88" s="603">
        <f t="shared" si="21"/>
        <v>1</v>
      </c>
      <c r="EY88" s="602">
        <f t="shared" si="15"/>
        <v>1.5</v>
      </c>
      <c r="EZ88" s="580"/>
      <c r="FA88" s="580"/>
      <c r="FB88" s="580"/>
      <c r="FC88" s="580"/>
      <c r="FD88" s="580"/>
      <c r="FE88" s="580"/>
      <c r="FF88" s="580"/>
      <c r="FG88" s="580"/>
      <c r="FH88" s="580"/>
    </row>
    <row r="89" spans="1:164" x14ac:dyDescent="0.2">
      <c r="A89" s="166">
        <v>27</v>
      </c>
      <c r="B89" s="146"/>
      <c r="C89" s="131"/>
      <c r="D89" s="146"/>
      <c r="E89" s="131"/>
      <c r="F89" s="124"/>
      <c r="G89" s="124"/>
      <c r="H89" s="146"/>
      <c r="I89" s="131"/>
      <c r="J89" s="124"/>
      <c r="K89" s="124"/>
      <c r="L89" s="146"/>
      <c r="M89" s="131"/>
      <c r="N89" s="124"/>
      <c r="O89" s="124"/>
      <c r="P89" s="146"/>
      <c r="Q89" s="131"/>
      <c r="R89" s="124"/>
      <c r="S89" s="124"/>
      <c r="T89" s="146"/>
      <c r="U89" s="183">
        <v>1</v>
      </c>
      <c r="V89" s="124"/>
      <c r="W89" s="124"/>
      <c r="X89" s="146"/>
      <c r="Y89" s="131"/>
      <c r="Z89" s="124"/>
      <c r="AA89" s="124"/>
      <c r="AB89" s="146"/>
      <c r="AC89" s="131"/>
      <c r="AD89" s="124"/>
      <c r="AE89" s="124"/>
      <c r="AF89" s="146"/>
      <c r="AG89" s="135"/>
      <c r="AH89" s="146"/>
      <c r="AI89" s="141"/>
      <c r="AJ89" s="135"/>
      <c r="AK89" s="131"/>
      <c r="AN89" s="146"/>
      <c r="AO89" s="131"/>
      <c r="AR89" s="146"/>
      <c r="AS89" s="131"/>
      <c r="AV89" s="146"/>
      <c r="AW89" s="131"/>
      <c r="AX89" s="181">
        <v>6</v>
      </c>
      <c r="AZ89" s="146"/>
      <c r="BA89" s="131"/>
      <c r="BB89" s="146"/>
      <c r="BC89" s="131"/>
      <c r="BD89" s="143"/>
      <c r="BE89" s="183">
        <v>4</v>
      </c>
      <c r="BF89" s="517">
        <v>3</v>
      </c>
      <c r="BG89" s="665">
        <v>0</v>
      </c>
      <c r="BH89" s="665">
        <v>0</v>
      </c>
      <c r="BI89" s="665">
        <v>1</v>
      </c>
      <c r="BJ89" s="665">
        <v>3</v>
      </c>
      <c r="BK89" s="665">
        <v>0</v>
      </c>
      <c r="BL89" s="517">
        <v>1</v>
      </c>
      <c r="BM89" s="665">
        <v>0</v>
      </c>
      <c r="BN89" s="665">
        <v>0</v>
      </c>
      <c r="BO89" s="665">
        <v>0</v>
      </c>
      <c r="BP89" s="665">
        <v>1</v>
      </c>
      <c r="BQ89" s="568">
        <v>0</v>
      </c>
      <c r="BR89" s="517">
        <v>2</v>
      </c>
      <c r="BS89" s="665">
        <v>0</v>
      </c>
      <c r="BT89" s="665">
        <v>0</v>
      </c>
      <c r="BU89" s="665">
        <v>0</v>
      </c>
      <c r="BV89" s="665">
        <v>3</v>
      </c>
      <c r="BW89" s="568">
        <v>0</v>
      </c>
      <c r="BX89" s="517">
        <v>2</v>
      </c>
      <c r="BY89" s="665">
        <v>1</v>
      </c>
      <c r="BZ89" s="665">
        <v>0</v>
      </c>
      <c r="CA89" s="665">
        <v>4</v>
      </c>
      <c r="CB89" s="665">
        <v>4</v>
      </c>
      <c r="CC89" s="568">
        <v>0</v>
      </c>
      <c r="CD89" s="517"/>
      <c r="CE89" s="665"/>
      <c r="CF89" s="665"/>
      <c r="CG89" s="665"/>
      <c r="CH89" s="665"/>
      <c r="CI89" s="568"/>
      <c r="CJ89" s="143"/>
      <c r="CK89" s="253"/>
      <c r="CL89" s="253"/>
      <c r="CM89" s="253"/>
      <c r="CN89" s="253"/>
      <c r="CO89" s="139"/>
      <c r="CP89" s="143"/>
      <c r="CQ89" s="253"/>
      <c r="CR89" s="253"/>
      <c r="CS89" s="253"/>
      <c r="CT89" s="253"/>
      <c r="CU89" s="139"/>
      <c r="CV89" s="143"/>
      <c r="CW89" s="253"/>
      <c r="CX89" s="253"/>
      <c r="CY89" s="253"/>
      <c r="CZ89" s="253"/>
      <c r="DA89" s="139"/>
      <c r="DB89" s="143"/>
      <c r="DC89" s="253"/>
      <c r="DD89" s="253"/>
      <c r="DE89" s="253"/>
      <c r="DF89" s="253"/>
      <c r="DG89" s="139"/>
      <c r="DH89" s="143"/>
      <c r="DI89" s="253"/>
      <c r="DJ89" s="253"/>
      <c r="DK89" s="253"/>
      <c r="DL89" s="253"/>
      <c r="DM89" s="139"/>
      <c r="DN89" s="143"/>
      <c r="DO89" s="253"/>
      <c r="DP89" s="253"/>
      <c r="DQ89" s="253"/>
      <c r="DR89" s="253"/>
      <c r="DS89" s="139"/>
      <c r="DT89" s="143"/>
      <c r="DU89" s="253"/>
      <c r="DV89" s="253"/>
      <c r="DW89" s="253"/>
      <c r="DX89" s="253"/>
      <c r="DY89" s="139"/>
      <c r="DZ89" s="143"/>
      <c r="EA89" s="253"/>
      <c r="EB89" s="253"/>
      <c r="EC89" s="253"/>
      <c r="ED89" s="253"/>
      <c r="EE89" s="139"/>
      <c r="EF89" s="135">
        <f t="shared" si="2"/>
        <v>27</v>
      </c>
      <c r="EG89" s="135"/>
      <c r="EH89" s="581">
        <v>27</v>
      </c>
      <c r="EI89" s="601">
        <f t="shared" si="23"/>
        <v>6</v>
      </c>
      <c r="EJ89" s="602">
        <f t="shared" si="22"/>
        <v>2.5</v>
      </c>
      <c r="EK89" s="603">
        <f t="shared" si="18"/>
        <v>0.33333333333333331</v>
      </c>
      <c r="EL89" s="603">
        <f t="shared" si="18"/>
        <v>0.66666666666666663</v>
      </c>
      <c r="EM89" s="602">
        <f t="shared" si="11"/>
        <v>8.5</v>
      </c>
      <c r="EN89" s="581">
        <v>27</v>
      </c>
      <c r="EO89" s="602">
        <f t="shared" si="24"/>
        <v>6</v>
      </c>
      <c r="EP89" s="602">
        <v>0</v>
      </c>
      <c r="EQ89" s="603">
        <f t="shared" si="16"/>
        <v>0.5</v>
      </c>
      <c r="ER89" s="603">
        <f t="shared" si="12"/>
        <v>0.5</v>
      </c>
      <c r="ES89" s="602">
        <f t="shared" si="13"/>
        <v>6</v>
      </c>
      <c r="ET89" s="519">
        <f t="shared" si="7"/>
        <v>27</v>
      </c>
      <c r="EU89" s="602">
        <v>0</v>
      </c>
      <c r="EV89" s="602">
        <f>AVERAGE(E89,G89,I89,K89,M89,O89,Q89,S89,U89,W89,Y89,AA89,AC89,AE89,AG89,AI89)</f>
        <v>1</v>
      </c>
      <c r="EW89" s="603">
        <f t="shared" si="21"/>
        <v>0</v>
      </c>
      <c r="EX89" s="603">
        <f t="shared" si="21"/>
        <v>1</v>
      </c>
      <c r="EY89" s="602">
        <f t="shared" si="15"/>
        <v>1</v>
      </c>
      <c r="EZ89" s="580"/>
      <c r="FA89" s="580"/>
      <c r="FB89" s="580"/>
      <c r="FC89" s="580"/>
      <c r="FD89" s="580"/>
      <c r="FE89" s="580"/>
      <c r="FF89" s="580"/>
      <c r="FG89" s="580"/>
      <c r="FH89" s="580"/>
    </row>
    <row r="90" spans="1:164" x14ac:dyDescent="0.2">
      <c r="A90" s="159">
        <v>28</v>
      </c>
      <c r="B90" s="146"/>
      <c r="C90" s="131"/>
      <c r="D90" s="146"/>
      <c r="E90" s="131"/>
      <c r="F90" s="124"/>
      <c r="G90" s="124"/>
      <c r="H90" s="146"/>
      <c r="I90" s="131"/>
      <c r="J90" s="124"/>
      <c r="K90" s="124"/>
      <c r="L90" s="146"/>
      <c r="M90" s="131"/>
      <c r="N90" s="124"/>
      <c r="O90" s="124"/>
      <c r="P90" s="146"/>
      <c r="Q90" s="131"/>
      <c r="R90" s="124"/>
      <c r="S90" s="124"/>
      <c r="T90" s="146"/>
      <c r="U90" s="131"/>
      <c r="V90" s="181">
        <v>1</v>
      </c>
      <c r="W90" s="124"/>
      <c r="X90" s="146"/>
      <c r="Y90" s="131"/>
      <c r="Z90" s="124"/>
      <c r="AA90" s="124"/>
      <c r="AB90" s="146"/>
      <c r="AC90" s="131"/>
      <c r="AD90" s="124"/>
      <c r="AE90" s="124"/>
      <c r="AF90" s="146"/>
      <c r="AG90" s="135"/>
      <c r="AH90" s="146"/>
      <c r="AI90" s="141"/>
      <c r="AJ90" s="135"/>
      <c r="AK90" s="131"/>
      <c r="AN90" s="146"/>
      <c r="AO90" s="131"/>
      <c r="AR90" s="146"/>
      <c r="AS90" s="131"/>
      <c r="AV90" s="146"/>
      <c r="AW90" s="131"/>
      <c r="AX90" s="181">
        <v>5</v>
      </c>
      <c r="AY90" s="181">
        <v>7</v>
      </c>
      <c r="AZ90" s="182">
        <v>1</v>
      </c>
      <c r="BA90" s="131"/>
      <c r="BB90" s="146"/>
      <c r="BC90" s="183">
        <v>2</v>
      </c>
      <c r="BD90" s="182">
        <v>1</v>
      </c>
      <c r="BE90" s="131"/>
      <c r="BF90" s="188">
        <v>0</v>
      </c>
      <c r="BG90" s="188">
        <v>0</v>
      </c>
      <c r="BH90" s="188">
        <v>1</v>
      </c>
      <c r="BI90" s="188">
        <v>0</v>
      </c>
      <c r="BJ90" s="188">
        <v>0</v>
      </c>
      <c r="BK90" s="188">
        <v>0</v>
      </c>
      <c r="BL90" s="182">
        <v>0</v>
      </c>
      <c r="BM90" s="188">
        <v>0</v>
      </c>
      <c r="BN90" s="188">
        <v>0</v>
      </c>
      <c r="BO90" s="188">
        <v>2</v>
      </c>
      <c r="BP90" s="188">
        <v>2</v>
      </c>
      <c r="BQ90" s="183">
        <v>0</v>
      </c>
      <c r="BR90" s="182">
        <v>0</v>
      </c>
      <c r="BS90" s="188">
        <v>0</v>
      </c>
      <c r="BT90" s="188">
        <v>0</v>
      </c>
      <c r="BU90" s="188">
        <v>0</v>
      </c>
      <c r="BV90" s="188">
        <v>1</v>
      </c>
      <c r="BW90" s="183">
        <v>0</v>
      </c>
      <c r="BX90" s="182">
        <v>4</v>
      </c>
      <c r="BY90" s="188">
        <v>0</v>
      </c>
      <c r="BZ90" s="188">
        <v>0</v>
      </c>
      <c r="CA90" s="188">
        <v>4</v>
      </c>
      <c r="CB90" s="188">
        <v>2</v>
      </c>
      <c r="CC90" s="183">
        <v>0</v>
      </c>
      <c r="CD90" s="182">
        <v>0</v>
      </c>
      <c r="CE90" s="188">
        <v>0</v>
      </c>
      <c r="CF90" s="188">
        <v>0</v>
      </c>
      <c r="CG90" s="188">
        <v>0</v>
      </c>
      <c r="CH90" s="188">
        <v>1</v>
      </c>
      <c r="CI90" s="183">
        <v>0</v>
      </c>
      <c r="CJ90" s="146"/>
      <c r="CK90" s="135"/>
      <c r="CL90" s="135"/>
      <c r="CM90" s="135"/>
      <c r="CN90" s="135"/>
      <c r="CO90" s="131"/>
      <c r="CP90" s="146"/>
      <c r="CQ90" s="135"/>
      <c r="CR90" s="135"/>
      <c r="CS90" s="135"/>
      <c r="CT90" s="135"/>
      <c r="CU90" s="131"/>
      <c r="CV90" s="146"/>
      <c r="CW90" s="135"/>
      <c r="CX90" s="135"/>
      <c r="CY90" s="135"/>
      <c r="CZ90" s="135"/>
      <c r="DA90" s="131"/>
      <c r="DB90" s="146"/>
      <c r="DC90" s="135"/>
      <c r="DD90" s="135"/>
      <c r="DE90" s="135"/>
      <c r="DF90" s="135"/>
      <c r="DG90" s="131"/>
      <c r="DH90" s="146"/>
      <c r="DI90" s="135"/>
      <c r="DJ90" s="135"/>
      <c r="DK90" s="135"/>
      <c r="DL90" s="135"/>
      <c r="DM90" s="131"/>
      <c r="DN90" s="146"/>
      <c r="DO90" s="135"/>
      <c r="DP90" s="135"/>
      <c r="DQ90" s="135"/>
      <c r="DR90" s="135"/>
      <c r="DS90" s="131"/>
      <c r="DT90" s="146"/>
      <c r="DU90" s="135"/>
      <c r="DV90" s="135"/>
      <c r="DW90" s="135"/>
      <c r="DX90" s="135"/>
      <c r="DY90" s="131"/>
      <c r="DZ90" s="146"/>
      <c r="EA90" s="135"/>
      <c r="EB90" s="135"/>
      <c r="EC90" s="135"/>
      <c r="ED90" s="135"/>
      <c r="EE90" s="131"/>
      <c r="EF90" s="135">
        <f t="shared" si="2"/>
        <v>28</v>
      </c>
      <c r="EG90" s="135"/>
      <c r="EH90" s="581">
        <v>28</v>
      </c>
      <c r="EI90" s="601">
        <f t="shared" si="23"/>
        <v>2</v>
      </c>
      <c r="EJ90" s="602">
        <f t="shared" si="22"/>
        <v>4.5</v>
      </c>
      <c r="EK90" s="603">
        <f t="shared" si="18"/>
        <v>0.68333333333333335</v>
      </c>
      <c r="EL90" s="603">
        <f t="shared" si="18"/>
        <v>0.31666666666666671</v>
      </c>
      <c r="EM90" s="602">
        <f t="shared" si="11"/>
        <v>6.5</v>
      </c>
      <c r="EN90" s="581">
        <v>28</v>
      </c>
      <c r="EO90" s="602">
        <f t="shared" si="24"/>
        <v>2.3333333333333335</v>
      </c>
      <c r="EP90" s="602">
        <f>AVERAGE(AK90,AM90,AO90,AQ90,AS90,AU90,AW90,AY90,BA90,BC90,BE90)</f>
        <v>4.5</v>
      </c>
      <c r="EQ90" s="603">
        <f t="shared" si="16"/>
        <v>0.60416666666666674</v>
      </c>
      <c r="ER90" s="603">
        <f t="shared" si="12"/>
        <v>0.39583333333333337</v>
      </c>
      <c r="ES90" s="602">
        <f t="shared" si="13"/>
        <v>6.8333333333333339</v>
      </c>
      <c r="ET90" s="519">
        <f t="shared" si="7"/>
        <v>28</v>
      </c>
      <c r="EU90" s="602">
        <f>AVERAGE(D90,F90,H90,J90,L90,N90,P90,R90,T90,V90,X90,Z90,AB90,AD90,AF90,AH90)</f>
        <v>1</v>
      </c>
      <c r="EV90" s="602">
        <v>0</v>
      </c>
      <c r="EW90" s="603">
        <f t="shared" si="21"/>
        <v>1</v>
      </c>
      <c r="EX90" s="603">
        <f t="shared" si="21"/>
        <v>0</v>
      </c>
      <c r="EY90" s="602">
        <f t="shared" si="15"/>
        <v>1</v>
      </c>
      <c r="EZ90" s="580"/>
      <c r="FA90" s="580"/>
      <c r="FB90" s="580"/>
      <c r="FC90" s="580"/>
      <c r="FD90" s="580"/>
      <c r="FE90" s="580"/>
      <c r="FF90" s="580"/>
      <c r="FG90" s="580"/>
      <c r="FH90" s="580"/>
    </row>
    <row r="91" spans="1:164" x14ac:dyDescent="0.2">
      <c r="A91" s="159">
        <v>29</v>
      </c>
      <c r="B91" s="146"/>
      <c r="C91" s="131"/>
      <c r="D91" s="146"/>
      <c r="E91" s="131"/>
      <c r="F91" s="124"/>
      <c r="G91" s="124"/>
      <c r="H91" s="146"/>
      <c r="I91" s="131"/>
      <c r="J91" s="124"/>
      <c r="K91" s="124"/>
      <c r="L91" s="146"/>
      <c r="M91" s="131"/>
      <c r="N91" s="124"/>
      <c r="O91" s="124"/>
      <c r="P91" s="146"/>
      <c r="Q91" s="131"/>
      <c r="R91" s="124"/>
      <c r="S91" s="124"/>
      <c r="T91" s="146"/>
      <c r="U91" s="131"/>
      <c r="V91" s="124"/>
      <c r="W91" s="124"/>
      <c r="X91" s="146"/>
      <c r="Y91" s="131"/>
      <c r="Z91" s="124"/>
      <c r="AA91" s="124"/>
      <c r="AB91" s="146"/>
      <c r="AC91" s="131"/>
      <c r="AD91" s="124"/>
      <c r="AE91" s="124"/>
      <c r="AF91" s="146"/>
      <c r="AG91" s="135"/>
      <c r="AH91" s="146"/>
      <c r="AI91" s="141"/>
      <c r="AJ91" s="135"/>
      <c r="AK91" s="131"/>
      <c r="AN91" s="146"/>
      <c r="AO91" s="131"/>
      <c r="AR91" s="146"/>
      <c r="AS91" s="131"/>
      <c r="AV91" s="146"/>
      <c r="AW91" s="131"/>
      <c r="AY91" s="181">
        <v>2</v>
      </c>
      <c r="AZ91" s="146"/>
      <c r="BA91" s="131"/>
      <c r="BB91" s="182">
        <v>2</v>
      </c>
      <c r="BC91" s="183">
        <v>1</v>
      </c>
      <c r="BD91" s="146"/>
      <c r="BE91" s="183">
        <v>1</v>
      </c>
      <c r="BF91" s="182">
        <v>0</v>
      </c>
      <c r="BG91" s="188">
        <v>0</v>
      </c>
      <c r="BH91" s="188">
        <v>0</v>
      </c>
      <c r="BI91" s="188">
        <v>0</v>
      </c>
      <c r="BJ91" s="188">
        <v>0</v>
      </c>
      <c r="BK91" s="188">
        <v>1</v>
      </c>
      <c r="BL91" s="182">
        <v>0</v>
      </c>
      <c r="BM91" s="188">
        <v>0</v>
      </c>
      <c r="BN91" s="188">
        <v>0</v>
      </c>
      <c r="BO91" s="188">
        <v>0</v>
      </c>
      <c r="BP91" s="188">
        <v>1</v>
      </c>
      <c r="BQ91" s="183">
        <v>0</v>
      </c>
      <c r="BR91" s="182">
        <v>1</v>
      </c>
      <c r="BS91" s="188">
        <v>0</v>
      </c>
      <c r="BT91" s="188">
        <v>0</v>
      </c>
      <c r="BU91" s="188">
        <v>0</v>
      </c>
      <c r="BV91" s="188">
        <v>1</v>
      </c>
      <c r="BW91" s="183">
        <v>0</v>
      </c>
      <c r="BX91" s="146"/>
      <c r="BY91" s="135"/>
      <c r="BZ91" s="135"/>
      <c r="CA91" s="135"/>
      <c r="CB91" s="135"/>
      <c r="CC91" s="131"/>
      <c r="CD91" s="182">
        <v>2</v>
      </c>
      <c r="CE91" s="188">
        <v>0</v>
      </c>
      <c r="CF91" s="188">
        <v>0</v>
      </c>
      <c r="CG91" s="188">
        <v>1</v>
      </c>
      <c r="CH91" s="188">
        <v>0</v>
      </c>
      <c r="CI91" s="183">
        <v>0</v>
      </c>
      <c r="CJ91" s="146"/>
      <c r="CK91" s="135"/>
      <c r="CL91" s="135"/>
      <c r="CM91" s="135"/>
      <c r="CN91" s="135"/>
      <c r="CO91" s="131"/>
      <c r="CP91" s="146"/>
      <c r="CQ91" s="135"/>
      <c r="CR91" s="135"/>
      <c r="CS91" s="135"/>
      <c r="CT91" s="135"/>
      <c r="CU91" s="131"/>
      <c r="CV91" s="146"/>
      <c r="CW91" s="135"/>
      <c r="CX91" s="135"/>
      <c r="CY91" s="135"/>
      <c r="CZ91" s="135"/>
      <c r="DA91" s="131"/>
      <c r="DB91" s="146"/>
      <c r="DC91" s="135"/>
      <c r="DD91" s="135"/>
      <c r="DE91" s="135"/>
      <c r="DF91" s="135"/>
      <c r="DG91" s="131"/>
      <c r="DH91" s="146"/>
      <c r="DI91" s="135"/>
      <c r="DJ91" s="135"/>
      <c r="DK91" s="135"/>
      <c r="DL91" s="135"/>
      <c r="DM91" s="131"/>
      <c r="DN91" s="146"/>
      <c r="DO91" s="135"/>
      <c r="DP91" s="135"/>
      <c r="DQ91" s="135"/>
      <c r="DR91" s="135"/>
      <c r="DS91" s="131"/>
      <c r="DT91" s="146"/>
      <c r="DU91" s="135"/>
      <c r="DV91" s="135"/>
      <c r="DW91" s="135"/>
      <c r="DX91" s="135"/>
      <c r="DY91" s="131"/>
      <c r="DZ91" s="146"/>
      <c r="EA91" s="135"/>
      <c r="EB91" s="135"/>
      <c r="EC91" s="135"/>
      <c r="ED91" s="135"/>
      <c r="EE91" s="131"/>
      <c r="EF91" s="135">
        <f t="shared" si="2"/>
        <v>29</v>
      </c>
      <c r="EG91" s="135"/>
      <c r="EH91" s="581">
        <v>29</v>
      </c>
      <c r="EI91" s="601">
        <f t="shared" si="23"/>
        <v>2</v>
      </c>
      <c r="EJ91" s="602">
        <f t="shared" si="22"/>
        <v>1.3333333333333333</v>
      </c>
      <c r="EK91" s="603">
        <f t="shared" si="18"/>
        <v>0.22222222222222221</v>
      </c>
      <c r="EL91" s="603">
        <f t="shared" si="18"/>
        <v>0.77777777777777768</v>
      </c>
      <c r="EM91" s="602">
        <f t="shared" si="11"/>
        <v>3.333333333333333</v>
      </c>
      <c r="EN91" s="581">
        <v>29</v>
      </c>
      <c r="EO91" s="602">
        <f t="shared" si="24"/>
        <v>2</v>
      </c>
      <c r="EP91" s="602">
        <f>AVERAGE(AK91,AM91,AO91,AQ91,AS91,AU91,AW91,AY91,BA91,BC91,BE91)</f>
        <v>1.3333333333333333</v>
      </c>
      <c r="EQ91" s="603">
        <f t="shared" si="16"/>
        <v>0.22222222222222221</v>
      </c>
      <c r="ER91" s="603">
        <f t="shared" si="12"/>
        <v>0.77777777777777768</v>
      </c>
      <c r="ES91" s="602">
        <f t="shared" si="13"/>
        <v>3.333333333333333</v>
      </c>
      <c r="ET91" s="519">
        <f t="shared" si="7"/>
        <v>29</v>
      </c>
      <c r="EU91" s="602">
        <v>0</v>
      </c>
      <c r="EV91" s="602">
        <v>0</v>
      </c>
      <c r="EW91" s="603">
        <f t="shared" si="21"/>
        <v>0</v>
      </c>
      <c r="EX91" s="603">
        <f t="shared" si="21"/>
        <v>0</v>
      </c>
      <c r="EY91" s="602">
        <f t="shared" si="15"/>
        <v>0</v>
      </c>
      <c r="EZ91" s="580"/>
      <c r="FA91" s="580"/>
      <c r="FB91" s="580"/>
      <c r="FC91" s="580"/>
      <c r="FD91" s="580"/>
      <c r="FE91" s="580"/>
      <c r="FF91" s="580"/>
      <c r="FG91" s="580"/>
      <c r="FH91" s="580"/>
    </row>
    <row r="92" spans="1:164" x14ac:dyDescent="0.2">
      <c r="A92" s="159">
        <v>30</v>
      </c>
      <c r="B92" s="146"/>
      <c r="C92" s="131"/>
      <c r="D92" s="146"/>
      <c r="E92" s="131"/>
      <c r="F92" s="124"/>
      <c r="G92" s="124"/>
      <c r="H92" s="146"/>
      <c r="I92" s="131"/>
      <c r="J92" s="124"/>
      <c r="K92" s="124"/>
      <c r="L92" s="146"/>
      <c r="M92" s="131"/>
      <c r="N92" s="124"/>
      <c r="O92" s="124"/>
      <c r="P92" s="146"/>
      <c r="Q92" s="131"/>
      <c r="R92" s="124"/>
      <c r="S92" s="124"/>
      <c r="T92" s="146"/>
      <c r="U92" s="131"/>
      <c r="V92" s="124"/>
      <c r="W92" s="124"/>
      <c r="X92" s="146"/>
      <c r="Y92" s="131"/>
      <c r="Z92" s="124"/>
      <c r="AA92" s="124"/>
      <c r="AB92" s="146"/>
      <c r="AC92" s="131"/>
      <c r="AD92" s="124"/>
      <c r="AE92" s="124"/>
      <c r="AF92" s="146"/>
      <c r="AG92" s="135"/>
      <c r="AH92" s="146"/>
      <c r="AI92" s="141"/>
      <c r="AJ92" s="135"/>
      <c r="AK92" s="131"/>
      <c r="AN92" s="146"/>
      <c r="AO92" s="131"/>
      <c r="AR92" s="146"/>
      <c r="AS92" s="131"/>
      <c r="AV92" s="146"/>
      <c r="AW92" s="131"/>
      <c r="AX92" s="181">
        <v>2</v>
      </c>
      <c r="AY92" s="181">
        <v>2</v>
      </c>
      <c r="AZ92" s="146"/>
      <c r="BA92" s="131"/>
      <c r="BB92" s="182">
        <v>1</v>
      </c>
      <c r="BC92" s="183">
        <v>1</v>
      </c>
      <c r="BD92" s="146"/>
      <c r="BE92" s="131"/>
      <c r="BF92" s="182">
        <v>1</v>
      </c>
      <c r="BG92" s="188">
        <v>0</v>
      </c>
      <c r="BH92" s="188">
        <v>0</v>
      </c>
      <c r="BI92" s="188">
        <v>0</v>
      </c>
      <c r="BJ92" s="188">
        <v>0</v>
      </c>
      <c r="BK92" s="188">
        <v>1</v>
      </c>
      <c r="BL92" s="182">
        <v>0</v>
      </c>
      <c r="BM92" s="188">
        <v>0</v>
      </c>
      <c r="BN92" s="188">
        <v>0</v>
      </c>
      <c r="BO92" s="188">
        <v>1</v>
      </c>
      <c r="BP92" s="188">
        <v>0</v>
      </c>
      <c r="BQ92" s="183">
        <v>0</v>
      </c>
      <c r="BR92" s="182">
        <v>1</v>
      </c>
      <c r="BS92" s="188">
        <v>1</v>
      </c>
      <c r="BT92" s="188">
        <v>0</v>
      </c>
      <c r="BU92" s="188">
        <v>0</v>
      </c>
      <c r="BV92" s="188">
        <v>0</v>
      </c>
      <c r="BW92" s="183">
        <v>0</v>
      </c>
      <c r="BX92" s="146"/>
      <c r="BY92" s="135"/>
      <c r="BZ92" s="135"/>
      <c r="CA92" s="135"/>
      <c r="CB92" s="135"/>
      <c r="CC92" s="131"/>
      <c r="CD92" s="146"/>
      <c r="CE92" s="135"/>
      <c r="CF92" s="135"/>
      <c r="CG92" s="135"/>
      <c r="CH92" s="135"/>
      <c r="CI92" s="131"/>
      <c r="CJ92" s="146"/>
      <c r="CK92" s="135"/>
      <c r="CL92" s="135"/>
      <c r="CM92" s="135"/>
      <c r="CN92" s="135"/>
      <c r="CO92" s="131"/>
      <c r="CP92" s="146"/>
      <c r="CQ92" s="135"/>
      <c r="CR92" s="135"/>
      <c r="CS92" s="135"/>
      <c r="CT92" s="135"/>
      <c r="CU92" s="131"/>
      <c r="CV92" s="146"/>
      <c r="CW92" s="135"/>
      <c r="CX92" s="135"/>
      <c r="CY92" s="135"/>
      <c r="CZ92" s="135"/>
      <c r="DA92" s="131"/>
      <c r="DB92" s="146"/>
      <c r="DC92" s="135"/>
      <c r="DD92" s="135"/>
      <c r="DE92" s="135"/>
      <c r="DF92" s="135"/>
      <c r="DG92" s="131"/>
      <c r="DH92" s="146"/>
      <c r="DI92" s="135"/>
      <c r="DJ92" s="135"/>
      <c r="DK92" s="135"/>
      <c r="DL92" s="135"/>
      <c r="DM92" s="131"/>
      <c r="DN92" s="146"/>
      <c r="DO92" s="135"/>
      <c r="DP92" s="135"/>
      <c r="DQ92" s="135"/>
      <c r="DR92" s="135"/>
      <c r="DS92" s="131"/>
      <c r="DT92" s="146"/>
      <c r="DU92" s="135"/>
      <c r="DV92" s="135"/>
      <c r="DW92" s="135"/>
      <c r="DX92" s="135"/>
      <c r="DY92" s="131"/>
      <c r="DZ92" s="146"/>
      <c r="EA92" s="135"/>
      <c r="EB92" s="135"/>
      <c r="EC92" s="135"/>
      <c r="ED92" s="135"/>
      <c r="EE92" s="131"/>
      <c r="EF92" s="135">
        <f t="shared" si="2"/>
        <v>30</v>
      </c>
      <c r="EG92" s="135"/>
      <c r="EH92" s="581">
        <v>30</v>
      </c>
      <c r="EI92" s="601">
        <f t="shared" si="23"/>
        <v>1.5</v>
      </c>
      <c r="EJ92" s="602">
        <f t="shared" si="22"/>
        <v>1.5</v>
      </c>
      <c r="EK92" s="603">
        <f t="shared" si="18"/>
        <v>0.5</v>
      </c>
      <c r="EL92" s="603">
        <f t="shared" si="18"/>
        <v>0.5</v>
      </c>
      <c r="EM92" s="602">
        <f t="shared" si="11"/>
        <v>3</v>
      </c>
      <c r="EN92" s="581">
        <v>30</v>
      </c>
      <c r="EO92" s="602">
        <f t="shared" si="24"/>
        <v>1.5</v>
      </c>
      <c r="EP92" s="602">
        <f>AVERAGE(AK92,AM92,AO92,AQ92,AS92,AU92,AW92,AY92,BA92,BC92,BE92)</f>
        <v>1.5</v>
      </c>
      <c r="EQ92" s="603">
        <f t="shared" si="16"/>
        <v>0.5</v>
      </c>
      <c r="ER92" s="603">
        <f t="shared" si="12"/>
        <v>0.5</v>
      </c>
      <c r="ES92" s="602">
        <f t="shared" si="13"/>
        <v>3</v>
      </c>
      <c r="ET92" s="519">
        <f t="shared" si="7"/>
        <v>30</v>
      </c>
      <c r="EU92" s="602">
        <v>0</v>
      </c>
      <c r="EV92" s="602">
        <v>0</v>
      </c>
      <c r="EW92" s="603">
        <f t="shared" si="21"/>
        <v>0</v>
      </c>
      <c r="EX92" s="603">
        <f t="shared" si="21"/>
        <v>0</v>
      </c>
      <c r="EY92" s="602">
        <f t="shared" si="15"/>
        <v>0</v>
      </c>
      <c r="EZ92" s="580"/>
      <c r="FA92" s="580"/>
      <c r="FB92" s="580"/>
      <c r="FC92" s="580"/>
      <c r="FD92" s="580"/>
      <c r="FE92" s="580"/>
      <c r="FF92" s="580"/>
      <c r="FG92" s="580"/>
      <c r="FH92" s="580"/>
    </row>
    <row r="93" spans="1:164" x14ac:dyDescent="0.2">
      <c r="A93" s="159">
        <v>31</v>
      </c>
      <c r="B93" s="146"/>
      <c r="C93" s="131"/>
      <c r="D93" s="146"/>
      <c r="E93" s="131"/>
      <c r="F93" s="124"/>
      <c r="G93" s="124"/>
      <c r="H93" s="146"/>
      <c r="I93" s="131"/>
      <c r="J93" s="124"/>
      <c r="K93" s="124"/>
      <c r="L93" s="146"/>
      <c r="M93" s="131"/>
      <c r="N93" s="124"/>
      <c r="O93" s="124"/>
      <c r="P93" s="146"/>
      <c r="Q93" s="131"/>
      <c r="R93" s="124"/>
      <c r="S93" s="124"/>
      <c r="T93" s="146"/>
      <c r="U93" s="131"/>
      <c r="V93" s="124"/>
      <c r="W93" s="124"/>
      <c r="X93" s="146"/>
      <c r="Y93" s="131"/>
      <c r="Z93" s="124"/>
      <c r="AA93" s="124"/>
      <c r="AB93" s="146"/>
      <c r="AC93" s="131"/>
      <c r="AD93" s="124"/>
      <c r="AE93" s="124"/>
      <c r="AF93" s="146"/>
      <c r="AG93" s="135"/>
      <c r="AH93" s="146"/>
      <c r="AI93" s="141"/>
      <c r="AJ93" s="135"/>
      <c r="AK93" s="131"/>
      <c r="AN93" s="146"/>
      <c r="AO93" s="131"/>
      <c r="AR93" s="146"/>
      <c r="AS93" s="131"/>
      <c r="AV93" s="146"/>
      <c r="AW93" s="131"/>
      <c r="AX93" s="181">
        <v>2</v>
      </c>
      <c r="AY93" s="181">
        <v>1</v>
      </c>
      <c r="AZ93" s="182">
        <v>1</v>
      </c>
      <c r="BA93" s="131"/>
      <c r="BB93" s="182">
        <v>1</v>
      </c>
      <c r="BC93" s="131"/>
      <c r="BD93" s="146"/>
      <c r="BE93" s="131"/>
      <c r="BF93" s="146"/>
      <c r="BG93" s="135"/>
      <c r="BH93" s="135"/>
      <c r="BI93" s="135"/>
      <c r="BJ93" s="135"/>
      <c r="BK93" s="135"/>
      <c r="BL93" s="146"/>
      <c r="BM93" s="135"/>
      <c r="BN93" s="135"/>
      <c r="BO93" s="135"/>
      <c r="BP93" s="135"/>
      <c r="BQ93" s="131"/>
      <c r="BR93" s="182">
        <v>2</v>
      </c>
      <c r="BS93" s="188">
        <v>0</v>
      </c>
      <c r="BT93" s="188">
        <v>0</v>
      </c>
      <c r="BU93" s="188">
        <v>0</v>
      </c>
      <c r="BV93" s="188">
        <v>0</v>
      </c>
      <c r="BW93" s="183">
        <v>0</v>
      </c>
      <c r="BX93" s="146"/>
      <c r="BY93" s="135"/>
      <c r="BZ93" s="135"/>
      <c r="CA93" s="135"/>
      <c r="CB93" s="135"/>
      <c r="CC93" s="131"/>
      <c r="CD93" s="146"/>
      <c r="CE93" s="135"/>
      <c r="CF93" s="135"/>
      <c r="CG93" s="135"/>
      <c r="CH93" s="135"/>
      <c r="CI93" s="131"/>
      <c r="CJ93" s="146"/>
      <c r="CK93" s="135"/>
      <c r="CL93" s="135"/>
      <c r="CM93" s="135"/>
      <c r="CN93" s="135"/>
      <c r="CO93" s="131"/>
      <c r="CP93" s="146"/>
      <c r="CQ93" s="135"/>
      <c r="CR93" s="135"/>
      <c r="CS93" s="135"/>
      <c r="CT93" s="135"/>
      <c r="CU93" s="131"/>
      <c r="CV93" s="146"/>
      <c r="CW93" s="135"/>
      <c r="CX93" s="135"/>
      <c r="CY93" s="135"/>
      <c r="CZ93" s="135"/>
      <c r="DA93" s="131"/>
      <c r="DB93" s="146"/>
      <c r="DC93" s="135"/>
      <c r="DD93" s="135"/>
      <c r="DE93" s="135"/>
      <c r="DF93" s="135"/>
      <c r="DG93" s="131"/>
      <c r="DH93" s="146"/>
      <c r="DI93" s="135"/>
      <c r="DJ93" s="135"/>
      <c r="DK93" s="135"/>
      <c r="DL93" s="135"/>
      <c r="DM93" s="131"/>
      <c r="DN93" s="146"/>
      <c r="DO93" s="135"/>
      <c r="DP93" s="135"/>
      <c r="DQ93" s="135"/>
      <c r="DR93" s="135"/>
      <c r="DS93" s="131"/>
      <c r="DT93" s="146"/>
      <c r="DU93" s="135"/>
      <c r="DV93" s="135"/>
      <c r="DW93" s="135"/>
      <c r="DX93" s="135"/>
      <c r="DY93" s="131"/>
      <c r="DZ93" s="146"/>
      <c r="EA93" s="135"/>
      <c r="EB93" s="135"/>
      <c r="EC93" s="135"/>
      <c r="ED93" s="135"/>
      <c r="EE93" s="131"/>
      <c r="EF93" s="135">
        <f t="shared" si="2"/>
        <v>31</v>
      </c>
      <c r="EG93" s="135"/>
      <c r="EH93" s="581">
        <v>31</v>
      </c>
      <c r="EI93" s="601">
        <f t="shared" si="23"/>
        <v>1.3333333333333333</v>
      </c>
      <c r="EJ93" s="602">
        <f t="shared" si="22"/>
        <v>1</v>
      </c>
      <c r="EK93" s="603">
        <f t="shared" si="18"/>
        <v>0.88888888888888884</v>
      </c>
      <c r="EL93" s="603">
        <f t="shared" si="18"/>
        <v>0.1111111111111111</v>
      </c>
      <c r="EM93" s="602">
        <f t="shared" si="11"/>
        <v>2.333333333333333</v>
      </c>
      <c r="EN93" s="581">
        <v>31</v>
      </c>
      <c r="EO93" s="602">
        <f t="shared" si="24"/>
        <v>1.3333333333333333</v>
      </c>
      <c r="EP93" s="602">
        <f>AVERAGE(AK93,AM93,AO93,AQ93,AS93,AU93,AW93,AY93,BA93,BC93,BE93)</f>
        <v>1</v>
      </c>
      <c r="EQ93" s="603">
        <f t="shared" si="16"/>
        <v>0.88888888888888884</v>
      </c>
      <c r="ER93" s="603">
        <f t="shared" si="12"/>
        <v>0.1111111111111111</v>
      </c>
      <c r="ES93" s="602">
        <f t="shared" si="13"/>
        <v>2.333333333333333</v>
      </c>
      <c r="ET93" s="519">
        <f t="shared" si="7"/>
        <v>31</v>
      </c>
      <c r="EU93" s="602">
        <v>0</v>
      </c>
      <c r="EV93" s="602">
        <v>0</v>
      </c>
      <c r="EW93" s="603">
        <f t="shared" si="21"/>
        <v>0</v>
      </c>
      <c r="EX93" s="603">
        <f t="shared" si="21"/>
        <v>0</v>
      </c>
      <c r="EY93" s="602">
        <f t="shared" si="15"/>
        <v>0</v>
      </c>
      <c r="EZ93" s="580"/>
      <c r="FA93" s="580"/>
      <c r="FB93" s="580"/>
      <c r="FC93" s="580"/>
      <c r="FD93" s="580"/>
      <c r="FE93" s="580"/>
      <c r="FF93" s="580"/>
      <c r="FG93" s="580"/>
      <c r="FH93" s="580"/>
    </row>
    <row r="94" spans="1:164" x14ac:dyDescent="0.2">
      <c r="A94" s="159">
        <v>32</v>
      </c>
      <c r="B94" s="146"/>
      <c r="C94" s="131"/>
      <c r="D94" s="146"/>
      <c r="E94" s="131"/>
      <c r="F94" s="124"/>
      <c r="G94" s="124"/>
      <c r="H94" s="146"/>
      <c r="I94" s="131"/>
      <c r="J94" s="124"/>
      <c r="K94" s="124"/>
      <c r="L94" s="146"/>
      <c r="M94" s="131"/>
      <c r="N94" s="124"/>
      <c r="O94" s="124"/>
      <c r="P94" s="146"/>
      <c r="Q94" s="131"/>
      <c r="R94" s="124"/>
      <c r="S94" s="124"/>
      <c r="T94" s="146"/>
      <c r="U94" s="131"/>
      <c r="V94" s="124"/>
      <c r="W94" s="124"/>
      <c r="X94" s="146"/>
      <c r="Y94" s="131"/>
      <c r="Z94" s="124"/>
      <c r="AA94" s="124"/>
      <c r="AB94" s="146"/>
      <c r="AC94" s="131"/>
      <c r="AD94" s="124"/>
      <c r="AE94" s="124"/>
      <c r="AF94" s="146"/>
      <c r="AG94" s="135"/>
      <c r="AH94" s="146"/>
      <c r="AI94" s="141"/>
      <c r="AJ94" s="135"/>
      <c r="AK94" s="131"/>
      <c r="AN94" s="146"/>
      <c r="AO94" s="131"/>
      <c r="AR94" s="146"/>
      <c r="AS94" s="131"/>
      <c r="AV94" s="146"/>
      <c r="AW94" s="131"/>
      <c r="AY94" s="181">
        <v>3</v>
      </c>
      <c r="AZ94" s="182">
        <v>3</v>
      </c>
      <c r="BA94" s="183">
        <v>1</v>
      </c>
      <c r="BB94" s="146"/>
      <c r="BC94" s="183">
        <v>1</v>
      </c>
      <c r="BD94" s="146"/>
      <c r="BE94" s="131"/>
      <c r="BF94" s="146"/>
      <c r="BG94" s="135"/>
      <c r="BH94" s="135"/>
      <c r="BI94" s="135"/>
      <c r="BJ94" s="135"/>
      <c r="BK94" s="135"/>
      <c r="BL94" s="146"/>
      <c r="BM94" s="135"/>
      <c r="BN94" s="135"/>
      <c r="BO94" s="135"/>
      <c r="BP94" s="135"/>
      <c r="BQ94" s="131"/>
      <c r="BR94" s="146"/>
      <c r="BS94" s="135"/>
      <c r="BT94" s="135"/>
      <c r="BU94" s="135"/>
      <c r="BV94" s="135"/>
      <c r="BW94" s="131"/>
      <c r="BX94" s="146"/>
      <c r="BY94" s="135"/>
      <c r="BZ94" s="135"/>
      <c r="CA94" s="135"/>
      <c r="CB94" s="135"/>
      <c r="CC94" s="131"/>
      <c r="CD94" s="146"/>
      <c r="CE94" s="135"/>
      <c r="CF94" s="135"/>
      <c r="CG94" s="135"/>
      <c r="CH94" s="135"/>
      <c r="CI94" s="131"/>
      <c r="CJ94" s="146"/>
      <c r="CK94" s="135"/>
      <c r="CL94" s="135"/>
      <c r="CM94" s="135"/>
      <c r="CN94" s="135"/>
      <c r="CO94" s="131"/>
      <c r="CP94" s="146"/>
      <c r="CQ94" s="135"/>
      <c r="CR94" s="135"/>
      <c r="CS94" s="135"/>
      <c r="CT94" s="135"/>
      <c r="CU94" s="131"/>
      <c r="CV94" s="146"/>
      <c r="CW94" s="135"/>
      <c r="CX94" s="135"/>
      <c r="CY94" s="135"/>
      <c r="CZ94" s="135"/>
      <c r="DA94" s="131"/>
      <c r="DB94" s="146"/>
      <c r="DC94" s="135"/>
      <c r="DD94" s="135"/>
      <c r="DE94" s="135"/>
      <c r="DF94" s="135"/>
      <c r="DG94" s="131"/>
      <c r="DH94" s="146"/>
      <c r="DI94" s="135"/>
      <c r="DJ94" s="135"/>
      <c r="DK94" s="135"/>
      <c r="DL94" s="135"/>
      <c r="DM94" s="131"/>
      <c r="DN94" s="146"/>
      <c r="DO94" s="135"/>
      <c r="DP94" s="135"/>
      <c r="DQ94" s="135"/>
      <c r="DR94" s="135"/>
      <c r="DS94" s="131"/>
      <c r="DT94" s="146"/>
      <c r="DU94" s="135"/>
      <c r="DV94" s="135"/>
      <c r="DW94" s="135"/>
      <c r="DX94" s="135"/>
      <c r="DY94" s="131"/>
      <c r="DZ94" s="146"/>
      <c r="EA94" s="135"/>
      <c r="EB94" s="135"/>
      <c r="EC94" s="135"/>
      <c r="ED94" s="135"/>
      <c r="EE94" s="131"/>
      <c r="EF94" s="135">
        <f t="shared" ref="EF94:EF115" si="25">A94</f>
        <v>32</v>
      </c>
      <c r="EG94" s="135"/>
      <c r="EH94" s="581">
        <v>32</v>
      </c>
      <c r="EI94" s="601">
        <f t="shared" si="23"/>
        <v>3</v>
      </c>
      <c r="EJ94" s="602">
        <f t="shared" si="22"/>
        <v>1.6666666666666667</v>
      </c>
      <c r="EK94" s="603">
        <f t="shared" si="18"/>
        <v>0.25</v>
      </c>
      <c r="EL94" s="603">
        <f t="shared" si="18"/>
        <v>0.75</v>
      </c>
      <c r="EM94" s="602">
        <f t="shared" si="11"/>
        <v>4.666666666666667</v>
      </c>
      <c r="EN94" s="581">
        <v>32</v>
      </c>
      <c r="EO94" s="602">
        <f t="shared" si="24"/>
        <v>3</v>
      </c>
      <c r="EP94" s="602">
        <f>AVERAGE(AK94,AM94,AO94,AQ94,AS94,AU94,AW94,AY94,BA94,BC94,BE94)</f>
        <v>1.6666666666666667</v>
      </c>
      <c r="EQ94" s="603">
        <f t="shared" si="16"/>
        <v>0.25</v>
      </c>
      <c r="ER94" s="603">
        <f t="shared" si="12"/>
        <v>0.75</v>
      </c>
      <c r="ES94" s="602">
        <f t="shared" si="13"/>
        <v>4.666666666666667</v>
      </c>
      <c r="ET94" s="519">
        <f t="shared" si="7"/>
        <v>32</v>
      </c>
      <c r="EU94" s="602">
        <v>0</v>
      </c>
      <c r="EV94" s="602">
        <v>0</v>
      </c>
      <c r="EW94" s="603">
        <f t="shared" si="21"/>
        <v>0</v>
      </c>
      <c r="EX94" s="603">
        <f t="shared" si="21"/>
        <v>0</v>
      </c>
      <c r="EY94" s="602">
        <f t="shared" si="15"/>
        <v>0</v>
      </c>
      <c r="EZ94" s="580"/>
      <c r="FA94" s="580"/>
      <c r="FB94" s="580"/>
      <c r="FC94" s="580"/>
      <c r="FD94" s="580"/>
      <c r="FE94" s="580"/>
      <c r="FF94" s="580"/>
      <c r="FG94" s="580"/>
      <c r="FH94" s="580"/>
    </row>
    <row r="95" spans="1:164" x14ac:dyDescent="0.2">
      <c r="A95" s="159">
        <v>33</v>
      </c>
      <c r="B95" s="146"/>
      <c r="C95" s="131"/>
      <c r="D95" s="146"/>
      <c r="E95" s="131"/>
      <c r="F95" s="124"/>
      <c r="G95" s="124"/>
      <c r="H95" s="146"/>
      <c r="I95" s="131"/>
      <c r="J95" s="124"/>
      <c r="K95" s="124"/>
      <c r="L95" s="146"/>
      <c r="M95" s="131"/>
      <c r="N95" s="124"/>
      <c r="O95" s="124"/>
      <c r="P95" s="146"/>
      <c r="Q95" s="131"/>
      <c r="R95" s="124"/>
      <c r="S95" s="124"/>
      <c r="T95" s="146"/>
      <c r="U95" s="131"/>
      <c r="V95" s="124"/>
      <c r="W95" s="124"/>
      <c r="X95" s="146"/>
      <c r="Y95" s="131"/>
      <c r="Z95" s="124"/>
      <c r="AA95" s="124"/>
      <c r="AB95" s="146"/>
      <c r="AC95" s="131"/>
      <c r="AD95" s="124"/>
      <c r="AE95" s="124"/>
      <c r="AF95" s="146"/>
      <c r="AG95" s="135"/>
      <c r="AH95" s="146"/>
      <c r="AI95" s="141"/>
      <c r="AJ95" s="135"/>
      <c r="AK95" s="131"/>
      <c r="AN95" s="146"/>
      <c r="AO95" s="131"/>
      <c r="AR95" s="146"/>
      <c r="AS95" s="131"/>
      <c r="AV95" s="146"/>
      <c r="AW95" s="131"/>
      <c r="AZ95" s="146"/>
      <c r="BA95" s="131"/>
      <c r="BB95" s="146"/>
      <c r="BC95" s="131"/>
      <c r="BD95" s="146"/>
      <c r="BE95" s="131"/>
      <c r="BF95" s="146"/>
      <c r="BG95" s="135"/>
      <c r="BH95" s="135"/>
      <c r="BI95" s="135"/>
      <c r="BJ95" s="135"/>
      <c r="BK95" s="135"/>
      <c r="BL95" s="146"/>
      <c r="BM95" s="135"/>
      <c r="BN95" s="135"/>
      <c r="BO95" s="135"/>
      <c r="BP95" s="135"/>
      <c r="BQ95" s="131"/>
      <c r="BR95" s="146"/>
      <c r="BS95" s="135"/>
      <c r="BT95" s="135"/>
      <c r="BU95" s="135"/>
      <c r="BV95" s="135"/>
      <c r="BW95" s="131"/>
      <c r="BX95" s="146"/>
      <c r="BY95" s="135"/>
      <c r="BZ95" s="135"/>
      <c r="CA95" s="135"/>
      <c r="CB95" s="135"/>
      <c r="CC95" s="131"/>
      <c r="CD95" s="146"/>
      <c r="CE95" s="135"/>
      <c r="CF95" s="135"/>
      <c r="CG95" s="135"/>
      <c r="CH95" s="135"/>
      <c r="CI95" s="131"/>
      <c r="CJ95" s="146"/>
      <c r="CK95" s="135"/>
      <c r="CL95" s="135"/>
      <c r="CM95" s="135"/>
      <c r="CN95" s="135"/>
      <c r="CO95" s="131"/>
      <c r="CP95" s="146"/>
      <c r="CQ95" s="135"/>
      <c r="CR95" s="135"/>
      <c r="CS95" s="135"/>
      <c r="CT95" s="135"/>
      <c r="CU95" s="131"/>
      <c r="CV95" s="146"/>
      <c r="CW95" s="135"/>
      <c r="CX95" s="135"/>
      <c r="CY95" s="135"/>
      <c r="CZ95" s="135"/>
      <c r="DA95" s="131"/>
      <c r="DB95" s="146"/>
      <c r="DC95" s="135"/>
      <c r="DD95" s="135"/>
      <c r="DE95" s="135"/>
      <c r="DF95" s="135"/>
      <c r="DG95" s="131"/>
      <c r="DH95" s="146"/>
      <c r="DI95" s="135"/>
      <c r="DJ95" s="135"/>
      <c r="DK95" s="135"/>
      <c r="DL95" s="135"/>
      <c r="DM95" s="131"/>
      <c r="DN95" s="146"/>
      <c r="DO95" s="135"/>
      <c r="DP95" s="135"/>
      <c r="DQ95" s="135"/>
      <c r="DR95" s="135"/>
      <c r="DS95" s="131"/>
      <c r="DT95" s="146"/>
      <c r="DU95" s="135"/>
      <c r="DV95" s="135"/>
      <c r="DW95" s="135"/>
      <c r="DX95" s="135"/>
      <c r="DY95" s="131"/>
      <c r="DZ95" s="146"/>
      <c r="EA95" s="135"/>
      <c r="EB95" s="135"/>
      <c r="EC95" s="135"/>
      <c r="ED95" s="135"/>
      <c r="EE95" s="131"/>
      <c r="EF95" s="135">
        <f t="shared" si="25"/>
        <v>33</v>
      </c>
      <c r="EG95" s="135"/>
      <c r="EH95" s="581">
        <v>33</v>
      </c>
      <c r="EI95" s="601">
        <v>0</v>
      </c>
      <c r="EJ95" s="602">
        <v>0</v>
      </c>
      <c r="EK95" s="603">
        <f t="shared" si="18"/>
        <v>0</v>
      </c>
      <c r="EL95" s="603">
        <f t="shared" si="18"/>
        <v>0</v>
      </c>
      <c r="EM95" s="602">
        <f t="shared" si="11"/>
        <v>0</v>
      </c>
      <c r="EN95" s="581">
        <v>33</v>
      </c>
      <c r="EO95" s="602">
        <v>0</v>
      </c>
      <c r="EP95" s="602">
        <v>0</v>
      </c>
      <c r="EQ95" s="603">
        <f t="shared" si="16"/>
        <v>0</v>
      </c>
      <c r="ER95" s="603">
        <f t="shared" si="12"/>
        <v>0</v>
      </c>
      <c r="ES95" s="602">
        <v>0</v>
      </c>
      <c r="ET95" s="519">
        <f t="shared" si="7"/>
        <v>33</v>
      </c>
      <c r="EU95" s="602">
        <v>0</v>
      </c>
      <c r="EV95" s="602">
        <v>0</v>
      </c>
      <c r="EW95" s="603">
        <f t="shared" si="21"/>
        <v>0</v>
      </c>
      <c r="EX95" s="603">
        <f t="shared" si="21"/>
        <v>0</v>
      </c>
      <c r="EY95" s="602">
        <f t="shared" si="15"/>
        <v>0</v>
      </c>
      <c r="EZ95" s="580"/>
      <c r="FA95" s="580"/>
      <c r="FB95" s="580"/>
      <c r="FC95" s="580"/>
      <c r="FD95" s="580"/>
      <c r="FE95" s="580"/>
      <c r="FF95" s="580"/>
      <c r="FG95" s="580"/>
      <c r="FH95" s="580"/>
    </row>
    <row r="96" spans="1:164" x14ac:dyDescent="0.2">
      <c r="A96" s="159">
        <v>34</v>
      </c>
      <c r="B96" s="146"/>
      <c r="C96" s="131"/>
      <c r="D96" s="146"/>
      <c r="E96" s="131"/>
      <c r="F96" s="124"/>
      <c r="G96" s="124"/>
      <c r="H96" s="146"/>
      <c r="I96" s="131"/>
      <c r="J96" s="181">
        <v>2</v>
      </c>
      <c r="K96" s="124"/>
      <c r="L96" s="146"/>
      <c r="M96" s="131"/>
      <c r="N96" s="124"/>
      <c r="O96" s="124"/>
      <c r="P96" s="146"/>
      <c r="Q96" s="131"/>
      <c r="R96" s="181">
        <v>5</v>
      </c>
      <c r="S96" s="124"/>
      <c r="T96" s="146"/>
      <c r="U96" s="131"/>
      <c r="V96" s="181">
        <v>1</v>
      </c>
      <c r="W96" s="181">
        <v>1</v>
      </c>
      <c r="X96" s="146"/>
      <c r="Y96" s="131"/>
      <c r="Z96" s="181">
        <v>1</v>
      </c>
      <c r="AA96" s="181">
        <v>1</v>
      </c>
      <c r="AB96" s="146"/>
      <c r="AC96" s="131"/>
      <c r="AD96" s="181">
        <v>1</v>
      </c>
      <c r="AE96" s="124"/>
      <c r="AF96" s="146"/>
      <c r="AG96" s="135"/>
      <c r="AH96" s="146"/>
      <c r="AI96" s="141"/>
      <c r="AJ96" s="135"/>
      <c r="AK96" s="131"/>
      <c r="AN96" s="146"/>
      <c r="AO96" s="131"/>
      <c r="AR96" s="146"/>
      <c r="AS96" s="131"/>
      <c r="AV96" s="146"/>
      <c r="AW96" s="131"/>
      <c r="AZ96" s="146"/>
      <c r="BA96" s="131"/>
      <c r="BB96" s="182">
        <v>1</v>
      </c>
      <c r="BC96" s="131"/>
      <c r="BD96" s="146"/>
      <c r="BE96" s="131"/>
      <c r="BF96" s="146"/>
      <c r="BG96" s="135"/>
      <c r="BH96" s="135"/>
      <c r="BI96" s="135"/>
      <c r="BJ96" s="135"/>
      <c r="BK96" s="135"/>
      <c r="BL96" s="146"/>
      <c r="BM96" s="135"/>
      <c r="BN96" s="135"/>
      <c r="BO96" s="135"/>
      <c r="BP96" s="135"/>
      <c r="BQ96" s="131"/>
      <c r="BR96" s="146"/>
      <c r="BS96" s="135"/>
      <c r="BT96" s="135"/>
      <c r="BU96" s="135"/>
      <c r="BV96" s="135"/>
      <c r="BW96" s="131"/>
      <c r="BX96" s="182">
        <v>0</v>
      </c>
      <c r="BY96" s="188">
        <v>0</v>
      </c>
      <c r="BZ96" s="188">
        <v>0</v>
      </c>
      <c r="CA96" s="188">
        <v>1</v>
      </c>
      <c r="CB96" s="188">
        <v>0</v>
      </c>
      <c r="CC96" s="183">
        <v>1</v>
      </c>
      <c r="CD96" s="146"/>
      <c r="CE96" s="135"/>
      <c r="CF96" s="135"/>
      <c r="CG96" s="135"/>
      <c r="CH96" s="135"/>
      <c r="CI96" s="131"/>
      <c r="CJ96" s="146"/>
      <c r="CK96" s="135"/>
      <c r="CL96" s="135"/>
      <c r="CM96" s="135"/>
      <c r="CN96" s="135"/>
      <c r="CO96" s="131"/>
      <c r="CP96" s="146"/>
      <c r="CQ96" s="135"/>
      <c r="CR96" s="135"/>
      <c r="CS96" s="135"/>
      <c r="CT96" s="135"/>
      <c r="CU96" s="131"/>
      <c r="CV96" s="146"/>
      <c r="CW96" s="135"/>
      <c r="CX96" s="135"/>
      <c r="CY96" s="135"/>
      <c r="CZ96" s="135"/>
      <c r="DA96" s="131"/>
      <c r="DB96" s="146"/>
      <c r="DC96" s="135"/>
      <c r="DD96" s="135"/>
      <c r="DE96" s="135"/>
      <c r="DF96" s="135"/>
      <c r="DG96" s="131"/>
      <c r="DH96" s="146"/>
      <c r="DI96" s="135"/>
      <c r="DJ96" s="135"/>
      <c r="DK96" s="135"/>
      <c r="DL96" s="135"/>
      <c r="DM96" s="131"/>
      <c r="DN96" s="146"/>
      <c r="DO96" s="135"/>
      <c r="DP96" s="135"/>
      <c r="DQ96" s="135"/>
      <c r="DR96" s="135"/>
      <c r="DS96" s="131"/>
      <c r="DT96" s="146"/>
      <c r="DU96" s="135"/>
      <c r="DV96" s="135"/>
      <c r="DW96" s="135"/>
      <c r="DX96" s="135"/>
      <c r="DY96" s="131"/>
      <c r="DZ96" s="146"/>
      <c r="EA96" s="135"/>
      <c r="EB96" s="135"/>
      <c r="EC96" s="135"/>
      <c r="ED96" s="135"/>
      <c r="EE96" s="131"/>
      <c r="EF96" s="135">
        <f t="shared" si="25"/>
        <v>34</v>
      </c>
      <c r="EG96" s="135"/>
      <c r="EH96" s="581">
        <v>34</v>
      </c>
      <c r="EI96" s="601">
        <f t="shared" ref="EI96:EI105" si="26">AVERAGE(D96,F96,H96,J96,L96,N96,P96,R96,T96,V96,X96,Z96,AB96,AD96,AF96,AH96,AJ96,AL96,AN96,AP96,AR96,AT96,AV96,AX96,AZ96,BB96,BD96)</f>
        <v>1.8333333333333333</v>
      </c>
      <c r="EJ96" s="602">
        <f t="shared" ref="EJ96:EJ105" si="27">AVERAGE(E96,G96,I96,K96,M96,O96,Q96,S96,U96,W96,Y96,AA96,AC96,AE96,AG96,AI96,AK96,AM96,AO96,AQ96,AS96,AU96,AW96,AY96,BA96,BC96,BE96)</f>
        <v>1</v>
      </c>
      <c r="EK96" s="603">
        <f t="shared" ref="EK96:EL111" si="28">EI155</f>
        <v>0.83333333333333337</v>
      </c>
      <c r="EL96" s="603">
        <f t="shared" si="28"/>
        <v>0.16666666666666666</v>
      </c>
      <c r="EM96" s="602">
        <f t="shared" si="11"/>
        <v>2.833333333333333</v>
      </c>
      <c r="EN96" s="581">
        <v>34</v>
      </c>
      <c r="EO96" s="602">
        <f t="shared" ref="EO96:EO108" si="29">AVERAGE(AJ96,AL96,AN96,AP96,AR96,AT96,AV96,AX96,AZ96,BB96,BD96)</f>
        <v>1</v>
      </c>
      <c r="EP96" s="602">
        <v>0</v>
      </c>
      <c r="EQ96" s="603">
        <f t="shared" si="16"/>
        <v>1</v>
      </c>
      <c r="ER96" s="603">
        <f t="shared" si="12"/>
        <v>0</v>
      </c>
      <c r="ES96" s="602">
        <v>0</v>
      </c>
      <c r="ET96" s="519">
        <f t="shared" si="7"/>
        <v>34</v>
      </c>
      <c r="EU96" s="602">
        <f t="shared" ref="EU96:EU105" si="30">AVERAGE(D96,F96,H96,J96,L96,N96,P96,R96,T96,V96,X96,Z96,AB96,AD96,AF96,AH96)</f>
        <v>2</v>
      </c>
      <c r="EV96" s="602">
        <f t="shared" ref="EV96:EV105" si="31">AVERAGE(E96,G96,I96,K96,M96,O96,Q96,S96,U96,W96,Y96,AA96,AC96,AE96,AG96,AI96)</f>
        <v>1</v>
      </c>
      <c r="EW96" s="603">
        <f t="shared" ref="EW96:EX111" si="32">EO155</f>
        <v>0.8</v>
      </c>
      <c r="EX96" s="603">
        <f t="shared" si="32"/>
        <v>0.2</v>
      </c>
      <c r="EY96" s="602">
        <f t="shared" si="15"/>
        <v>3</v>
      </c>
      <c r="EZ96" s="580"/>
      <c r="FA96" s="580"/>
      <c r="FB96" s="580"/>
      <c r="FC96" s="580"/>
      <c r="FD96" s="580"/>
      <c r="FE96" s="580"/>
      <c r="FF96" s="580"/>
      <c r="FG96" s="580"/>
      <c r="FH96" s="580"/>
    </row>
    <row r="97" spans="1:164" x14ac:dyDescent="0.2">
      <c r="A97" s="159">
        <v>35</v>
      </c>
      <c r="B97" s="146"/>
      <c r="C97" s="131"/>
      <c r="D97" s="146"/>
      <c r="E97" s="131"/>
      <c r="F97" s="181">
        <v>1</v>
      </c>
      <c r="G97" s="124"/>
      <c r="H97" s="146"/>
      <c r="I97" s="131"/>
      <c r="J97" s="181">
        <v>2</v>
      </c>
      <c r="K97" s="124"/>
      <c r="L97" s="146"/>
      <c r="M97" s="131"/>
      <c r="N97" s="181">
        <v>2</v>
      </c>
      <c r="O97" s="124"/>
      <c r="P97" s="146"/>
      <c r="Q97" s="131"/>
      <c r="R97" s="181">
        <v>1</v>
      </c>
      <c r="S97" s="181">
        <v>1</v>
      </c>
      <c r="T97" s="182">
        <v>3</v>
      </c>
      <c r="U97" s="131"/>
      <c r="V97" s="181">
        <v>2</v>
      </c>
      <c r="W97" s="124"/>
      <c r="X97" s="146"/>
      <c r="Y97" s="131"/>
      <c r="Z97" s="181">
        <v>2</v>
      </c>
      <c r="AA97" s="124"/>
      <c r="AB97" s="146"/>
      <c r="AC97" s="131"/>
      <c r="AD97" s="181">
        <v>1</v>
      </c>
      <c r="AE97" s="124"/>
      <c r="AF97" s="146"/>
      <c r="AG97" s="135"/>
      <c r="AH97" s="146"/>
      <c r="AI97" s="191">
        <v>1</v>
      </c>
      <c r="AJ97" s="135"/>
      <c r="AK97" s="131"/>
      <c r="AN97" s="146"/>
      <c r="AO97" s="131"/>
      <c r="AP97" s="181">
        <v>1</v>
      </c>
      <c r="AQ97" s="181">
        <v>1</v>
      </c>
      <c r="AR97" s="146"/>
      <c r="AS97" s="131"/>
      <c r="AT97" s="181">
        <v>1</v>
      </c>
      <c r="AV97" s="146"/>
      <c r="AW97" s="131"/>
      <c r="AZ97" s="182">
        <v>1</v>
      </c>
      <c r="BA97" s="131"/>
      <c r="BB97" s="182">
        <v>1</v>
      </c>
      <c r="BC97" s="131"/>
      <c r="BD97" s="146"/>
      <c r="BE97" s="131"/>
      <c r="BF97" s="182">
        <v>0</v>
      </c>
      <c r="BG97" s="188">
        <v>2</v>
      </c>
      <c r="BH97" s="188">
        <v>0</v>
      </c>
      <c r="BI97" s="188">
        <v>0</v>
      </c>
      <c r="BJ97" s="188">
        <v>0</v>
      </c>
      <c r="BK97" s="188">
        <v>0</v>
      </c>
      <c r="BL97" s="146"/>
      <c r="BM97" s="135"/>
      <c r="BN97" s="135"/>
      <c r="BO97" s="135"/>
      <c r="BP97" s="135"/>
      <c r="BQ97" s="131"/>
      <c r="BR97" s="146"/>
      <c r="BS97" s="135"/>
      <c r="BT97" s="135"/>
      <c r="BU97" s="135"/>
      <c r="BV97" s="135"/>
      <c r="BW97" s="131"/>
      <c r="BX97" s="182">
        <v>0</v>
      </c>
      <c r="BY97" s="188">
        <v>1</v>
      </c>
      <c r="BZ97" s="188">
        <v>0</v>
      </c>
      <c r="CA97" s="188">
        <v>0</v>
      </c>
      <c r="CB97" s="188">
        <v>0</v>
      </c>
      <c r="CC97" s="183">
        <v>0</v>
      </c>
      <c r="CD97" s="146"/>
      <c r="CE97" s="135"/>
      <c r="CF97" s="135"/>
      <c r="CG97" s="135"/>
      <c r="CH97" s="135"/>
      <c r="CI97" s="131"/>
      <c r="CJ97" s="146"/>
      <c r="CK97" s="135"/>
      <c r="CL97" s="135"/>
      <c r="CM97" s="135"/>
      <c r="CN97" s="135"/>
      <c r="CO97" s="131"/>
      <c r="CP97" s="146"/>
      <c r="CQ97" s="135"/>
      <c r="CR97" s="135"/>
      <c r="CS97" s="135"/>
      <c r="CT97" s="135"/>
      <c r="CU97" s="131"/>
      <c r="CV97" s="146"/>
      <c r="CW97" s="135"/>
      <c r="CX97" s="135"/>
      <c r="CY97" s="135"/>
      <c r="CZ97" s="135"/>
      <c r="DA97" s="131"/>
      <c r="DB97" s="146"/>
      <c r="DC97" s="135"/>
      <c r="DD97" s="135"/>
      <c r="DE97" s="135"/>
      <c r="DF97" s="135"/>
      <c r="DG97" s="131"/>
      <c r="DH97" s="146"/>
      <c r="DI97" s="135"/>
      <c r="DJ97" s="135"/>
      <c r="DK97" s="135"/>
      <c r="DL97" s="135"/>
      <c r="DM97" s="131"/>
      <c r="DN97" s="146"/>
      <c r="DO97" s="135"/>
      <c r="DP97" s="135"/>
      <c r="DQ97" s="135"/>
      <c r="DR97" s="135"/>
      <c r="DS97" s="131"/>
      <c r="DT97" s="146"/>
      <c r="DU97" s="135"/>
      <c r="DV97" s="135"/>
      <c r="DW97" s="135"/>
      <c r="DX97" s="135"/>
      <c r="DY97" s="131"/>
      <c r="DZ97" s="146"/>
      <c r="EA97" s="135"/>
      <c r="EB97" s="135"/>
      <c r="EC97" s="135"/>
      <c r="ED97" s="135"/>
      <c r="EE97" s="131"/>
      <c r="EF97" s="135">
        <f t="shared" si="25"/>
        <v>35</v>
      </c>
      <c r="EG97" s="135"/>
      <c r="EH97" s="581">
        <v>35</v>
      </c>
      <c r="EI97" s="601">
        <f t="shared" si="26"/>
        <v>1.5</v>
      </c>
      <c r="EJ97" s="602">
        <f t="shared" si="27"/>
        <v>1</v>
      </c>
      <c r="EK97" s="603">
        <f t="shared" si="28"/>
        <v>0.84615384615384615</v>
      </c>
      <c r="EL97" s="603">
        <f t="shared" si="28"/>
        <v>0.15384615384615385</v>
      </c>
      <c r="EM97" s="602">
        <f t="shared" si="11"/>
        <v>2.5</v>
      </c>
      <c r="EN97" s="581">
        <v>35</v>
      </c>
      <c r="EO97" s="602">
        <f t="shared" si="29"/>
        <v>1</v>
      </c>
      <c r="EP97" s="602">
        <f>AVERAGE(AK97,AM97,AO97,AQ97,AS97,AU97,AW97,AY97,BA97,BC97,BE97)</f>
        <v>1</v>
      </c>
      <c r="EQ97" s="603">
        <f t="shared" si="16"/>
        <v>0.875</v>
      </c>
      <c r="ER97" s="603">
        <f t="shared" si="12"/>
        <v>0.125</v>
      </c>
      <c r="ES97" s="602">
        <f t="shared" si="13"/>
        <v>2</v>
      </c>
      <c r="ET97" s="519">
        <f t="shared" si="7"/>
        <v>35</v>
      </c>
      <c r="EU97" s="602">
        <f t="shared" si="30"/>
        <v>1.75</v>
      </c>
      <c r="EV97" s="602">
        <f t="shared" si="31"/>
        <v>1</v>
      </c>
      <c r="EW97" s="603">
        <f t="shared" si="32"/>
        <v>0.83333333333333337</v>
      </c>
      <c r="EX97" s="603">
        <f t="shared" si="32"/>
        <v>0.16666666666666666</v>
      </c>
      <c r="EY97" s="602">
        <f t="shared" si="15"/>
        <v>2.75</v>
      </c>
      <c r="EZ97" s="580"/>
      <c r="FA97" s="580"/>
      <c r="FB97" s="580"/>
      <c r="FC97" s="580"/>
      <c r="FD97" s="580"/>
      <c r="FE97" s="580"/>
      <c r="FF97" s="580"/>
      <c r="FG97" s="580"/>
      <c r="FH97" s="580"/>
    </row>
    <row r="98" spans="1:164" x14ac:dyDescent="0.2">
      <c r="A98" s="159">
        <v>36</v>
      </c>
      <c r="B98" s="146"/>
      <c r="C98" s="131"/>
      <c r="D98" s="146"/>
      <c r="E98" s="131"/>
      <c r="F98" s="181">
        <v>9</v>
      </c>
      <c r="G98" s="181">
        <v>1</v>
      </c>
      <c r="H98" s="146"/>
      <c r="I98" s="131"/>
      <c r="J98" s="181">
        <v>6</v>
      </c>
      <c r="K98" s="124"/>
      <c r="L98" s="146"/>
      <c r="M98" s="131"/>
      <c r="N98" s="124"/>
      <c r="O98" s="124"/>
      <c r="P98" s="146"/>
      <c r="Q98" s="131"/>
      <c r="R98" s="124"/>
      <c r="S98" s="124"/>
      <c r="T98" s="146"/>
      <c r="U98" s="131"/>
      <c r="V98" s="181">
        <v>1</v>
      </c>
      <c r="W98" s="124"/>
      <c r="X98" s="146"/>
      <c r="Y98" s="131"/>
      <c r="Z98" s="124"/>
      <c r="AA98" s="181">
        <v>1</v>
      </c>
      <c r="AB98" s="146"/>
      <c r="AC98" s="131"/>
      <c r="AD98" s="181">
        <v>9</v>
      </c>
      <c r="AE98" s="124"/>
      <c r="AF98" s="146"/>
      <c r="AG98" s="135"/>
      <c r="AH98" s="182">
        <v>2</v>
      </c>
      <c r="AI98" s="191">
        <v>1</v>
      </c>
      <c r="AJ98" s="135"/>
      <c r="AK98" s="131"/>
      <c r="AM98" s="181">
        <v>1</v>
      </c>
      <c r="AN98" s="146"/>
      <c r="AO98" s="131"/>
      <c r="AR98" s="146"/>
      <c r="AS98" s="131"/>
      <c r="AT98" s="181">
        <v>1</v>
      </c>
      <c r="AU98" s="181">
        <v>1</v>
      </c>
      <c r="AV98" s="146"/>
      <c r="AW98" s="131"/>
      <c r="AZ98" s="182">
        <v>4</v>
      </c>
      <c r="BA98" s="188">
        <v>1</v>
      </c>
      <c r="BB98" s="146"/>
      <c r="BC98" s="135"/>
      <c r="BD98" s="146"/>
      <c r="BE98" s="131"/>
      <c r="BF98" s="146"/>
      <c r="BG98" s="135"/>
      <c r="BH98" s="135"/>
      <c r="BI98" s="135"/>
      <c r="BJ98" s="135"/>
      <c r="BK98" s="135"/>
      <c r="BL98" s="182">
        <v>1</v>
      </c>
      <c r="BM98" s="188">
        <v>0</v>
      </c>
      <c r="BN98" s="188">
        <v>0</v>
      </c>
      <c r="BO98" s="188">
        <v>1</v>
      </c>
      <c r="BP98" s="188">
        <v>0</v>
      </c>
      <c r="BQ98" s="183">
        <v>0</v>
      </c>
      <c r="BR98" s="182">
        <v>0</v>
      </c>
      <c r="BS98" s="188">
        <v>0</v>
      </c>
      <c r="BT98" s="188">
        <v>0</v>
      </c>
      <c r="BU98" s="188">
        <v>1</v>
      </c>
      <c r="BV98" s="188">
        <v>0</v>
      </c>
      <c r="BW98" s="183">
        <v>0</v>
      </c>
      <c r="BX98" s="182">
        <v>1</v>
      </c>
      <c r="BY98" s="188">
        <v>0</v>
      </c>
      <c r="BZ98" s="188">
        <v>1</v>
      </c>
      <c r="CA98" s="188">
        <v>0</v>
      </c>
      <c r="CB98" s="188">
        <v>0</v>
      </c>
      <c r="CC98" s="183">
        <v>0</v>
      </c>
      <c r="CD98" s="146"/>
      <c r="CE98" s="135"/>
      <c r="CF98" s="135"/>
      <c r="CG98" s="135"/>
      <c r="CH98" s="135"/>
      <c r="CI98" s="131"/>
      <c r="CJ98" s="146"/>
      <c r="CK98" s="135"/>
      <c r="CL98" s="135"/>
      <c r="CM98" s="135"/>
      <c r="CN98" s="135"/>
      <c r="CO98" s="131"/>
      <c r="CP98" s="146"/>
      <c r="CQ98" s="135"/>
      <c r="CR98" s="135"/>
      <c r="CS98" s="135"/>
      <c r="CT98" s="135"/>
      <c r="CU98" s="131"/>
      <c r="CV98" s="146"/>
      <c r="CW98" s="135"/>
      <c r="CX98" s="135"/>
      <c r="CY98" s="135"/>
      <c r="CZ98" s="135"/>
      <c r="DA98" s="131"/>
      <c r="DB98" s="146"/>
      <c r="DC98" s="135"/>
      <c r="DD98" s="135"/>
      <c r="DE98" s="135"/>
      <c r="DF98" s="135"/>
      <c r="DG98" s="131"/>
      <c r="DH98" s="146"/>
      <c r="DI98" s="135"/>
      <c r="DJ98" s="135"/>
      <c r="DK98" s="135"/>
      <c r="DL98" s="135"/>
      <c r="DM98" s="131"/>
      <c r="DN98" s="146"/>
      <c r="DO98" s="135"/>
      <c r="DP98" s="135"/>
      <c r="DQ98" s="135"/>
      <c r="DR98" s="135"/>
      <c r="DS98" s="131"/>
      <c r="DT98" s="146"/>
      <c r="DU98" s="135"/>
      <c r="DV98" s="135"/>
      <c r="DW98" s="135"/>
      <c r="DX98" s="135"/>
      <c r="DY98" s="131"/>
      <c r="DZ98" s="146"/>
      <c r="EA98" s="135"/>
      <c r="EB98" s="135"/>
      <c r="EC98" s="135"/>
      <c r="ED98" s="135"/>
      <c r="EE98" s="131"/>
      <c r="EF98" s="135">
        <f t="shared" si="25"/>
        <v>36</v>
      </c>
      <c r="EG98" s="135"/>
      <c r="EH98" s="581">
        <v>36</v>
      </c>
      <c r="EI98" s="601">
        <f t="shared" si="26"/>
        <v>4.5714285714285712</v>
      </c>
      <c r="EJ98" s="602">
        <f t="shared" si="27"/>
        <v>1</v>
      </c>
      <c r="EK98" s="603">
        <f t="shared" si="28"/>
        <v>0.65185185185185179</v>
      </c>
      <c r="EL98" s="603">
        <f t="shared" si="28"/>
        <v>0.34814814814814815</v>
      </c>
      <c r="EM98" s="602">
        <f t="shared" si="11"/>
        <v>5.5714285714285712</v>
      </c>
      <c r="EN98" s="581">
        <v>36</v>
      </c>
      <c r="EO98" s="602">
        <f t="shared" si="29"/>
        <v>2.5</v>
      </c>
      <c r="EP98" s="602">
        <f>AVERAGE(AK98,AM98,AO98,AQ98,AS98,AU98,AW98,AY98,BA98,BC98,BE98)</f>
        <v>1</v>
      </c>
      <c r="EQ98" s="603">
        <f t="shared" si="16"/>
        <v>0.43333333333333335</v>
      </c>
      <c r="ER98" s="603">
        <f t="shared" si="12"/>
        <v>0.56666666666666665</v>
      </c>
      <c r="ES98" s="602">
        <f t="shared" si="13"/>
        <v>3.5</v>
      </c>
      <c r="ET98" s="519">
        <f t="shared" si="7"/>
        <v>36</v>
      </c>
      <c r="EU98" s="602">
        <f t="shared" si="30"/>
        <v>5.4</v>
      </c>
      <c r="EV98" s="602">
        <f t="shared" si="31"/>
        <v>1</v>
      </c>
      <c r="EW98" s="603">
        <f t="shared" si="32"/>
        <v>0.76111111111111107</v>
      </c>
      <c r="EX98" s="603">
        <f t="shared" si="32"/>
        <v>0.2388888888888889</v>
      </c>
      <c r="EY98" s="602">
        <f t="shared" si="15"/>
        <v>6.4</v>
      </c>
      <c r="EZ98" s="580"/>
      <c r="FA98" s="580"/>
      <c r="FB98" s="580"/>
      <c r="FC98" s="580"/>
      <c r="FD98" s="580"/>
      <c r="FE98" s="580"/>
      <c r="FF98" s="580"/>
      <c r="FG98" s="580"/>
      <c r="FH98" s="580"/>
    </row>
    <row r="99" spans="1:164" x14ac:dyDescent="0.2">
      <c r="A99" s="159">
        <v>37</v>
      </c>
      <c r="B99" s="146"/>
      <c r="C99" s="131"/>
      <c r="D99" s="146"/>
      <c r="E99" s="131"/>
      <c r="F99" s="124"/>
      <c r="G99" s="124"/>
      <c r="H99" s="146"/>
      <c r="I99" s="131"/>
      <c r="J99" s="181">
        <v>9</v>
      </c>
      <c r="K99" s="124"/>
      <c r="L99" s="146"/>
      <c r="M99" s="131"/>
      <c r="N99" s="124"/>
      <c r="O99" s="124"/>
      <c r="P99" s="146"/>
      <c r="Q99" s="131"/>
      <c r="R99" s="181">
        <v>1</v>
      </c>
      <c r="S99" s="181">
        <v>1</v>
      </c>
      <c r="T99" s="146"/>
      <c r="U99" s="131"/>
      <c r="V99" s="124"/>
      <c r="W99" s="124"/>
      <c r="X99" s="146"/>
      <c r="Y99" s="131"/>
      <c r="Z99" s="124"/>
      <c r="AA99" s="124"/>
      <c r="AB99" s="146"/>
      <c r="AC99" s="131"/>
      <c r="AD99" s="181">
        <v>2</v>
      </c>
      <c r="AE99" s="181">
        <v>2</v>
      </c>
      <c r="AF99" s="146"/>
      <c r="AG99" s="135"/>
      <c r="AH99" s="182">
        <v>3</v>
      </c>
      <c r="AI99" s="141"/>
      <c r="AJ99" s="135"/>
      <c r="AK99" s="131"/>
      <c r="AL99" s="181">
        <v>3</v>
      </c>
      <c r="AN99" s="146"/>
      <c r="AO99" s="131"/>
      <c r="AR99" s="146"/>
      <c r="AS99" s="131"/>
      <c r="AT99" s="181">
        <v>1</v>
      </c>
      <c r="AV99" s="146"/>
      <c r="AW99" s="131"/>
      <c r="AZ99" s="182">
        <v>1</v>
      </c>
      <c r="BA99" s="131"/>
      <c r="BB99" s="146"/>
      <c r="BC99" s="131"/>
      <c r="BD99" s="146"/>
      <c r="BE99" s="131"/>
      <c r="BF99" s="182">
        <v>0</v>
      </c>
      <c r="BG99" s="188">
        <v>0</v>
      </c>
      <c r="BH99" s="188">
        <v>0</v>
      </c>
      <c r="BI99" s="188">
        <v>0</v>
      </c>
      <c r="BJ99" s="188">
        <v>0</v>
      </c>
      <c r="BK99" s="188">
        <v>1</v>
      </c>
      <c r="BL99" s="146"/>
      <c r="BM99" s="135"/>
      <c r="BN99" s="135"/>
      <c r="BO99" s="135"/>
      <c r="BP99" s="135"/>
      <c r="BQ99" s="131"/>
      <c r="BR99" s="182">
        <v>1</v>
      </c>
      <c r="BS99" s="188">
        <v>0</v>
      </c>
      <c r="BT99" s="188">
        <v>0</v>
      </c>
      <c r="BU99" s="188">
        <v>0</v>
      </c>
      <c r="BV99" s="188">
        <v>0</v>
      </c>
      <c r="BW99" s="183">
        <v>0</v>
      </c>
      <c r="BX99" s="146"/>
      <c r="BY99" s="135"/>
      <c r="BZ99" s="135"/>
      <c r="CA99" s="135"/>
      <c r="CB99" s="135"/>
      <c r="CC99" s="131"/>
      <c r="CD99" s="146"/>
      <c r="CE99" s="135"/>
      <c r="CF99" s="135"/>
      <c r="CG99" s="135"/>
      <c r="CH99" s="135"/>
      <c r="CI99" s="131"/>
      <c r="CJ99" s="146"/>
      <c r="CK99" s="135"/>
      <c r="CL99" s="135"/>
      <c r="CM99" s="135"/>
      <c r="CN99" s="135"/>
      <c r="CO99" s="131"/>
      <c r="CP99" s="146"/>
      <c r="CQ99" s="135"/>
      <c r="CR99" s="135"/>
      <c r="CS99" s="135"/>
      <c r="CT99" s="135"/>
      <c r="CU99" s="131"/>
      <c r="CV99" s="146"/>
      <c r="CW99" s="135"/>
      <c r="CX99" s="135"/>
      <c r="CY99" s="135"/>
      <c r="CZ99" s="135"/>
      <c r="DA99" s="131"/>
      <c r="DB99" s="146"/>
      <c r="DC99" s="135"/>
      <c r="DD99" s="135"/>
      <c r="DE99" s="135"/>
      <c r="DF99" s="135"/>
      <c r="DG99" s="131"/>
      <c r="DH99" s="146"/>
      <c r="DI99" s="135"/>
      <c r="DJ99" s="135"/>
      <c r="DK99" s="135"/>
      <c r="DL99" s="135"/>
      <c r="DM99" s="131"/>
      <c r="DN99" s="146"/>
      <c r="DO99" s="135"/>
      <c r="DP99" s="135"/>
      <c r="DQ99" s="135"/>
      <c r="DR99" s="135"/>
      <c r="DS99" s="131"/>
      <c r="DT99" s="146"/>
      <c r="DU99" s="135"/>
      <c r="DV99" s="135"/>
      <c r="DW99" s="135"/>
      <c r="DX99" s="135"/>
      <c r="DY99" s="131"/>
      <c r="DZ99" s="146"/>
      <c r="EA99" s="135"/>
      <c r="EB99" s="135"/>
      <c r="EC99" s="135"/>
      <c r="ED99" s="135"/>
      <c r="EE99" s="131"/>
      <c r="EF99" s="135">
        <f t="shared" si="25"/>
        <v>37</v>
      </c>
      <c r="EG99" s="135"/>
      <c r="EH99" s="581">
        <v>37</v>
      </c>
      <c r="EI99" s="601">
        <f t="shared" si="26"/>
        <v>2.8571428571428572</v>
      </c>
      <c r="EJ99" s="602">
        <f t="shared" si="27"/>
        <v>1.5</v>
      </c>
      <c r="EK99" s="603">
        <f t="shared" si="28"/>
        <v>0.8571428571428571</v>
      </c>
      <c r="EL99" s="603">
        <f t="shared" si="28"/>
        <v>0.14285714285714285</v>
      </c>
      <c r="EM99" s="602">
        <f t="shared" si="11"/>
        <v>4.3571428571428577</v>
      </c>
      <c r="EN99" s="581">
        <v>37</v>
      </c>
      <c r="EO99" s="602">
        <f t="shared" si="29"/>
        <v>1.6666666666666667</v>
      </c>
      <c r="EP99" s="602">
        <v>0</v>
      </c>
      <c r="EQ99" s="603">
        <f t="shared" si="16"/>
        <v>1</v>
      </c>
      <c r="ER99" s="603">
        <f t="shared" si="12"/>
        <v>0</v>
      </c>
      <c r="ES99" s="602">
        <f t="shared" si="13"/>
        <v>1.6666666666666667</v>
      </c>
      <c r="ET99" s="519">
        <f t="shared" si="7"/>
        <v>37</v>
      </c>
      <c r="EU99" s="602">
        <f t="shared" si="30"/>
        <v>3.75</v>
      </c>
      <c r="EV99" s="602">
        <f t="shared" si="31"/>
        <v>1.5</v>
      </c>
      <c r="EW99" s="603">
        <f t="shared" si="32"/>
        <v>0.75</v>
      </c>
      <c r="EX99" s="603">
        <f t="shared" si="32"/>
        <v>0.25</v>
      </c>
      <c r="EY99" s="602">
        <f t="shared" si="15"/>
        <v>5.25</v>
      </c>
      <c r="EZ99" s="580"/>
      <c r="FA99" s="580"/>
      <c r="FB99" s="580"/>
      <c r="FC99" s="580"/>
      <c r="FD99" s="580"/>
      <c r="FE99" s="580"/>
      <c r="FF99" s="580"/>
      <c r="FG99" s="580"/>
      <c r="FH99" s="580"/>
    </row>
    <row r="100" spans="1:164" x14ac:dyDescent="0.2">
      <c r="A100" s="159">
        <v>38</v>
      </c>
      <c r="B100" s="146"/>
      <c r="C100" s="131"/>
      <c r="D100" s="146"/>
      <c r="E100" s="131"/>
      <c r="F100" s="181">
        <v>1</v>
      </c>
      <c r="G100" s="124"/>
      <c r="H100" s="146"/>
      <c r="I100" s="131"/>
      <c r="J100" s="181">
        <v>1</v>
      </c>
      <c r="K100" s="124"/>
      <c r="L100" s="146"/>
      <c r="M100" s="131"/>
      <c r="N100" s="181">
        <v>1</v>
      </c>
      <c r="O100" s="124"/>
      <c r="P100" s="146"/>
      <c r="Q100" s="131"/>
      <c r="R100" s="124"/>
      <c r="S100" s="124"/>
      <c r="T100" s="146"/>
      <c r="U100" s="131"/>
      <c r="V100" s="181">
        <v>1</v>
      </c>
      <c r="W100" s="124"/>
      <c r="X100" s="146"/>
      <c r="Y100" s="131"/>
      <c r="Z100" s="181">
        <v>2</v>
      </c>
      <c r="AA100" s="124"/>
      <c r="AB100" s="146"/>
      <c r="AC100" s="131"/>
      <c r="AD100" s="124"/>
      <c r="AE100" s="124"/>
      <c r="AF100" s="146"/>
      <c r="AG100" s="135"/>
      <c r="AH100" s="146"/>
      <c r="AI100" s="191">
        <v>1</v>
      </c>
      <c r="AJ100" s="135"/>
      <c r="AK100" s="131"/>
      <c r="AN100" s="146"/>
      <c r="AO100" s="183">
        <v>1</v>
      </c>
      <c r="AQ100" s="181">
        <v>1</v>
      </c>
      <c r="AR100" s="146"/>
      <c r="AS100" s="131"/>
      <c r="AT100" s="181">
        <v>7</v>
      </c>
      <c r="AU100" s="181">
        <v>4</v>
      </c>
      <c r="AV100" s="146"/>
      <c r="AW100" s="131"/>
      <c r="AZ100" s="182">
        <v>1</v>
      </c>
      <c r="BA100" s="131"/>
      <c r="BB100" s="182">
        <v>1</v>
      </c>
      <c r="BC100" s="131"/>
      <c r="BD100" s="146"/>
      <c r="BE100" s="131"/>
      <c r="BF100" s="146"/>
      <c r="BG100" s="135"/>
      <c r="BH100" s="135"/>
      <c r="BI100" s="135"/>
      <c r="BJ100" s="135"/>
      <c r="BK100" s="135"/>
      <c r="BL100" s="182">
        <v>0</v>
      </c>
      <c r="BM100" s="188">
        <v>0</v>
      </c>
      <c r="BN100" s="188">
        <v>0</v>
      </c>
      <c r="BO100" s="188">
        <v>1</v>
      </c>
      <c r="BP100" s="188">
        <v>0</v>
      </c>
      <c r="BQ100" s="183">
        <v>0</v>
      </c>
      <c r="BR100" s="146"/>
      <c r="BS100" s="135"/>
      <c r="BT100" s="135"/>
      <c r="BU100" s="135"/>
      <c r="BV100" s="135"/>
      <c r="BW100" s="131"/>
      <c r="BX100" s="146"/>
      <c r="BY100" s="135"/>
      <c r="BZ100" s="135"/>
      <c r="CA100" s="135"/>
      <c r="CB100" s="135"/>
      <c r="CC100" s="131"/>
      <c r="CD100" s="146"/>
      <c r="CE100" s="135"/>
      <c r="CF100" s="135"/>
      <c r="CG100" s="135"/>
      <c r="CH100" s="135"/>
      <c r="CI100" s="131"/>
      <c r="CJ100" s="146"/>
      <c r="CK100" s="135"/>
      <c r="CL100" s="135"/>
      <c r="CM100" s="135"/>
      <c r="CN100" s="135"/>
      <c r="CO100" s="131"/>
      <c r="CP100" s="146"/>
      <c r="CQ100" s="135"/>
      <c r="CR100" s="135"/>
      <c r="CS100" s="135"/>
      <c r="CT100" s="135"/>
      <c r="CU100" s="131"/>
      <c r="CV100" s="146"/>
      <c r="CW100" s="135"/>
      <c r="CX100" s="135"/>
      <c r="CY100" s="135"/>
      <c r="CZ100" s="135"/>
      <c r="DA100" s="131"/>
      <c r="DB100" s="146"/>
      <c r="DC100" s="135"/>
      <c r="DD100" s="135"/>
      <c r="DE100" s="135"/>
      <c r="DF100" s="135"/>
      <c r="DG100" s="131"/>
      <c r="DH100" s="146"/>
      <c r="DI100" s="135"/>
      <c r="DJ100" s="135"/>
      <c r="DK100" s="135"/>
      <c r="DL100" s="135"/>
      <c r="DM100" s="131"/>
      <c r="DN100" s="146"/>
      <c r="DO100" s="135"/>
      <c r="DP100" s="135"/>
      <c r="DQ100" s="135"/>
      <c r="DR100" s="135"/>
      <c r="DS100" s="131"/>
      <c r="DT100" s="146"/>
      <c r="DU100" s="135"/>
      <c r="DV100" s="135"/>
      <c r="DW100" s="135"/>
      <c r="DX100" s="135"/>
      <c r="DY100" s="131"/>
      <c r="DZ100" s="146"/>
      <c r="EA100" s="135"/>
      <c r="EB100" s="135"/>
      <c r="EC100" s="135"/>
      <c r="ED100" s="135"/>
      <c r="EE100" s="131"/>
      <c r="EF100" s="135">
        <f t="shared" si="25"/>
        <v>38</v>
      </c>
      <c r="EG100" s="135"/>
      <c r="EH100" s="581">
        <v>38</v>
      </c>
      <c r="EI100" s="601">
        <f t="shared" si="26"/>
        <v>1.875</v>
      </c>
      <c r="EJ100" s="602">
        <f t="shared" si="27"/>
        <v>1.75</v>
      </c>
      <c r="EK100" s="603">
        <f t="shared" si="28"/>
        <v>0.69421487603305787</v>
      </c>
      <c r="EL100" s="603">
        <f t="shared" si="28"/>
        <v>0.30578512396694219</v>
      </c>
      <c r="EM100" s="602">
        <f t="shared" si="11"/>
        <v>3.625</v>
      </c>
      <c r="EN100" s="581">
        <v>38</v>
      </c>
      <c r="EO100" s="602">
        <f t="shared" si="29"/>
        <v>3</v>
      </c>
      <c r="EP100" s="602">
        <f>AVERAGE(AK100,AM100,AO100,AQ100,AS100,AU100,AW100,AY100,BA100,BC100,BE100)</f>
        <v>2</v>
      </c>
      <c r="EQ100" s="603">
        <f t="shared" si="16"/>
        <v>0.52727272727272723</v>
      </c>
      <c r="ER100" s="603">
        <f t="shared" si="12"/>
        <v>0.47272727272727277</v>
      </c>
      <c r="ES100" s="602">
        <f t="shared" si="13"/>
        <v>5</v>
      </c>
      <c r="ET100" s="519">
        <f t="shared" si="7"/>
        <v>38</v>
      </c>
      <c r="EU100" s="602">
        <f t="shared" si="30"/>
        <v>1.2</v>
      </c>
      <c r="EV100" s="602">
        <f t="shared" si="31"/>
        <v>1</v>
      </c>
      <c r="EW100" s="603">
        <f t="shared" si="32"/>
        <v>0.83333333333333337</v>
      </c>
      <c r="EX100" s="603">
        <f t="shared" si="32"/>
        <v>0.16666666666666666</v>
      </c>
      <c r="EY100" s="602">
        <f t="shared" si="15"/>
        <v>2.2000000000000002</v>
      </c>
      <c r="EZ100" s="580"/>
      <c r="FA100" s="580"/>
      <c r="FB100" s="580"/>
      <c r="FC100" s="580"/>
      <c r="FD100" s="580"/>
      <c r="FE100" s="580"/>
      <c r="FF100" s="580"/>
      <c r="FG100" s="580"/>
      <c r="FH100" s="580"/>
    </row>
    <row r="101" spans="1:164" x14ac:dyDescent="0.2">
      <c r="A101" s="159">
        <v>39</v>
      </c>
      <c r="B101" s="146"/>
      <c r="C101" s="131"/>
      <c r="D101" s="182">
        <v>2</v>
      </c>
      <c r="E101" s="183">
        <v>1</v>
      </c>
      <c r="F101" s="181">
        <v>3</v>
      </c>
      <c r="G101" s="124"/>
      <c r="H101" s="146"/>
      <c r="I101" s="131"/>
      <c r="J101" s="181">
        <v>6</v>
      </c>
      <c r="K101" s="124"/>
      <c r="L101" s="146"/>
      <c r="M101" s="131"/>
      <c r="N101" s="181">
        <v>1</v>
      </c>
      <c r="O101" s="124"/>
      <c r="P101" s="146"/>
      <c r="Q101" s="131"/>
      <c r="R101" s="124"/>
      <c r="S101" s="181">
        <v>1</v>
      </c>
      <c r="T101" s="146"/>
      <c r="U101" s="131"/>
      <c r="V101" s="181">
        <v>3</v>
      </c>
      <c r="W101" s="181">
        <v>1</v>
      </c>
      <c r="X101" s="146"/>
      <c r="Y101" s="131"/>
      <c r="Z101" s="181">
        <v>3</v>
      </c>
      <c r="AA101" s="124"/>
      <c r="AB101" s="146"/>
      <c r="AC101" s="131"/>
      <c r="AD101" s="181">
        <v>1</v>
      </c>
      <c r="AE101" s="124"/>
      <c r="AF101" s="146"/>
      <c r="AG101" s="135"/>
      <c r="AH101" s="182">
        <v>3</v>
      </c>
      <c r="AI101" s="141"/>
      <c r="AJ101" s="135"/>
      <c r="AK101" s="131"/>
      <c r="AL101" s="181">
        <v>1</v>
      </c>
      <c r="AN101" s="146"/>
      <c r="AO101" s="131"/>
      <c r="AR101" s="182">
        <v>1</v>
      </c>
      <c r="AS101" s="131"/>
      <c r="AT101" s="181">
        <v>2</v>
      </c>
      <c r="AV101" s="146"/>
      <c r="AW101" s="131"/>
      <c r="AZ101" s="146"/>
      <c r="BA101" s="131"/>
      <c r="BB101" s="182">
        <v>1</v>
      </c>
      <c r="BC101" s="131"/>
      <c r="BD101" s="146"/>
      <c r="BE101" s="131"/>
      <c r="BF101" s="146"/>
      <c r="BG101" s="135"/>
      <c r="BH101" s="135"/>
      <c r="BI101" s="135"/>
      <c r="BJ101" s="135"/>
      <c r="BK101" s="135"/>
      <c r="BL101" s="146"/>
      <c r="BM101" s="135"/>
      <c r="BN101" s="135"/>
      <c r="BO101" s="135"/>
      <c r="BP101" s="135"/>
      <c r="BQ101" s="131"/>
      <c r="BR101" s="182">
        <v>1</v>
      </c>
      <c r="BS101" s="188">
        <v>0</v>
      </c>
      <c r="BT101" s="188">
        <v>0</v>
      </c>
      <c r="BU101" s="188">
        <v>0</v>
      </c>
      <c r="BV101" s="188">
        <v>0</v>
      </c>
      <c r="BW101" s="183">
        <v>0</v>
      </c>
      <c r="BX101" s="146"/>
      <c r="BY101" s="135"/>
      <c r="BZ101" s="135"/>
      <c r="CA101" s="135"/>
      <c r="CB101" s="135"/>
      <c r="CC101" s="131"/>
      <c r="CD101" s="146"/>
      <c r="CE101" s="135"/>
      <c r="CF101" s="135"/>
      <c r="CG101" s="135"/>
      <c r="CH101" s="135"/>
      <c r="CI101" s="131"/>
      <c r="CJ101" s="146"/>
      <c r="CK101" s="135"/>
      <c r="CL101" s="135"/>
      <c r="CM101" s="135"/>
      <c r="CN101" s="135"/>
      <c r="CO101" s="131"/>
      <c r="CP101" s="146"/>
      <c r="CQ101" s="135"/>
      <c r="CR101" s="135"/>
      <c r="CS101" s="135"/>
      <c r="CT101" s="135"/>
      <c r="CU101" s="131"/>
      <c r="CV101" s="146"/>
      <c r="CW101" s="135"/>
      <c r="CX101" s="135"/>
      <c r="CY101" s="135"/>
      <c r="CZ101" s="135"/>
      <c r="DA101" s="131"/>
      <c r="DB101" s="146"/>
      <c r="DC101" s="135"/>
      <c r="DD101" s="135"/>
      <c r="DE101" s="135"/>
      <c r="DF101" s="135"/>
      <c r="DG101" s="131"/>
      <c r="DH101" s="146"/>
      <c r="DI101" s="135"/>
      <c r="DJ101" s="135"/>
      <c r="DK101" s="135"/>
      <c r="DL101" s="135"/>
      <c r="DM101" s="131"/>
      <c r="DN101" s="146"/>
      <c r="DO101" s="135"/>
      <c r="DP101" s="135"/>
      <c r="DQ101" s="135"/>
      <c r="DR101" s="135"/>
      <c r="DS101" s="131"/>
      <c r="DT101" s="146"/>
      <c r="DU101" s="135"/>
      <c r="DV101" s="135"/>
      <c r="DW101" s="135"/>
      <c r="DX101" s="135"/>
      <c r="DY101" s="131"/>
      <c r="DZ101" s="146"/>
      <c r="EA101" s="135"/>
      <c r="EB101" s="135"/>
      <c r="EC101" s="135"/>
      <c r="ED101" s="135"/>
      <c r="EE101" s="131"/>
      <c r="EF101" s="135">
        <f t="shared" si="25"/>
        <v>39</v>
      </c>
      <c r="EG101" s="135"/>
      <c r="EH101" s="581">
        <v>39</v>
      </c>
      <c r="EI101" s="601">
        <f t="shared" si="26"/>
        <v>2.25</v>
      </c>
      <c r="EJ101" s="602">
        <f t="shared" si="27"/>
        <v>1</v>
      </c>
      <c r="EK101" s="603">
        <f t="shared" si="28"/>
        <v>0.87820512820512819</v>
      </c>
      <c r="EL101" s="603">
        <f t="shared" si="28"/>
        <v>0.12179487179487179</v>
      </c>
      <c r="EM101" s="602">
        <f t="shared" si="11"/>
        <v>3.25</v>
      </c>
      <c r="EN101" s="581">
        <v>39</v>
      </c>
      <c r="EO101" s="602">
        <f t="shared" si="29"/>
        <v>1.25</v>
      </c>
      <c r="EP101" s="602">
        <v>0</v>
      </c>
      <c r="EQ101" s="603">
        <f t="shared" si="16"/>
        <v>1</v>
      </c>
      <c r="ER101" s="603">
        <f t="shared" si="12"/>
        <v>0</v>
      </c>
      <c r="ES101" s="602">
        <f t="shared" si="13"/>
        <v>1.25</v>
      </c>
      <c r="ET101" s="519">
        <f t="shared" si="7"/>
        <v>39</v>
      </c>
      <c r="EU101" s="602">
        <f t="shared" si="30"/>
        <v>2.75</v>
      </c>
      <c r="EV101" s="602">
        <f t="shared" si="31"/>
        <v>1</v>
      </c>
      <c r="EW101" s="603">
        <f t="shared" si="32"/>
        <v>0.82407407407407396</v>
      </c>
      <c r="EX101" s="603">
        <f t="shared" si="32"/>
        <v>0.17592592592592593</v>
      </c>
      <c r="EY101" s="602">
        <f t="shared" si="15"/>
        <v>3.75</v>
      </c>
      <c r="EZ101" s="580"/>
      <c r="FA101" s="580"/>
      <c r="FB101" s="580"/>
      <c r="FC101" s="580"/>
      <c r="FD101" s="580"/>
      <c r="FE101" s="580"/>
      <c r="FF101" s="580"/>
      <c r="FG101" s="580"/>
      <c r="FH101" s="580"/>
    </row>
    <row r="102" spans="1:164" x14ac:dyDescent="0.2">
      <c r="A102" s="159">
        <v>40</v>
      </c>
      <c r="B102" s="146"/>
      <c r="C102" s="131"/>
      <c r="D102" s="182">
        <v>2</v>
      </c>
      <c r="E102" s="183">
        <v>4</v>
      </c>
      <c r="F102" s="181">
        <v>1</v>
      </c>
      <c r="G102" s="124"/>
      <c r="H102" s="146"/>
      <c r="I102" s="131"/>
      <c r="J102" s="124"/>
      <c r="K102" s="124"/>
      <c r="L102" s="146"/>
      <c r="M102" s="131"/>
      <c r="N102" s="124"/>
      <c r="O102" s="124"/>
      <c r="P102" s="146"/>
      <c r="Q102" s="131"/>
      <c r="R102" s="181">
        <v>1</v>
      </c>
      <c r="S102" s="124"/>
      <c r="T102" s="146"/>
      <c r="U102" s="183">
        <v>1</v>
      </c>
      <c r="V102" s="181">
        <v>2</v>
      </c>
      <c r="W102" s="124"/>
      <c r="X102" s="182">
        <v>1</v>
      </c>
      <c r="Y102" s="131"/>
      <c r="Z102" s="181">
        <v>1</v>
      </c>
      <c r="AA102" s="124"/>
      <c r="AB102" s="146"/>
      <c r="AC102" s="131"/>
      <c r="AD102" s="181">
        <v>2</v>
      </c>
      <c r="AE102" s="124"/>
      <c r="AF102" s="146"/>
      <c r="AG102" s="135"/>
      <c r="AH102" s="182">
        <v>2</v>
      </c>
      <c r="AI102" s="141"/>
      <c r="AJ102" s="135"/>
      <c r="AK102" s="131"/>
      <c r="AL102" s="181">
        <v>1</v>
      </c>
      <c r="AN102" s="146"/>
      <c r="AO102" s="183">
        <v>1</v>
      </c>
      <c r="AR102" s="146"/>
      <c r="AS102" s="131"/>
      <c r="AT102" s="181">
        <v>2</v>
      </c>
      <c r="AV102" s="146"/>
      <c r="AW102" s="131"/>
      <c r="AZ102" s="146"/>
      <c r="BA102" s="131"/>
      <c r="BB102" s="146"/>
      <c r="BC102" s="131"/>
      <c r="BD102" s="146"/>
      <c r="BE102" s="131"/>
      <c r="BF102" s="146"/>
      <c r="BG102" s="135"/>
      <c r="BH102" s="135"/>
      <c r="BI102" s="135"/>
      <c r="BJ102" s="135"/>
      <c r="BK102" s="135"/>
      <c r="BL102" s="146"/>
      <c r="BM102" s="135"/>
      <c r="BN102" s="135"/>
      <c r="BO102" s="135"/>
      <c r="BP102" s="135"/>
      <c r="BQ102" s="131"/>
      <c r="BR102" s="146"/>
      <c r="BS102" s="135"/>
      <c r="BT102" s="135"/>
      <c r="BU102" s="135"/>
      <c r="BV102" s="135"/>
      <c r="BW102" s="131"/>
      <c r="BX102" s="146"/>
      <c r="BY102" s="135"/>
      <c r="BZ102" s="135"/>
      <c r="CA102" s="135"/>
      <c r="CB102" s="135"/>
      <c r="CC102" s="131"/>
      <c r="CD102" s="146"/>
      <c r="CE102" s="135"/>
      <c r="CF102" s="135"/>
      <c r="CG102" s="135"/>
      <c r="CH102" s="135"/>
      <c r="CI102" s="131"/>
      <c r="CJ102" s="146"/>
      <c r="CK102" s="135"/>
      <c r="CL102" s="135"/>
      <c r="CM102" s="135"/>
      <c r="CN102" s="135"/>
      <c r="CO102" s="131"/>
      <c r="CP102" s="146"/>
      <c r="CQ102" s="135"/>
      <c r="CR102" s="135"/>
      <c r="CS102" s="135"/>
      <c r="CT102" s="135"/>
      <c r="CU102" s="131"/>
      <c r="CV102" s="146"/>
      <c r="CW102" s="135"/>
      <c r="CX102" s="135"/>
      <c r="CY102" s="135"/>
      <c r="CZ102" s="135"/>
      <c r="DA102" s="131"/>
      <c r="DB102" s="146"/>
      <c r="DC102" s="135"/>
      <c r="DD102" s="135"/>
      <c r="DE102" s="135"/>
      <c r="DF102" s="135"/>
      <c r="DG102" s="131"/>
      <c r="DH102" s="146"/>
      <c r="DI102" s="135"/>
      <c r="DJ102" s="135"/>
      <c r="DK102" s="135"/>
      <c r="DL102" s="135"/>
      <c r="DM102" s="131"/>
      <c r="DN102" s="146"/>
      <c r="DO102" s="135"/>
      <c r="DP102" s="135"/>
      <c r="DQ102" s="135"/>
      <c r="DR102" s="135"/>
      <c r="DS102" s="131"/>
      <c r="DT102" s="146"/>
      <c r="DU102" s="135"/>
      <c r="DV102" s="135"/>
      <c r="DW102" s="135"/>
      <c r="DX102" s="135"/>
      <c r="DY102" s="131"/>
      <c r="DZ102" s="146"/>
      <c r="EA102" s="135"/>
      <c r="EB102" s="135"/>
      <c r="EC102" s="135"/>
      <c r="ED102" s="135"/>
      <c r="EE102" s="131"/>
      <c r="EF102" s="135">
        <f t="shared" si="25"/>
        <v>40</v>
      </c>
      <c r="EG102" s="135"/>
      <c r="EH102" s="581">
        <v>40</v>
      </c>
      <c r="EI102" s="601">
        <f t="shared" si="26"/>
        <v>1.5</v>
      </c>
      <c r="EJ102" s="602">
        <f t="shared" si="27"/>
        <v>2</v>
      </c>
      <c r="EK102" s="603">
        <f t="shared" si="28"/>
        <v>0.77777777777777768</v>
      </c>
      <c r="EL102" s="603">
        <f t="shared" si="28"/>
        <v>0.22222222222222221</v>
      </c>
      <c r="EM102" s="602">
        <f t="shared" si="11"/>
        <v>3.5</v>
      </c>
      <c r="EN102" s="581">
        <v>40</v>
      </c>
      <c r="EO102" s="602">
        <f t="shared" si="29"/>
        <v>1.5</v>
      </c>
      <c r="EP102" s="602">
        <f>AVERAGE(AK102,AM102,AO102,AQ102,AS102,AU102,AW102,AY102,BA102,BC102,BE102)</f>
        <v>1</v>
      </c>
      <c r="EQ102" s="603">
        <f t="shared" si="16"/>
        <v>0.66666666666666663</v>
      </c>
      <c r="ER102" s="603">
        <f t="shared" si="12"/>
        <v>0.33333333333333331</v>
      </c>
      <c r="ES102" s="602">
        <f t="shared" si="13"/>
        <v>2.5</v>
      </c>
      <c r="ET102" s="519">
        <f t="shared" si="7"/>
        <v>40</v>
      </c>
      <c r="EU102" s="602">
        <f t="shared" si="30"/>
        <v>1.5</v>
      </c>
      <c r="EV102" s="602">
        <f t="shared" si="31"/>
        <v>2.5</v>
      </c>
      <c r="EW102" s="603">
        <f t="shared" si="32"/>
        <v>0.81481481481481477</v>
      </c>
      <c r="EX102" s="603">
        <f t="shared" si="32"/>
        <v>0.18518518518518517</v>
      </c>
      <c r="EY102" s="602">
        <f t="shared" si="15"/>
        <v>4</v>
      </c>
      <c r="EZ102" s="580"/>
      <c r="FA102" s="580"/>
      <c r="FB102" s="580"/>
      <c r="FC102" s="580"/>
      <c r="FD102" s="580"/>
      <c r="FE102" s="580"/>
      <c r="FF102" s="580"/>
      <c r="FG102" s="580"/>
      <c r="FH102" s="580"/>
    </row>
    <row r="103" spans="1:164" x14ac:dyDescent="0.2">
      <c r="A103" s="159">
        <v>41</v>
      </c>
      <c r="B103" s="146"/>
      <c r="C103" s="131"/>
      <c r="D103" s="182">
        <v>2</v>
      </c>
      <c r="E103" s="183">
        <v>1</v>
      </c>
      <c r="F103" s="124"/>
      <c r="G103" s="124"/>
      <c r="H103" s="146"/>
      <c r="I103" s="131"/>
      <c r="J103" s="181">
        <v>1</v>
      </c>
      <c r="K103" s="181">
        <v>1</v>
      </c>
      <c r="L103" s="146"/>
      <c r="M103" s="131"/>
      <c r="N103" s="124"/>
      <c r="O103" s="124"/>
      <c r="P103" s="146"/>
      <c r="Q103" s="131"/>
      <c r="R103" s="181">
        <v>1</v>
      </c>
      <c r="S103" s="181">
        <v>1</v>
      </c>
      <c r="T103" s="146"/>
      <c r="U103" s="131"/>
      <c r="V103" s="124"/>
      <c r="W103" s="124"/>
      <c r="X103" s="146"/>
      <c r="Y103" s="131"/>
      <c r="Z103" s="124"/>
      <c r="AA103" s="124"/>
      <c r="AB103" s="146"/>
      <c r="AC103" s="131"/>
      <c r="AD103" s="124"/>
      <c r="AE103" s="181">
        <v>1</v>
      </c>
      <c r="AF103" s="146"/>
      <c r="AG103" s="135"/>
      <c r="AH103" s="146"/>
      <c r="AI103" s="191">
        <v>2</v>
      </c>
      <c r="AJ103" s="135"/>
      <c r="AK103" s="131"/>
      <c r="AL103" s="181">
        <v>3</v>
      </c>
      <c r="AN103" s="146"/>
      <c r="AO103" s="131"/>
      <c r="AR103" s="146"/>
      <c r="AS103" s="131"/>
      <c r="AV103" s="146"/>
      <c r="AW103" s="131"/>
      <c r="AZ103" s="146"/>
      <c r="BA103" s="131"/>
      <c r="BB103" s="146"/>
      <c r="BC103" s="131"/>
      <c r="BD103" s="146"/>
      <c r="BE103" s="131"/>
      <c r="BF103" s="182">
        <v>0</v>
      </c>
      <c r="BG103" s="188">
        <v>0</v>
      </c>
      <c r="BH103" s="188">
        <v>1</v>
      </c>
      <c r="BI103" s="188">
        <v>0</v>
      </c>
      <c r="BJ103" s="188">
        <v>0</v>
      </c>
      <c r="BK103" s="188">
        <v>0</v>
      </c>
      <c r="BL103" s="146"/>
      <c r="BM103" s="135"/>
      <c r="BN103" s="135"/>
      <c r="BO103" s="135"/>
      <c r="BP103" s="135"/>
      <c r="BQ103" s="131"/>
      <c r="BR103" s="146"/>
      <c r="BS103" s="135"/>
      <c r="BT103" s="135"/>
      <c r="BU103" s="135"/>
      <c r="BV103" s="135"/>
      <c r="BW103" s="131"/>
      <c r="BX103" s="146"/>
      <c r="BY103" s="135"/>
      <c r="BZ103" s="135"/>
      <c r="CA103" s="135"/>
      <c r="CB103" s="135"/>
      <c r="CC103" s="131"/>
      <c r="CD103" s="146"/>
      <c r="CE103" s="135"/>
      <c r="CF103" s="135"/>
      <c r="CG103" s="135"/>
      <c r="CH103" s="135"/>
      <c r="CI103" s="131"/>
      <c r="CJ103" s="146"/>
      <c r="CK103" s="135"/>
      <c r="CL103" s="135"/>
      <c r="CM103" s="135"/>
      <c r="CN103" s="135"/>
      <c r="CO103" s="131"/>
      <c r="CP103" s="146"/>
      <c r="CQ103" s="135"/>
      <c r="CR103" s="135"/>
      <c r="CS103" s="135"/>
      <c r="CT103" s="135"/>
      <c r="CU103" s="131"/>
      <c r="CV103" s="146"/>
      <c r="CW103" s="135"/>
      <c r="CX103" s="135"/>
      <c r="CY103" s="135"/>
      <c r="CZ103" s="135"/>
      <c r="DA103" s="131"/>
      <c r="DB103" s="146"/>
      <c r="DC103" s="135"/>
      <c r="DD103" s="135"/>
      <c r="DE103" s="135"/>
      <c r="DF103" s="135"/>
      <c r="DG103" s="131"/>
      <c r="DH103" s="146"/>
      <c r="DI103" s="135"/>
      <c r="DJ103" s="135"/>
      <c r="DK103" s="135"/>
      <c r="DL103" s="135"/>
      <c r="DM103" s="131"/>
      <c r="DN103" s="146"/>
      <c r="DO103" s="135"/>
      <c r="DP103" s="135"/>
      <c r="DQ103" s="135"/>
      <c r="DR103" s="135"/>
      <c r="DS103" s="131"/>
      <c r="DT103" s="146"/>
      <c r="DU103" s="135"/>
      <c r="DV103" s="135"/>
      <c r="DW103" s="135"/>
      <c r="DX103" s="135"/>
      <c r="DY103" s="131"/>
      <c r="DZ103" s="146"/>
      <c r="EA103" s="135"/>
      <c r="EB103" s="135"/>
      <c r="EC103" s="135"/>
      <c r="ED103" s="135"/>
      <c r="EE103" s="131"/>
      <c r="EF103" s="135">
        <f t="shared" si="25"/>
        <v>41</v>
      </c>
      <c r="EG103" s="135"/>
      <c r="EH103" s="581">
        <v>41</v>
      </c>
      <c r="EI103" s="601">
        <f t="shared" si="26"/>
        <v>1.75</v>
      </c>
      <c r="EJ103" s="602">
        <f t="shared" si="27"/>
        <v>1.2</v>
      </c>
      <c r="EK103" s="603">
        <f t="shared" si="28"/>
        <v>0.44444444444444442</v>
      </c>
      <c r="EL103" s="603">
        <f t="shared" si="28"/>
        <v>0.55555555555555558</v>
      </c>
      <c r="EM103" s="602">
        <f t="shared" si="11"/>
        <v>2.95</v>
      </c>
      <c r="EN103" s="581">
        <v>41</v>
      </c>
      <c r="EO103" s="602">
        <f t="shared" si="29"/>
        <v>3</v>
      </c>
      <c r="EP103" s="602">
        <v>0</v>
      </c>
      <c r="EQ103" s="603">
        <f t="shared" si="16"/>
        <v>1</v>
      </c>
      <c r="ER103" s="603">
        <f t="shared" si="12"/>
        <v>0</v>
      </c>
      <c r="ES103" s="602">
        <f t="shared" si="13"/>
        <v>3</v>
      </c>
      <c r="ET103" s="519">
        <f t="shared" si="7"/>
        <v>41</v>
      </c>
      <c r="EU103" s="602">
        <f t="shared" si="30"/>
        <v>1.3333333333333333</v>
      </c>
      <c r="EV103" s="602">
        <f t="shared" si="31"/>
        <v>1.2</v>
      </c>
      <c r="EW103" s="603">
        <f t="shared" si="32"/>
        <v>0.33333333333333331</v>
      </c>
      <c r="EX103" s="603">
        <f t="shared" si="32"/>
        <v>0.66666666666666663</v>
      </c>
      <c r="EY103" s="602">
        <f t="shared" si="15"/>
        <v>2.5333333333333332</v>
      </c>
      <c r="EZ103" s="580"/>
      <c r="FA103" s="580"/>
      <c r="FB103" s="580"/>
      <c r="FC103" s="580"/>
      <c r="FD103" s="580"/>
      <c r="FE103" s="580"/>
      <c r="FF103" s="580"/>
      <c r="FG103" s="580"/>
      <c r="FH103" s="580"/>
    </row>
    <row r="104" spans="1:164" x14ac:dyDescent="0.2">
      <c r="A104" s="159">
        <v>42</v>
      </c>
      <c r="B104" s="146"/>
      <c r="C104" s="131"/>
      <c r="D104" s="182">
        <v>2</v>
      </c>
      <c r="E104" s="131"/>
      <c r="F104" s="124"/>
      <c r="G104" s="124"/>
      <c r="H104" s="146"/>
      <c r="I104" s="131"/>
      <c r="J104" s="124"/>
      <c r="K104" s="124"/>
      <c r="L104" s="146"/>
      <c r="M104" s="131"/>
      <c r="N104" s="124"/>
      <c r="O104" s="124"/>
      <c r="P104" s="146"/>
      <c r="Q104" s="131"/>
      <c r="R104" s="181">
        <v>1</v>
      </c>
      <c r="S104" s="124"/>
      <c r="T104" s="146"/>
      <c r="U104" s="131"/>
      <c r="V104" s="124"/>
      <c r="W104" s="124"/>
      <c r="X104" s="146"/>
      <c r="Y104" s="131"/>
      <c r="Z104" s="124"/>
      <c r="AA104" s="124"/>
      <c r="AB104" s="146"/>
      <c r="AC104" s="131"/>
      <c r="AD104" s="181">
        <v>1</v>
      </c>
      <c r="AE104" s="181">
        <v>1</v>
      </c>
      <c r="AF104" s="146"/>
      <c r="AG104" s="135"/>
      <c r="AH104" s="182">
        <v>2</v>
      </c>
      <c r="AI104" s="191">
        <v>1</v>
      </c>
      <c r="AJ104" s="135"/>
      <c r="AK104" s="131"/>
      <c r="AL104" s="181">
        <v>2</v>
      </c>
      <c r="AN104" s="146"/>
      <c r="AO104" s="183">
        <v>1</v>
      </c>
      <c r="AQ104" s="181">
        <v>1</v>
      </c>
      <c r="AR104" s="146"/>
      <c r="AS104" s="131"/>
      <c r="AT104" s="181">
        <v>5</v>
      </c>
      <c r="AU104" s="181">
        <v>1</v>
      </c>
      <c r="AV104" s="146"/>
      <c r="AW104" s="131"/>
      <c r="AZ104" s="146"/>
      <c r="BA104" s="131"/>
      <c r="BB104" s="188">
        <v>1</v>
      </c>
      <c r="BC104" s="135"/>
      <c r="BD104" s="146"/>
      <c r="BE104" s="131"/>
      <c r="BF104" s="146"/>
      <c r="BG104" s="135"/>
      <c r="BH104" s="135"/>
      <c r="BI104" s="135"/>
      <c r="BJ104" s="135"/>
      <c r="BK104" s="135"/>
      <c r="BL104" s="146"/>
      <c r="BM104" s="135"/>
      <c r="BN104" s="135"/>
      <c r="BO104" s="135"/>
      <c r="BP104" s="135"/>
      <c r="BQ104" s="131"/>
      <c r="BR104" s="146"/>
      <c r="BS104" s="135"/>
      <c r="BT104" s="135"/>
      <c r="BU104" s="135"/>
      <c r="BV104" s="135"/>
      <c r="BW104" s="131"/>
      <c r="BX104" s="182">
        <v>0</v>
      </c>
      <c r="BY104" s="188">
        <v>0</v>
      </c>
      <c r="BZ104" s="188">
        <v>0</v>
      </c>
      <c r="CA104" s="188">
        <v>1</v>
      </c>
      <c r="CB104" s="188">
        <v>0</v>
      </c>
      <c r="CC104" s="183">
        <v>0</v>
      </c>
      <c r="CD104" s="146"/>
      <c r="CE104" s="135"/>
      <c r="CF104" s="135"/>
      <c r="CG104" s="135"/>
      <c r="CH104" s="135"/>
      <c r="CI104" s="131"/>
      <c r="CJ104" s="146"/>
      <c r="CK104" s="135"/>
      <c r="CL104" s="135"/>
      <c r="CM104" s="135"/>
      <c r="CN104" s="135"/>
      <c r="CO104" s="131"/>
      <c r="CP104" s="146"/>
      <c r="CQ104" s="135"/>
      <c r="CR104" s="135"/>
      <c r="CS104" s="135"/>
      <c r="CT104" s="135"/>
      <c r="CU104" s="131"/>
      <c r="CV104" s="146"/>
      <c r="CW104" s="135"/>
      <c r="CX104" s="135"/>
      <c r="CY104" s="135"/>
      <c r="CZ104" s="135"/>
      <c r="DA104" s="131"/>
      <c r="DB104" s="146"/>
      <c r="DC104" s="135"/>
      <c r="DD104" s="135"/>
      <c r="DE104" s="135"/>
      <c r="DF104" s="135"/>
      <c r="DG104" s="131"/>
      <c r="DH104" s="146"/>
      <c r="DI104" s="135"/>
      <c r="DJ104" s="135"/>
      <c r="DK104" s="135"/>
      <c r="DL104" s="135"/>
      <c r="DM104" s="131"/>
      <c r="DN104" s="146"/>
      <c r="DO104" s="135"/>
      <c r="DP104" s="135"/>
      <c r="DQ104" s="135"/>
      <c r="DR104" s="135"/>
      <c r="DS104" s="131"/>
      <c r="DT104" s="146"/>
      <c r="DU104" s="135"/>
      <c r="DV104" s="135"/>
      <c r="DW104" s="135"/>
      <c r="DX104" s="135"/>
      <c r="DY104" s="131"/>
      <c r="DZ104" s="146"/>
      <c r="EA104" s="135"/>
      <c r="EB104" s="135"/>
      <c r="EC104" s="135"/>
      <c r="ED104" s="135"/>
      <c r="EE104" s="131"/>
      <c r="EF104" s="135">
        <f t="shared" si="25"/>
        <v>42</v>
      </c>
      <c r="EG104" s="135"/>
      <c r="EH104" s="581">
        <v>42</v>
      </c>
      <c r="EI104" s="601">
        <f t="shared" si="26"/>
        <v>2</v>
      </c>
      <c r="EJ104" s="602">
        <f t="shared" si="27"/>
        <v>1</v>
      </c>
      <c r="EK104" s="603">
        <f t="shared" si="28"/>
        <v>0.66666666666666652</v>
      </c>
      <c r="EL104" s="603">
        <f t="shared" si="28"/>
        <v>0.33333333333333337</v>
      </c>
      <c r="EM104" s="602">
        <f t="shared" si="11"/>
        <v>3</v>
      </c>
      <c r="EN104" s="581">
        <v>42</v>
      </c>
      <c r="EO104" s="602">
        <f t="shared" si="29"/>
        <v>2.6666666666666665</v>
      </c>
      <c r="EP104" s="602">
        <f>AVERAGE(AK104,AM104,AO104,AQ104,AS104,AU104,AW104,AY104,BA104,BC104,BE104)</f>
        <v>1</v>
      </c>
      <c r="EQ104" s="603">
        <f t="shared" si="16"/>
        <v>0.56666666666666665</v>
      </c>
      <c r="ER104" s="603">
        <f t="shared" si="12"/>
        <v>0.4333333333333334</v>
      </c>
      <c r="ES104" s="602">
        <f t="shared" si="13"/>
        <v>3.6666666666666665</v>
      </c>
      <c r="ET104" s="519">
        <f t="shared" si="7"/>
        <v>42</v>
      </c>
      <c r="EU104" s="602">
        <f t="shared" si="30"/>
        <v>1.5</v>
      </c>
      <c r="EV104" s="602">
        <f t="shared" si="31"/>
        <v>1</v>
      </c>
      <c r="EW104" s="603">
        <f t="shared" si="32"/>
        <v>0.79166666666666663</v>
      </c>
      <c r="EX104" s="603">
        <f t="shared" si="32"/>
        <v>0.20833333333333331</v>
      </c>
      <c r="EY104" s="602">
        <f t="shared" si="15"/>
        <v>2.5</v>
      </c>
      <c r="EZ104" s="580"/>
      <c r="FA104" s="580"/>
      <c r="FB104" s="580"/>
      <c r="FC104" s="580"/>
      <c r="FD104" s="580"/>
      <c r="FE104" s="580"/>
      <c r="FF104" s="580"/>
      <c r="FG104" s="580"/>
      <c r="FH104" s="580"/>
    </row>
    <row r="105" spans="1:164" x14ac:dyDescent="0.2">
      <c r="A105" s="159">
        <v>43</v>
      </c>
      <c r="B105" s="146"/>
      <c r="C105" s="131"/>
      <c r="D105" s="182">
        <v>3</v>
      </c>
      <c r="E105" s="131"/>
      <c r="F105" s="181">
        <v>1</v>
      </c>
      <c r="G105" s="124"/>
      <c r="H105" s="146"/>
      <c r="I105" s="131"/>
      <c r="J105" s="124"/>
      <c r="K105" s="124"/>
      <c r="L105" s="146"/>
      <c r="M105" s="131"/>
      <c r="N105" s="124"/>
      <c r="O105" s="124"/>
      <c r="P105" s="146"/>
      <c r="Q105" s="131"/>
      <c r="R105" s="181">
        <v>1</v>
      </c>
      <c r="S105" s="124"/>
      <c r="T105" s="182">
        <v>1</v>
      </c>
      <c r="U105" s="131"/>
      <c r="V105" s="181">
        <v>1</v>
      </c>
      <c r="W105" s="124"/>
      <c r="X105" s="146"/>
      <c r="Y105" s="131"/>
      <c r="Z105" s="181">
        <v>2</v>
      </c>
      <c r="AA105" s="181">
        <v>1</v>
      </c>
      <c r="AB105" s="146"/>
      <c r="AC105" s="131"/>
      <c r="AD105" s="124"/>
      <c r="AE105" s="181">
        <v>1</v>
      </c>
      <c r="AF105" s="146"/>
      <c r="AG105" s="135"/>
      <c r="AH105" s="146"/>
      <c r="AI105" s="141"/>
      <c r="AJ105" s="135"/>
      <c r="AK105" s="131"/>
      <c r="AN105" s="146"/>
      <c r="AO105" s="131"/>
      <c r="AR105" s="146"/>
      <c r="AS105" s="131"/>
      <c r="AT105" s="181">
        <v>2</v>
      </c>
      <c r="AV105" s="146"/>
      <c r="AW105" s="131"/>
      <c r="AZ105" s="182">
        <v>4</v>
      </c>
      <c r="BA105" s="183">
        <v>1</v>
      </c>
      <c r="BB105" s="146"/>
      <c r="BC105" s="131"/>
      <c r="BD105" s="146"/>
      <c r="BE105" s="131"/>
      <c r="BF105" s="182">
        <v>1</v>
      </c>
      <c r="BG105" s="188">
        <v>0</v>
      </c>
      <c r="BH105" s="188">
        <v>0</v>
      </c>
      <c r="BI105" s="188">
        <v>0</v>
      </c>
      <c r="BJ105" s="188">
        <v>0</v>
      </c>
      <c r="BK105" s="188">
        <v>0</v>
      </c>
      <c r="BL105" s="146"/>
      <c r="BM105" s="135"/>
      <c r="BN105" s="135"/>
      <c r="BO105" s="135"/>
      <c r="BP105" s="135"/>
      <c r="BQ105" s="131"/>
      <c r="BR105" s="146"/>
      <c r="BS105" s="135"/>
      <c r="BT105" s="135"/>
      <c r="BU105" s="135"/>
      <c r="BV105" s="135"/>
      <c r="BW105" s="131"/>
      <c r="BX105" s="146"/>
      <c r="BY105" s="135"/>
      <c r="BZ105" s="135"/>
      <c r="CA105" s="135"/>
      <c r="CB105" s="135"/>
      <c r="CC105" s="131"/>
      <c r="CD105" s="146"/>
      <c r="CE105" s="135"/>
      <c r="CF105" s="135"/>
      <c r="CG105" s="135"/>
      <c r="CH105" s="135"/>
      <c r="CI105" s="131"/>
      <c r="CJ105" s="146"/>
      <c r="CK105" s="135"/>
      <c r="CL105" s="135"/>
      <c r="CM105" s="135"/>
      <c r="CN105" s="135"/>
      <c r="CO105" s="131"/>
      <c r="CP105" s="146"/>
      <c r="CQ105" s="135"/>
      <c r="CR105" s="135"/>
      <c r="CS105" s="135"/>
      <c r="CT105" s="135"/>
      <c r="CU105" s="131"/>
      <c r="CV105" s="146"/>
      <c r="CW105" s="135"/>
      <c r="CX105" s="135"/>
      <c r="CY105" s="135"/>
      <c r="CZ105" s="135"/>
      <c r="DA105" s="131"/>
      <c r="DB105" s="146"/>
      <c r="DC105" s="135"/>
      <c r="DD105" s="135"/>
      <c r="DE105" s="135"/>
      <c r="DF105" s="135"/>
      <c r="DG105" s="131"/>
      <c r="DH105" s="146"/>
      <c r="DI105" s="135"/>
      <c r="DJ105" s="135"/>
      <c r="DK105" s="135"/>
      <c r="DL105" s="135"/>
      <c r="DM105" s="131"/>
      <c r="DN105" s="146"/>
      <c r="DO105" s="135"/>
      <c r="DP105" s="135"/>
      <c r="DQ105" s="135"/>
      <c r="DR105" s="135"/>
      <c r="DS105" s="131"/>
      <c r="DT105" s="146"/>
      <c r="DU105" s="135"/>
      <c r="DV105" s="135"/>
      <c r="DW105" s="135"/>
      <c r="DX105" s="135"/>
      <c r="DY105" s="131"/>
      <c r="DZ105" s="146"/>
      <c r="EA105" s="135"/>
      <c r="EB105" s="135"/>
      <c r="EC105" s="135"/>
      <c r="ED105" s="135"/>
      <c r="EE105" s="131"/>
      <c r="EF105" s="135">
        <f t="shared" si="25"/>
        <v>43</v>
      </c>
      <c r="EG105" s="135"/>
      <c r="EH105" s="581">
        <v>43</v>
      </c>
      <c r="EI105" s="601">
        <f t="shared" si="26"/>
        <v>1.875</v>
      </c>
      <c r="EJ105" s="602">
        <f t="shared" si="27"/>
        <v>1</v>
      </c>
      <c r="EK105" s="603">
        <f t="shared" si="28"/>
        <v>0.82962962962962961</v>
      </c>
      <c r="EL105" s="603">
        <f t="shared" si="28"/>
        <v>0.17037037037037037</v>
      </c>
      <c r="EM105" s="602">
        <f t="shared" si="11"/>
        <v>2.875</v>
      </c>
      <c r="EN105" s="581">
        <v>43</v>
      </c>
      <c r="EO105" s="602">
        <f t="shared" si="29"/>
        <v>3</v>
      </c>
      <c r="EP105" s="602">
        <f>AVERAGE(AK105,AM105,AO105,AQ105,AS105,AU105,AW105,AY105,BA105,BC105,BE105)</f>
        <v>1</v>
      </c>
      <c r="EQ105" s="603">
        <f t="shared" si="16"/>
        <v>0.9</v>
      </c>
      <c r="ER105" s="603">
        <f t="shared" si="12"/>
        <v>0.1</v>
      </c>
      <c r="ES105" s="602">
        <f t="shared" si="13"/>
        <v>4</v>
      </c>
      <c r="ET105" s="519">
        <f t="shared" si="7"/>
        <v>43</v>
      </c>
      <c r="EU105" s="602">
        <f t="shared" si="30"/>
        <v>1.5</v>
      </c>
      <c r="EV105" s="602">
        <f t="shared" si="31"/>
        <v>1</v>
      </c>
      <c r="EW105" s="603">
        <f t="shared" si="32"/>
        <v>0.80952380952380953</v>
      </c>
      <c r="EX105" s="603">
        <f t="shared" si="32"/>
        <v>0.19047619047619047</v>
      </c>
      <c r="EY105" s="602">
        <f t="shared" si="15"/>
        <v>2.5</v>
      </c>
      <c r="EZ105" s="580"/>
      <c r="FA105" s="580"/>
      <c r="FB105" s="580"/>
      <c r="FC105" s="580"/>
      <c r="FD105" s="580"/>
      <c r="FE105" s="580"/>
      <c r="FF105" s="580"/>
      <c r="FG105" s="580"/>
      <c r="FH105" s="580"/>
    </row>
    <row r="106" spans="1:164" x14ac:dyDescent="0.2">
      <c r="A106" s="169">
        <v>44</v>
      </c>
      <c r="B106" s="134"/>
      <c r="C106" s="133"/>
      <c r="D106" s="192">
        <v>4</v>
      </c>
      <c r="E106" s="133"/>
      <c r="F106" s="190">
        <v>10</v>
      </c>
      <c r="G106" s="132"/>
      <c r="H106" s="134"/>
      <c r="I106" s="133"/>
      <c r="J106" s="132"/>
      <c r="K106" s="132"/>
      <c r="L106" s="134"/>
      <c r="M106" s="133"/>
      <c r="N106" s="132"/>
      <c r="O106" s="132"/>
      <c r="P106" s="134"/>
      <c r="Q106" s="133"/>
      <c r="R106" s="132"/>
      <c r="S106" s="132"/>
      <c r="T106" s="192">
        <v>2</v>
      </c>
      <c r="U106" s="133"/>
      <c r="V106" s="132"/>
      <c r="W106" s="132"/>
      <c r="X106" s="134"/>
      <c r="Y106" s="133"/>
      <c r="Z106" s="132"/>
      <c r="AA106" s="132"/>
      <c r="AB106" s="134"/>
      <c r="AC106" s="133"/>
      <c r="AD106" s="132"/>
      <c r="AE106" s="132"/>
      <c r="AF106" s="134"/>
      <c r="AG106" s="132"/>
      <c r="AH106" s="134"/>
      <c r="AI106" s="153"/>
      <c r="AJ106" s="132"/>
      <c r="AK106" s="133"/>
      <c r="AL106" s="190">
        <v>1</v>
      </c>
      <c r="AM106" s="132"/>
      <c r="AN106" s="134"/>
      <c r="AO106" s="133"/>
      <c r="AP106" s="132"/>
      <c r="AQ106" s="132"/>
      <c r="AR106" s="134"/>
      <c r="AS106" s="133"/>
      <c r="AT106" s="132"/>
      <c r="AU106" s="132"/>
      <c r="AV106" s="134"/>
      <c r="AW106" s="133"/>
      <c r="AX106" s="132"/>
      <c r="AY106" s="132"/>
      <c r="AZ106" s="134"/>
      <c r="BA106" s="133"/>
      <c r="BB106" s="134"/>
      <c r="BC106" s="133"/>
      <c r="BD106" s="134"/>
      <c r="BE106" s="189">
        <v>1</v>
      </c>
      <c r="BF106" s="134"/>
      <c r="BG106" s="132"/>
      <c r="BH106" s="132"/>
      <c r="BI106" s="132"/>
      <c r="BJ106" s="132"/>
      <c r="BK106" s="132"/>
      <c r="BL106" s="134"/>
      <c r="BM106" s="132"/>
      <c r="BN106" s="132"/>
      <c r="BO106" s="132"/>
      <c r="BP106" s="132"/>
      <c r="BQ106" s="133"/>
      <c r="BR106" s="134"/>
      <c r="BS106" s="132"/>
      <c r="BT106" s="132"/>
      <c r="BU106" s="132"/>
      <c r="BV106" s="132"/>
      <c r="BW106" s="133"/>
      <c r="BX106" s="134"/>
      <c r="BY106" s="132"/>
      <c r="BZ106" s="132"/>
      <c r="CA106" s="132"/>
      <c r="CB106" s="132"/>
      <c r="CC106" s="133"/>
      <c r="CD106" s="134"/>
      <c r="CE106" s="132"/>
      <c r="CF106" s="132"/>
      <c r="CG106" s="132"/>
      <c r="CH106" s="132"/>
      <c r="CI106" s="133"/>
      <c r="CJ106" s="134"/>
      <c r="CK106" s="132"/>
      <c r="CL106" s="132"/>
      <c r="CM106" s="132"/>
      <c r="CN106" s="132"/>
      <c r="CO106" s="133"/>
      <c r="CP106" s="134"/>
      <c r="CQ106" s="132"/>
      <c r="CR106" s="132"/>
      <c r="CS106" s="132"/>
      <c r="CT106" s="132"/>
      <c r="CU106" s="133"/>
      <c r="CV106" s="134"/>
      <c r="CW106" s="132"/>
      <c r="CX106" s="132"/>
      <c r="CY106" s="132"/>
      <c r="CZ106" s="132"/>
      <c r="DA106" s="133"/>
      <c r="DB106" s="134"/>
      <c r="DC106" s="132"/>
      <c r="DD106" s="132"/>
      <c r="DE106" s="132"/>
      <c r="DF106" s="132"/>
      <c r="DG106" s="133"/>
      <c r="DH106" s="134"/>
      <c r="DI106" s="132"/>
      <c r="DJ106" s="132"/>
      <c r="DK106" s="132"/>
      <c r="DL106" s="132"/>
      <c r="DM106" s="133"/>
      <c r="DN106" s="134"/>
      <c r="DO106" s="132"/>
      <c r="DP106" s="132"/>
      <c r="DQ106" s="132"/>
      <c r="DR106" s="132"/>
      <c r="DS106" s="133"/>
      <c r="DT106" s="134"/>
      <c r="DU106" s="132"/>
      <c r="DV106" s="132"/>
      <c r="DW106" s="132"/>
      <c r="DX106" s="132"/>
      <c r="DY106" s="133"/>
      <c r="DZ106" s="134"/>
      <c r="EA106" s="132"/>
      <c r="EB106" s="132"/>
      <c r="EC106" s="132"/>
      <c r="ED106" s="132"/>
      <c r="EE106" s="133"/>
      <c r="EF106" s="135">
        <f t="shared" si="25"/>
        <v>44</v>
      </c>
      <c r="EG106" s="135"/>
      <c r="EH106" s="581">
        <v>44</v>
      </c>
      <c r="EI106" s="601">
        <f t="shared" ref="EI106:EI115" si="33">AVERAGE(D106,F106,H106,J106,L106,N106,P106,R106,T106,V106,X106,Z106,AB106,AD106,AF106,AH106,AJ106,AL106,AN106,AP106,AR106,AT106,AV106,AX106,AZ106,BB106,BD106)</f>
        <v>4.25</v>
      </c>
      <c r="EJ106" s="602">
        <v>0</v>
      </c>
      <c r="EK106" s="603">
        <f t="shared" si="28"/>
        <v>0.8</v>
      </c>
      <c r="EL106" s="603">
        <f t="shared" si="28"/>
        <v>0.2</v>
      </c>
      <c r="EM106" s="602">
        <f t="shared" si="11"/>
        <v>4.25</v>
      </c>
      <c r="EN106" s="581">
        <v>44</v>
      </c>
      <c r="EO106" s="602">
        <f t="shared" si="29"/>
        <v>1</v>
      </c>
      <c r="EP106" s="602">
        <v>0</v>
      </c>
      <c r="EQ106" s="603">
        <f t="shared" si="16"/>
        <v>0.5</v>
      </c>
      <c r="ER106" s="603">
        <f t="shared" si="12"/>
        <v>0.5</v>
      </c>
      <c r="ES106" s="602">
        <f t="shared" si="13"/>
        <v>1</v>
      </c>
      <c r="ET106" s="519">
        <f t="shared" si="7"/>
        <v>44</v>
      </c>
      <c r="EU106" s="602">
        <f>AVERAGE(D106,F106,H106,J106,L106,N106,P106,R106,T106,V106,X106,Z106,AB106,AD106,AF106,AH106)</f>
        <v>5.333333333333333</v>
      </c>
      <c r="EV106" s="602">
        <v>0</v>
      </c>
      <c r="EW106" s="603">
        <f t="shared" si="32"/>
        <v>1</v>
      </c>
      <c r="EX106" s="603">
        <f t="shared" si="32"/>
        <v>0</v>
      </c>
      <c r="EY106" s="602">
        <f t="shared" si="15"/>
        <v>5.333333333333333</v>
      </c>
      <c r="EZ106" s="580"/>
      <c r="FA106" s="580"/>
      <c r="FB106" s="580"/>
      <c r="FC106" s="580"/>
      <c r="FD106" s="580"/>
      <c r="FE106" s="580"/>
      <c r="FF106" s="580"/>
      <c r="FG106" s="580"/>
      <c r="FH106" s="580"/>
    </row>
    <row r="107" spans="1:164" x14ac:dyDescent="0.2">
      <c r="A107" s="173">
        <v>45</v>
      </c>
      <c r="B107" s="146"/>
      <c r="C107" s="131"/>
      <c r="D107" s="182">
        <v>8</v>
      </c>
      <c r="E107" s="183">
        <v>4</v>
      </c>
      <c r="F107" s="181">
        <v>1</v>
      </c>
      <c r="G107" s="124"/>
      <c r="H107" s="146"/>
      <c r="I107" s="131"/>
      <c r="J107" s="124"/>
      <c r="K107" s="124"/>
      <c r="L107" s="146"/>
      <c r="M107" s="131"/>
      <c r="N107" s="124"/>
      <c r="O107" s="124"/>
      <c r="P107" s="146"/>
      <c r="Q107" s="131"/>
      <c r="R107" s="124"/>
      <c r="S107" s="124"/>
      <c r="T107" s="146"/>
      <c r="U107" s="131"/>
      <c r="V107" s="181">
        <v>1</v>
      </c>
      <c r="W107" s="124"/>
      <c r="X107" s="146"/>
      <c r="Y107" s="131"/>
      <c r="Z107" s="181">
        <v>2</v>
      </c>
      <c r="AA107" s="124"/>
      <c r="AB107" s="146"/>
      <c r="AC107" s="131"/>
      <c r="AD107" s="124"/>
      <c r="AE107" s="124"/>
      <c r="AF107" s="146"/>
      <c r="AG107" s="135"/>
      <c r="AH107" s="146"/>
      <c r="AI107" s="141"/>
      <c r="AJ107" s="188">
        <v>2</v>
      </c>
      <c r="AK107" s="131"/>
      <c r="AN107" s="146"/>
      <c r="AO107" s="131"/>
      <c r="AR107" s="146"/>
      <c r="AS107" s="131"/>
      <c r="AT107" s="181">
        <v>1</v>
      </c>
      <c r="AV107" s="146"/>
      <c r="AW107" s="131"/>
      <c r="AZ107" s="146"/>
      <c r="BA107" s="131"/>
      <c r="BB107" s="146"/>
      <c r="BC107" s="131"/>
      <c r="BD107" s="517">
        <v>1</v>
      </c>
      <c r="BE107" s="139"/>
      <c r="BF107" s="143"/>
      <c r="BG107" s="253"/>
      <c r="BH107" s="253"/>
      <c r="BI107" s="253"/>
      <c r="BJ107" s="253"/>
      <c r="BK107" s="253"/>
      <c r="BL107" s="146"/>
      <c r="BM107" s="135"/>
      <c r="BN107" s="135"/>
      <c r="BO107" s="135"/>
      <c r="BP107" s="135"/>
      <c r="BQ107" s="131"/>
      <c r="BR107" s="146"/>
      <c r="BS107" s="135"/>
      <c r="BT107" s="135"/>
      <c r="BU107" s="135"/>
      <c r="BV107" s="135"/>
      <c r="BW107" s="131"/>
      <c r="BX107" s="182">
        <v>0</v>
      </c>
      <c r="BY107" s="188">
        <v>0</v>
      </c>
      <c r="BZ107" s="188">
        <v>2</v>
      </c>
      <c r="CA107" s="188">
        <v>0</v>
      </c>
      <c r="CB107" s="188">
        <v>0</v>
      </c>
      <c r="CC107" s="183">
        <v>0</v>
      </c>
      <c r="CD107" s="146"/>
      <c r="CE107" s="135"/>
      <c r="CF107" s="135"/>
      <c r="CG107" s="135"/>
      <c r="CH107" s="135"/>
      <c r="CI107" s="131"/>
      <c r="CJ107" s="146"/>
      <c r="CK107" s="135"/>
      <c r="CL107" s="135"/>
      <c r="CM107" s="135"/>
      <c r="CN107" s="135"/>
      <c r="CO107" s="131"/>
      <c r="CP107" s="146"/>
      <c r="CQ107" s="135"/>
      <c r="CR107" s="135"/>
      <c r="CS107" s="135"/>
      <c r="CT107" s="135"/>
      <c r="CU107" s="131"/>
      <c r="CV107" s="146"/>
      <c r="CW107" s="135"/>
      <c r="CX107" s="135"/>
      <c r="CY107" s="135"/>
      <c r="CZ107" s="135"/>
      <c r="DA107" s="131"/>
      <c r="DB107" s="146"/>
      <c r="DC107" s="135"/>
      <c r="DD107" s="135"/>
      <c r="DE107" s="135"/>
      <c r="DF107" s="135"/>
      <c r="DG107" s="131"/>
      <c r="DH107" s="146"/>
      <c r="DI107" s="135"/>
      <c r="DJ107" s="135"/>
      <c r="DK107" s="135"/>
      <c r="DL107" s="135"/>
      <c r="DM107" s="131"/>
      <c r="DN107" s="146"/>
      <c r="DO107" s="135"/>
      <c r="DP107" s="135"/>
      <c r="DQ107" s="135"/>
      <c r="DR107" s="135"/>
      <c r="DS107" s="131"/>
      <c r="DT107" s="146"/>
      <c r="DU107" s="135"/>
      <c r="DV107" s="135"/>
      <c r="DW107" s="135"/>
      <c r="DX107" s="135"/>
      <c r="DY107" s="131"/>
      <c r="DZ107" s="146"/>
      <c r="EA107" s="135"/>
      <c r="EB107" s="135"/>
      <c r="EC107" s="135"/>
      <c r="ED107" s="135"/>
      <c r="EE107" s="131"/>
      <c r="EF107" s="135">
        <f t="shared" si="25"/>
        <v>45</v>
      </c>
      <c r="EG107" s="135"/>
      <c r="EH107" s="581">
        <v>45</v>
      </c>
      <c r="EI107" s="601">
        <f t="shared" si="33"/>
        <v>2.2857142857142856</v>
      </c>
      <c r="EJ107" s="602">
        <f>AVERAGE(E107,G107,I107,K107,M107,O107,Q107,S107,U107,W107,Y107,AA107,AC107,AE107,AG107,AI107,AK107,AM107,AO107,AQ107,AS107,AU107,AW107,AY107,BA107,BC107,BE107)</f>
        <v>4</v>
      </c>
      <c r="EK107" s="603">
        <f t="shared" si="28"/>
        <v>0.95238095238095233</v>
      </c>
      <c r="EL107" s="603">
        <f t="shared" si="28"/>
        <v>4.7619047619047616E-2</v>
      </c>
      <c r="EM107" s="602">
        <f t="shared" si="11"/>
        <v>6.2857142857142856</v>
      </c>
      <c r="EN107" s="581">
        <v>45</v>
      </c>
      <c r="EO107" s="602">
        <f t="shared" si="29"/>
        <v>1.3333333333333333</v>
      </c>
      <c r="EP107" s="602">
        <v>0</v>
      </c>
      <c r="EQ107" s="603">
        <f t="shared" si="16"/>
        <v>1</v>
      </c>
      <c r="ER107" s="603">
        <f t="shared" si="12"/>
        <v>0</v>
      </c>
      <c r="ES107" s="602">
        <f t="shared" si="13"/>
        <v>1.3333333333333333</v>
      </c>
      <c r="ET107" s="519">
        <f t="shared" si="7"/>
        <v>45</v>
      </c>
      <c r="EU107" s="602">
        <f>AVERAGE(D107,F107,H107,J107,L107,N107,P107,R107,T107,V107,X107,Z107,AB107,AD107,AF107,AH107)</f>
        <v>3</v>
      </c>
      <c r="EV107" s="602">
        <f>AVERAGE(E107,G107,I107,K107,M107,O107,Q107,S107,U107,W107,Y107,AA107,AC107,AE107,AG107,AI107)</f>
        <v>4</v>
      </c>
      <c r="EW107" s="603">
        <f t="shared" si="32"/>
        <v>0.91666666666666663</v>
      </c>
      <c r="EX107" s="603">
        <f t="shared" si="32"/>
        <v>8.3333333333333329E-2</v>
      </c>
      <c r="EY107" s="602">
        <f t="shared" si="15"/>
        <v>7</v>
      </c>
      <c r="EZ107" s="580"/>
      <c r="FA107" s="580"/>
      <c r="FB107" s="580"/>
      <c r="FC107" s="580"/>
      <c r="FD107" s="580"/>
      <c r="FE107" s="580"/>
      <c r="FF107" s="580"/>
      <c r="FG107" s="580"/>
      <c r="FH107" s="580"/>
    </row>
    <row r="108" spans="1:164" x14ac:dyDescent="0.2">
      <c r="A108" s="173">
        <v>46</v>
      </c>
      <c r="B108" s="146"/>
      <c r="C108" s="131"/>
      <c r="D108" s="146"/>
      <c r="E108" s="131"/>
      <c r="F108" s="181">
        <v>1</v>
      </c>
      <c r="G108" s="124"/>
      <c r="H108" s="146"/>
      <c r="I108" s="131"/>
      <c r="J108" s="124"/>
      <c r="K108" s="124"/>
      <c r="L108" s="146"/>
      <c r="M108" s="131"/>
      <c r="N108" s="124"/>
      <c r="O108" s="124"/>
      <c r="P108" s="146"/>
      <c r="Q108" s="131"/>
      <c r="R108" s="124"/>
      <c r="S108" s="124"/>
      <c r="T108" s="146"/>
      <c r="U108" s="131"/>
      <c r="V108" s="124"/>
      <c r="W108" s="124"/>
      <c r="X108" s="146"/>
      <c r="Y108" s="131"/>
      <c r="Z108" s="124"/>
      <c r="AA108" s="124"/>
      <c r="AB108" s="146"/>
      <c r="AC108" s="131"/>
      <c r="AD108" s="124"/>
      <c r="AE108" s="124"/>
      <c r="AF108" s="146"/>
      <c r="AG108" s="135"/>
      <c r="AH108" s="146"/>
      <c r="AI108" s="141"/>
      <c r="AJ108" s="135"/>
      <c r="AK108" s="131"/>
      <c r="AN108" s="146"/>
      <c r="AO108" s="131"/>
      <c r="AR108" s="146"/>
      <c r="AS108" s="131"/>
      <c r="AV108" s="182">
        <v>1</v>
      </c>
      <c r="AW108" s="131"/>
      <c r="AZ108" s="146"/>
      <c r="BA108" s="131"/>
      <c r="BB108" s="146"/>
      <c r="BC108" s="131"/>
      <c r="BD108" s="146"/>
      <c r="BE108" s="131"/>
      <c r="BF108" s="146"/>
      <c r="BG108" s="135"/>
      <c r="BH108" s="135"/>
      <c r="BI108" s="135"/>
      <c r="BJ108" s="135"/>
      <c r="BK108" s="135"/>
      <c r="BL108" s="146"/>
      <c r="BM108" s="135"/>
      <c r="BN108" s="135"/>
      <c r="BO108" s="135"/>
      <c r="BP108" s="135"/>
      <c r="BQ108" s="131"/>
      <c r="BR108" s="146"/>
      <c r="BS108" s="135"/>
      <c r="BT108" s="135"/>
      <c r="BU108" s="135"/>
      <c r="BV108" s="135"/>
      <c r="BW108" s="131"/>
      <c r="BX108" s="146"/>
      <c r="BY108" s="135"/>
      <c r="BZ108" s="135"/>
      <c r="CA108" s="135"/>
      <c r="CB108" s="135"/>
      <c r="CC108" s="131"/>
      <c r="CD108" s="146"/>
      <c r="CE108" s="135"/>
      <c r="CF108" s="135"/>
      <c r="CG108" s="135"/>
      <c r="CH108" s="135"/>
      <c r="CI108" s="131"/>
      <c r="CJ108" s="146"/>
      <c r="CK108" s="135"/>
      <c r="CL108" s="135"/>
      <c r="CM108" s="135"/>
      <c r="CN108" s="135"/>
      <c r="CO108" s="131"/>
      <c r="CP108" s="146"/>
      <c r="CQ108" s="135"/>
      <c r="CR108" s="135"/>
      <c r="CS108" s="135"/>
      <c r="CT108" s="135"/>
      <c r="CU108" s="131"/>
      <c r="CV108" s="146"/>
      <c r="CW108" s="135"/>
      <c r="CX108" s="135"/>
      <c r="CY108" s="135"/>
      <c r="CZ108" s="135"/>
      <c r="DA108" s="131"/>
      <c r="DB108" s="146"/>
      <c r="DC108" s="135"/>
      <c r="DD108" s="135"/>
      <c r="DE108" s="135"/>
      <c r="DF108" s="135"/>
      <c r="DG108" s="131"/>
      <c r="DH108" s="146"/>
      <c r="DI108" s="135"/>
      <c r="DJ108" s="135"/>
      <c r="DK108" s="135"/>
      <c r="DL108" s="135"/>
      <c r="DM108" s="131"/>
      <c r="DN108" s="146"/>
      <c r="DO108" s="135"/>
      <c r="DP108" s="135"/>
      <c r="DQ108" s="135"/>
      <c r="DR108" s="135"/>
      <c r="DS108" s="131"/>
      <c r="DT108" s="146"/>
      <c r="DU108" s="135"/>
      <c r="DV108" s="135"/>
      <c r="DW108" s="135"/>
      <c r="DX108" s="135"/>
      <c r="DY108" s="131"/>
      <c r="DZ108" s="146"/>
      <c r="EA108" s="135"/>
      <c r="EB108" s="135"/>
      <c r="EC108" s="135"/>
      <c r="ED108" s="135"/>
      <c r="EE108" s="131"/>
      <c r="EF108" s="135">
        <f t="shared" si="25"/>
        <v>46</v>
      </c>
      <c r="EG108" s="135"/>
      <c r="EH108" s="581">
        <v>46</v>
      </c>
      <c r="EI108" s="601">
        <f t="shared" si="33"/>
        <v>1</v>
      </c>
      <c r="EJ108" s="602">
        <v>0</v>
      </c>
      <c r="EK108" s="603">
        <f t="shared" si="28"/>
        <v>1</v>
      </c>
      <c r="EL108" s="603">
        <f t="shared" si="28"/>
        <v>0</v>
      </c>
      <c r="EM108" s="602">
        <f t="shared" si="11"/>
        <v>1</v>
      </c>
      <c r="EN108" s="581">
        <v>46</v>
      </c>
      <c r="EO108" s="602">
        <f t="shared" si="29"/>
        <v>1</v>
      </c>
      <c r="EP108" s="602">
        <v>0</v>
      </c>
      <c r="EQ108" s="603">
        <f t="shared" si="16"/>
        <v>1</v>
      </c>
      <c r="ER108" s="603">
        <f t="shared" si="12"/>
        <v>0</v>
      </c>
      <c r="ES108" s="602">
        <f t="shared" si="13"/>
        <v>1</v>
      </c>
      <c r="ET108" s="519">
        <f t="shared" si="7"/>
        <v>46</v>
      </c>
      <c r="EU108" s="602">
        <f>AVERAGE(D108,F108,H108,J108,L108,N108,P108,R108,T108,V108,X108,Z108,AB108,AD108,AF108,AH108)</f>
        <v>1</v>
      </c>
      <c r="EV108" s="602">
        <v>0</v>
      </c>
      <c r="EW108" s="603">
        <f t="shared" si="32"/>
        <v>1</v>
      </c>
      <c r="EX108" s="603">
        <f t="shared" si="32"/>
        <v>0</v>
      </c>
      <c r="EY108" s="602">
        <f t="shared" si="15"/>
        <v>1</v>
      </c>
      <c r="EZ108" s="580"/>
      <c r="FA108" s="580"/>
      <c r="FB108" s="580"/>
      <c r="FC108" s="580"/>
      <c r="FD108" s="580"/>
      <c r="FE108" s="580"/>
      <c r="FF108" s="580"/>
      <c r="FG108" s="580"/>
      <c r="FH108" s="580"/>
    </row>
    <row r="109" spans="1:164" x14ac:dyDescent="0.2">
      <c r="A109" s="180">
        <v>47</v>
      </c>
      <c r="B109" s="146"/>
      <c r="C109" s="131"/>
      <c r="D109" s="146"/>
      <c r="E109" s="131"/>
      <c r="F109" s="124"/>
      <c r="G109" s="124"/>
      <c r="H109" s="146"/>
      <c r="I109" s="131"/>
      <c r="J109" s="124"/>
      <c r="K109" s="124"/>
      <c r="L109" s="146"/>
      <c r="M109" s="131"/>
      <c r="N109" s="124"/>
      <c r="O109" s="124"/>
      <c r="P109" s="146"/>
      <c r="Q109" s="131"/>
      <c r="R109" s="181">
        <v>1</v>
      </c>
      <c r="S109" s="124"/>
      <c r="T109" s="146"/>
      <c r="U109" s="131"/>
      <c r="V109" s="181">
        <v>1</v>
      </c>
      <c r="W109" s="124"/>
      <c r="X109" s="146"/>
      <c r="Y109" s="131"/>
      <c r="Z109" s="124"/>
      <c r="AA109" s="124"/>
      <c r="AB109" s="146"/>
      <c r="AC109" s="131"/>
      <c r="AD109" s="124"/>
      <c r="AE109" s="124"/>
      <c r="AF109" s="146"/>
      <c r="AG109" s="135"/>
      <c r="AH109" s="146"/>
      <c r="AI109" s="141"/>
      <c r="AJ109" s="135"/>
      <c r="AK109" s="131"/>
      <c r="AN109" s="146"/>
      <c r="AO109" s="131"/>
      <c r="AR109" s="146"/>
      <c r="AS109" s="131"/>
      <c r="AV109" s="146"/>
      <c r="AW109" s="131"/>
      <c r="AZ109" s="146"/>
      <c r="BA109" s="131"/>
      <c r="BB109" s="146"/>
      <c r="BC109" s="131"/>
      <c r="BD109" s="146"/>
      <c r="BE109" s="131"/>
      <c r="BF109" s="146"/>
      <c r="BG109" s="135"/>
      <c r="BH109" s="135"/>
      <c r="BI109" s="135"/>
      <c r="BJ109" s="135"/>
      <c r="BK109" s="135"/>
      <c r="BL109" s="146"/>
      <c r="BM109" s="135"/>
      <c r="BN109" s="135"/>
      <c r="BO109" s="135"/>
      <c r="BP109" s="135"/>
      <c r="BQ109" s="131"/>
      <c r="BR109" s="146"/>
      <c r="BS109" s="135"/>
      <c r="BT109" s="135"/>
      <c r="BU109" s="135"/>
      <c r="BV109" s="135"/>
      <c r="BW109" s="131"/>
      <c r="BX109" s="146"/>
      <c r="BY109" s="135"/>
      <c r="BZ109" s="135"/>
      <c r="CA109" s="135"/>
      <c r="CB109" s="135"/>
      <c r="CC109" s="131"/>
      <c r="CD109" s="146"/>
      <c r="CE109" s="135"/>
      <c r="CF109" s="135"/>
      <c r="CG109" s="135"/>
      <c r="CH109" s="135"/>
      <c r="CI109" s="131"/>
      <c r="CJ109" s="146"/>
      <c r="CK109" s="135"/>
      <c r="CL109" s="135"/>
      <c r="CM109" s="135"/>
      <c r="CN109" s="135"/>
      <c r="CO109" s="131"/>
      <c r="CP109" s="146"/>
      <c r="CQ109" s="135"/>
      <c r="CR109" s="135"/>
      <c r="CS109" s="135"/>
      <c r="CT109" s="135"/>
      <c r="CU109" s="131"/>
      <c r="CV109" s="146"/>
      <c r="CW109" s="135"/>
      <c r="CX109" s="135"/>
      <c r="CY109" s="135"/>
      <c r="CZ109" s="135"/>
      <c r="DA109" s="131"/>
      <c r="DB109" s="146"/>
      <c r="DC109" s="135"/>
      <c r="DD109" s="135"/>
      <c r="DE109" s="135"/>
      <c r="DF109" s="135"/>
      <c r="DG109" s="131"/>
      <c r="DH109" s="146"/>
      <c r="DI109" s="135"/>
      <c r="DJ109" s="135"/>
      <c r="DK109" s="135"/>
      <c r="DL109" s="135"/>
      <c r="DM109" s="131"/>
      <c r="DN109" s="146"/>
      <c r="DO109" s="135"/>
      <c r="DP109" s="135"/>
      <c r="DQ109" s="135"/>
      <c r="DR109" s="135"/>
      <c r="DS109" s="131"/>
      <c r="DT109" s="146"/>
      <c r="DU109" s="135"/>
      <c r="DV109" s="135"/>
      <c r="DW109" s="135"/>
      <c r="DX109" s="135"/>
      <c r="DY109" s="131"/>
      <c r="DZ109" s="146"/>
      <c r="EA109" s="135"/>
      <c r="EB109" s="135"/>
      <c r="EC109" s="135"/>
      <c r="ED109" s="135"/>
      <c r="EE109" s="131"/>
      <c r="EF109" s="135">
        <f t="shared" si="25"/>
        <v>47</v>
      </c>
      <c r="EG109" s="135"/>
      <c r="EH109" s="581">
        <v>47</v>
      </c>
      <c r="EI109" s="601">
        <f t="shared" si="33"/>
        <v>1</v>
      </c>
      <c r="EJ109" s="602">
        <v>0</v>
      </c>
      <c r="EK109" s="603">
        <f t="shared" si="28"/>
        <v>1</v>
      </c>
      <c r="EL109" s="603">
        <f t="shared" si="28"/>
        <v>0</v>
      </c>
      <c r="EM109" s="602">
        <f t="shared" si="11"/>
        <v>1</v>
      </c>
      <c r="EN109" s="581">
        <v>47</v>
      </c>
      <c r="EO109" s="602">
        <v>0</v>
      </c>
      <c r="EP109" s="602">
        <v>0</v>
      </c>
      <c r="EQ109" s="603">
        <f>EL168</f>
        <v>0</v>
      </c>
      <c r="ER109" s="603">
        <f t="shared" si="12"/>
        <v>0</v>
      </c>
      <c r="ES109" s="602">
        <f t="shared" si="13"/>
        <v>0</v>
      </c>
      <c r="ET109" s="519">
        <f t="shared" si="7"/>
        <v>47</v>
      </c>
      <c r="EU109" s="602">
        <f>AVERAGE(D109,F109,H109,J109,L109,N109,P109,R109,T109,V109,X109,Z109,AB109,AD109,AF109,AH109)</f>
        <v>1</v>
      </c>
      <c r="EV109" s="602">
        <v>0</v>
      </c>
      <c r="EW109" s="603">
        <f t="shared" si="32"/>
        <v>1</v>
      </c>
      <c r="EX109" s="603">
        <f t="shared" si="32"/>
        <v>0</v>
      </c>
      <c r="EY109" s="602">
        <f t="shared" si="15"/>
        <v>1</v>
      </c>
      <c r="EZ109" s="580"/>
      <c r="FA109" s="580"/>
      <c r="FB109" s="580"/>
      <c r="FC109" s="580"/>
      <c r="FD109" s="580"/>
      <c r="FE109" s="580"/>
      <c r="FF109" s="580"/>
      <c r="FG109" s="580"/>
      <c r="FH109" s="580"/>
    </row>
    <row r="110" spans="1:164" x14ac:dyDescent="0.2">
      <c r="A110" s="180">
        <v>48</v>
      </c>
      <c r="B110" s="146"/>
      <c r="C110" s="131"/>
      <c r="D110" s="146"/>
      <c r="E110" s="131"/>
      <c r="F110" s="124"/>
      <c r="G110" s="124"/>
      <c r="H110" s="146"/>
      <c r="I110" s="131"/>
      <c r="J110" s="124"/>
      <c r="K110" s="124"/>
      <c r="L110" s="146"/>
      <c r="M110" s="131"/>
      <c r="N110" s="124"/>
      <c r="O110" s="124"/>
      <c r="P110" s="146"/>
      <c r="Q110" s="131"/>
      <c r="R110" s="124"/>
      <c r="S110" s="124"/>
      <c r="T110" s="146"/>
      <c r="U110" s="131"/>
      <c r="V110" s="124"/>
      <c r="W110" s="124"/>
      <c r="X110" s="146"/>
      <c r="Y110" s="131"/>
      <c r="Z110" s="124"/>
      <c r="AA110" s="124"/>
      <c r="AB110" s="146"/>
      <c r="AC110" s="131"/>
      <c r="AD110" s="124"/>
      <c r="AE110" s="124"/>
      <c r="AF110" s="146"/>
      <c r="AG110" s="135"/>
      <c r="AH110" s="146"/>
      <c r="AI110" s="141"/>
      <c r="AJ110" s="135"/>
      <c r="AK110" s="131"/>
      <c r="AN110" s="146"/>
      <c r="AO110" s="131"/>
      <c r="AR110" s="146"/>
      <c r="AS110" s="131"/>
      <c r="AV110" s="146"/>
      <c r="AW110" s="131"/>
      <c r="AX110" s="181">
        <v>2</v>
      </c>
      <c r="AZ110" s="146"/>
      <c r="BA110" s="131"/>
      <c r="BB110" s="146"/>
      <c r="BC110" s="131"/>
      <c r="BD110" s="146"/>
      <c r="BE110" s="131"/>
      <c r="BF110" s="146"/>
      <c r="BG110" s="135"/>
      <c r="BH110" s="135"/>
      <c r="BI110" s="135"/>
      <c r="BJ110" s="135"/>
      <c r="BK110" s="135"/>
      <c r="BL110" s="146"/>
      <c r="BM110" s="135"/>
      <c r="BN110" s="135"/>
      <c r="BO110" s="135"/>
      <c r="BP110" s="135"/>
      <c r="BQ110" s="131"/>
      <c r="BR110" s="146"/>
      <c r="BS110" s="135"/>
      <c r="BT110" s="135"/>
      <c r="BU110" s="135"/>
      <c r="BV110" s="135"/>
      <c r="BW110" s="131"/>
      <c r="BX110" s="146"/>
      <c r="BY110" s="135"/>
      <c r="BZ110" s="135"/>
      <c r="CA110" s="135"/>
      <c r="CB110" s="135"/>
      <c r="CC110" s="131"/>
      <c r="CD110" s="146"/>
      <c r="CE110" s="135"/>
      <c r="CF110" s="135"/>
      <c r="CG110" s="135"/>
      <c r="CH110" s="135"/>
      <c r="CI110" s="131"/>
      <c r="CJ110" s="146"/>
      <c r="CK110" s="135"/>
      <c r="CL110" s="135"/>
      <c r="CM110" s="135"/>
      <c r="CN110" s="135"/>
      <c r="CO110" s="131"/>
      <c r="CP110" s="146"/>
      <c r="CQ110" s="135"/>
      <c r="CR110" s="135"/>
      <c r="CS110" s="135"/>
      <c r="CT110" s="135"/>
      <c r="CU110" s="131"/>
      <c r="CV110" s="146"/>
      <c r="CW110" s="135"/>
      <c r="CX110" s="135"/>
      <c r="CY110" s="135"/>
      <c r="CZ110" s="135"/>
      <c r="DA110" s="131"/>
      <c r="DB110" s="146"/>
      <c r="DC110" s="135"/>
      <c r="DD110" s="135"/>
      <c r="DE110" s="135"/>
      <c r="DF110" s="135"/>
      <c r="DG110" s="131"/>
      <c r="DH110" s="146"/>
      <c r="DI110" s="135"/>
      <c r="DJ110" s="135"/>
      <c r="DK110" s="135"/>
      <c r="DL110" s="135"/>
      <c r="DM110" s="131"/>
      <c r="DN110" s="146"/>
      <c r="DO110" s="135"/>
      <c r="DP110" s="135"/>
      <c r="DQ110" s="135"/>
      <c r="DR110" s="135"/>
      <c r="DS110" s="131"/>
      <c r="DT110" s="146"/>
      <c r="DU110" s="135"/>
      <c r="DV110" s="135"/>
      <c r="DW110" s="135"/>
      <c r="DX110" s="135"/>
      <c r="DY110" s="131"/>
      <c r="DZ110" s="146"/>
      <c r="EA110" s="135"/>
      <c r="EB110" s="135"/>
      <c r="EC110" s="135"/>
      <c r="ED110" s="135"/>
      <c r="EE110" s="131"/>
      <c r="EF110" s="135">
        <f t="shared" si="25"/>
        <v>48</v>
      </c>
      <c r="EG110" s="135"/>
      <c r="EH110" s="581">
        <v>48</v>
      </c>
      <c r="EI110" s="601">
        <f t="shared" si="33"/>
        <v>2</v>
      </c>
      <c r="EJ110" s="602">
        <v>0</v>
      </c>
      <c r="EK110" s="603">
        <f t="shared" si="28"/>
        <v>1</v>
      </c>
      <c r="EL110" s="603">
        <f t="shared" si="28"/>
        <v>0</v>
      </c>
      <c r="EM110" s="602">
        <f t="shared" si="11"/>
        <v>2</v>
      </c>
      <c r="EN110" s="581">
        <v>48</v>
      </c>
      <c r="EO110" s="602">
        <f t="shared" ref="EO110:EO115" si="34">AVERAGE(AJ110,AL110,AN110,AP110,AR110,AT110,AV110,AX110,AZ110,BB110,BD110)</f>
        <v>2</v>
      </c>
      <c r="EP110" s="602">
        <v>0</v>
      </c>
      <c r="EQ110" s="603">
        <f t="shared" si="16"/>
        <v>1</v>
      </c>
      <c r="ER110" s="603">
        <f t="shared" si="12"/>
        <v>0</v>
      </c>
      <c r="ES110" s="602">
        <f t="shared" si="13"/>
        <v>2</v>
      </c>
      <c r="ET110" s="519">
        <f t="shared" si="7"/>
        <v>48</v>
      </c>
      <c r="EU110" s="602">
        <v>0</v>
      </c>
      <c r="EV110" s="602">
        <v>0</v>
      </c>
      <c r="EW110" s="603">
        <f t="shared" si="32"/>
        <v>0</v>
      </c>
      <c r="EX110" s="603">
        <f t="shared" si="32"/>
        <v>0</v>
      </c>
      <c r="EY110" s="602">
        <f t="shared" si="15"/>
        <v>0</v>
      </c>
      <c r="EZ110" s="580"/>
      <c r="FA110" s="580"/>
      <c r="FB110" s="580"/>
      <c r="FC110" s="580"/>
      <c r="FD110" s="580"/>
      <c r="FE110" s="580"/>
      <c r="FF110" s="580"/>
      <c r="FG110" s="580"/>
      <c r="FH110" s="580"/>
    </row>
    <row r="111" spans="1:164" x14ac:dyDescent="0.2">
      <c r="A111" s="180">
        <v>49</v>
      </c>
      <c r="B111" s="193">
        <v>7</v>
      </c>
      <c r="C111" s="131"/>
      <c r="D111" s="146"/>
      <c r="E111" s="131"/>
      <c r="F111" s="124"/>
      <c r="G111" s="124"/>
      <c r="H111" s="146"/>
      <c r="I111" s="131"/>
      <c r="J111" s="124"/>
      <c r="K111" s="124"/>
      <c r="L111" s="182">
        <v>29</v>
      </c>
      <c r="M111" s="183">
        <v>3</v>
      </c>
      <c r="N111" s="181">
        <v>28</v>
      </c>
      <c r="O111" s="181">
        <v>2</v>
      </c>
      <c r="P111" s="146"/>
      <c r="Q111" s="131"/>
      <c r="R111" s="124"/>
      <c r="S111" s="124"/>
      <c r="T111" s="146"/>
      <c r="U111" s="131"/>
      <c r="V111" s="124"/>
      <c r="W111" s="124"/>
      <c r="X111" s="146"/>
      <c r="Y111" s="131"/>
      <c r="Z111" s="124"/>
      <c r="AA111" s="124"/>
      <c r="AB111" s="146"/>
      <c r="AC111" s="131"/>
      <c r="AD111" s="124"/>
      <c r="AE111" s="124"/>
      <c r="AF111" s="146"/>
      <c r="AG111" s="135"/>
      <c r="AH111" s="146"/>
      <c r="AI111" s="141"/>
      <c r="AJ111" s="188">
        <v>37</v>
      </c>
      <c r="AK111" s="183">
        <v>3</v>
      </c>
      <c r="AN111" s="146"/>
      <c r="AO111" s="131"/>
      <c r="AR111" s="182">
        <v>8</v>
      </c>
      <c r="AS111" s="131"/>
      <c r="AT111" s="181">
        <v>4</v>
      </c>
      <c r="AV111" s="146"/>
      <c r="AW111" s="131"/>
      <c r="AX111" s="181">
        <v>1</v>
      </c>
      <c r="AZ111" s="146"/>
      <c r="BA111" s="131"/>
      <c r="BB111" s="146"/>
      <c r="BC111" s="131"/>
      <c r="BD111" s="146"/>
      <c r="BE111" s="131"/>
      <c r="BF111" s="146"/>
      <c r="BG111" s="135"/>
      <c r="BH111" s="135"/>
      <c r="BI111" s="135"/>
      <c r="BJ111" s="135"/>
      <c r="BK111" s="135"/>
      <c r="BL111" s="182">
        <v>7</v>
      </c>
      <c r="BM111" s="188">
        <v>0</v>
      </c>
      <c r="BN111" s="188">
        <v>0</v>
      </c>
      <c r="BO111" s="188">
        <v>0</v>
      </c>
      <c r="BP111" s="188">
        <v>0</v>
      </c>
      <c r="BQ111" s="183">
        <v>0</v>
      </c>
      <c r="BR111" s="146"/>
      <c r="BS111" s="135"/>
      <c r="BT111" s="135"/>
      <c r="BU111" s="135"/>
      <c r="BV111" s="135"/>
      <c r="BW111" s="131"/>
      <c r="BX111" s="182">
        <v>1</v>
      </c>
      <c r="BY111" s="188">
        <v>0</v>
      </c>
      <c r="BZ111" s="188">
        <v>0</v>
      </c>
      <c r="CA111" s="188">
        <v>0</v>
      </c>
      <c r="CB111" s="188">
        <v>0</v>
      </c>
      <c r="CC111" s="183">
        <v>0</v>
      </c>
      <c r="CD111" s="146"/>
      <c r="CE111" s="135"/>
      <c r="CF111" s="135"/>
      <c r="CG111" s="135"/>
      <c r="CH111" s="135"/>
      <c r="CI111" s="131"/>
      <c r="CJ111" s="146"/>
      <c r="CK111" s="135"/>
      <c r="CL111" s="135"/>
      <c r="CM111" s="135"/>
      <c r="CN111" s="135"/>
      <c r="CO111" s="131"/>
      <c r="CP111" s="146"/>
      <c r="CQ111" s="135"/>
      <c r="CR111" s="135"/>
      <c r="CS111" s="135"/>
      <c r="CT111" s="135"/>
      <c r="CU111" s="131"/>
      <c r="CV111" s="146"/>
      <c r="CW111" s="135"/>
      <c r="CX111" s="135"/>
      <c r="CY111" s="135"/>
      <c r="CZ111" s="135"/>
      <c r="DA111" s="131"/>
      <c r="DB111" s="146"/>
      <c r="DC111" s="135"/>
      <c r="DD111" s="135"/>
      <c r="DE111" s="135"/>
      <c r="DF111" s="135"/>
      <c r="DG111" s="131"/>
      <c r="DH111" s="146"/>
      <c r="DI111" s="135"/>
      <c r="DJ111" s="135"/>
      <c r="DK111" s="135"/>
      <c r="DL111" s="135"/>
      <c r="DM111" s="131"/>
      <c r="DN111" s="146"/>
      <c r="DO111" s="135"/>
      <c r="DP111" s="135"/>
      <c r="DQ111" s="135"/>
      <c r="DR111" s="135"/>
      <c r="DS111" s="131"/>
      <c r="DT111" s="146"/>
      <c r="DU111" s="135"/>
      <c r="DV111" s="135"/>
      <c r="DW111" s="135"/>
      <c r="DX111" s="135"/>
      <c r="DY111" s="131"/>
      <c r="DZ111" s="146"/>
      <c r="EA111" s="135"/>
      <c r="EB111" s="135"/>
      <c r="EC111" s="135"/>
      <c r="ED111" s="135"/>
      <c r="EE111" s="131"/>
      <c r="EF111" s="135">
        <f t="shared" si="25"/>
        <v>49</v>
      </c>
      <c r="EG111" s="135"/>
      <c r="EH111" s="581">
        <v>49</v>
      </c>
      <c r="EI111" s="601">
        <f t="shared" si="33"/>
        <v>17.833333333333332</v>
      </c>
      <c r="EJ111" s="602">
        <f>AVERAGE(E111,G111,I111,K111,M111,O111,Q111,S111,U111,W111,Y111,AA111,AC111,AE111,AG111,AI111,AK111,AM111,AO111,AQ111,AS111,AU111,AW111,AY111,BA111,BC111,BE111)</f>
        <v>2.6666666666666665</v>
      </c>
      <c r="EK111" s="603">
        <f t="shared" si="28"/>
        <v>0.96076388888888886</v>
      </c>
      <c r="EL111" s="603">
        <f t="shared" si="28"/>
        <v>3.923611111111111E-2</v>
      </c>
      <c r="EM111" s="602">
        <f t="shared" si="11"/>
        <v>20.5</v>
      </c>
      <c r="EN111" s="581">
        <v>49</v>
      </c>
      <c r="EO111" s="602">
        <f t="shared" si="34"/>
        <v>12.5</v>
      </c>
      <c r="EP111" s="602">
        <f>AVERAGE(AK111,AM111,AO111,AQ111,AS111,AU111,AW111,AY111,BA111,BC111,BE111)</f>
        <v>3</v>
      </c>
      <c r="EQ111" s="603">
        <f t="shared" si="16"/>
        <v>0.98124999999999996</v>
      </c>
      <c r="ER111" s="603">
        <f t="shared" si="12"/>
        <v>1.8749999999999999E-2</v>
      </c>
      <c r="ES111" s="602">
        <f t="shared" si="13"/>
        <v>15.5</v>
      </c>
      <c r="ET111" s="519">
        <f t="shared" si="7"/>
        <v>49</v>
      </c>
      <c r="EU111" s="602">
        <f t="shared" ref="EU111:EV115" si="35">AVERAGE(D111,F111,H111,J111,L111,N111,P111,R111,T111,V111,X111,Z111,AB111,AD111,AF111,AH111)</f>
        <v>28.5</v>
      </c>
      <c r="EV111" s="602">
        <f t="shared" si="35"/>
        <v>2.5</v>
      </c>
      <c r="EW111" s="603">
        <f t="shared" si="32"/>
        <v>0.91979166666666667</v>
      </c>
      <c r="EX111" s="603">
        <f t="shared" si="32"/>
        <v>8.0208333333333326E-2</v>
      </c>
      <c r="EY111" s="602">
        <f t="shared" si="15"/>
        <v>31</v>
      </c>
      <c r="EZ111" s="580"/>
      <c r="FA111" s="580"/>
      <c r="FB111" s="580"/>
      <c r="FC111" s="580"/>
      <c r="FD111" s="580"/>
      <c r="FE111" s="580"/>
      <c r="FF111" s="580"/>
      <c r="FG111" s="580"/>
      <c r="FH111" s="580"/>
    </row>
    <row r="112" spans="1:164" x14ac:dyDescent="0.2">
      <c r="A112" s="180">
        <v>50</v>
      </c>
      <c r="B112" s="146"/>
      <c r="C112" s="131"/>
      <c r="D112" s="146"/>
      <c r="E112" s="131"/>
      <c r="F112" s="181">
        <v>59</v>
      </c>
      <c r="G112" s="181">
        <v>1</v>
      </c>
      <c r="H112" s="146"/>
      <c r="I112" s="131"/>
      <c r="J112" s="181">
        <v>102</v>
      </c>
      <c r="K112" s="181">
        <v>5</v>
      </c>
      <c r="L112" s="182">
        <v>122</v>
      </c>
      <c r="M112" s="183">
        <v>5</v>
      </c>
      <c r="N112" s="181">
        <v>98</v>
      </c>
      <c r="O112" s="181">
        <v>7</v>
      </c>
      <c r="P112" s="146"/>
      <c r="Q112" s="131"/>
      <c r="R112" s="181">
        <v>17</v>
      </c>
      <c r="S112" s="124"/>
      <c r="T112" s="182">
        <v>3</v>
      </c>
      <c r="U112" s="131"/>
      <c r="V112" s="124"/>
      <c r="W112" s="124"/>
      <c r="X112" s="182">
        <v>6</v>
      </c>
      <c r="Y112" s="131"/>
      <c r="Z112" s="181">
        <v>10</v>
      </c>
      <c r="AA112" s="124"/>
      <c r="AB112" s="146"/>
      <c r="AC112" s="131"/>
      <c r="AD112" s="124"/>
      <c r="AE112" s="124"/>
      <c r="AF112" s="146"/>
      <c r="AG112" s="135"/>
      <c r="AH112" s="146"/>
      <c r="AI112" s="141"/>
      <c r="AJ112" s="188">
        <v>9</v>
      </c>
      <c r="AK112" s="131"/>
      <c r="AN112" s="182">
        <v>3</v>
      </c>
      <c r="AO112" s="131"/>
      <c r="AP112" s="181">
        <v>24</v>
      </c>
      <c r="AR112" s="182">
        <v>5</v>
      </c>
      <c r="AS112" s="131"/>
      <c r="AT112" s="181">
        <v>20</v>
      </c>
      <c r="AV112" s="182">
        <v>6</v>
      </c>
      <c r="AW112" s="131"/>
      <c r="AZ112" s="182">
        <v>15</v>
      </c>
      <c r="BA112" s="183">
        <v>2</v>
      </c>
      <c r="BB112" s="146"/>
      <c r="BC112" s="131"/>
      <c r="BD112" s="146"/>
      <c r="BE112" s="131"/>
      <c r="BF112" s="182">
        <v>8</v>
      </c>
      <c r="BG112" s="188">
        <v>0</v>
      </c>
      <c r="BH112" s="188">
        <v>0</v>
      </c>
      <c r="BI112" s="188">
        <v>13</v>
      </c>
      <c r="BJ112" s="188">
        <v>0</v>
      </c>
      <c r="BK112" s="188">
        <v>1</v>
      </c>
      <c r="BL112" s="146"/>
      <c r="BM112" s="135"/>
      <c r="BN112" s="135"/>
      <c r="BO112" s="135"/>
      <c r="BP112" s="135"/>
      <c r="BQ112" s="131"/>
      <c r="BR112" s="182">
        <v>9</v>
      </c>
      <c r="BS112" s="188">
        <v>0</v>
      </c>
      <c r="BT112" s="188">
        <v>0</v>
      </c>
      <c r="BU112" s="188">
        <v>0</v>
      </c>
      <c r="BV112" s="188">
        <v>0</v>
      </c>
      <c r="BW112" s="183">
        <v>0</v>
      </c>
      <c r="BX112" s="182">
        <v>1</v>
      </c>
      <c r="BY112" s="188">
        <v>0</v>
      </c>
      <c r="BZ112" s="188">
        <v>0</v>
      </c>
      <c r="CA112" s="188">
        <v>0</v>
      </c>
      <c r="CB112" s="188">
        <v>0</v>
      </c>
      <c r="CC112" s="183">
        <v>0</v>
      </c>
      <c r="CD112" s="146"/>
      <c r="CE112" s="135"/>
      <c r="CF112" s="135"/>
      <c r="CG112" s="135"/>
      <c r="CH112" s="135"/>
      <c r="CI112" s="131"/>
      <c r="CJ112" s="146"/>
      <c r="CK112" s="135"/>
      <c r="CL112" s="135"/>
      <c r="CM112" s="135"/>
      <c r="CN112" s="135"/>
      <c r="CO112" s="131"/>
      <c r="CP112" s="146"/>
      <c r="CQ112" s="135"/>
      <c r="CR112" s="135"/>
      <c r="CS112" s="135"/>
      <c r="CT112" s="135"/>
      <c r="CU112" s="131"/>
      <c r="CV112" s="146"/>
      <c r="CW112" s="135"/>
      <c r="CX112" s="135"/>
      <c r="CY112" s="135"/>
      <c r="CZ112" s="135"/>
      <c r="DA112" s="131"/>
      <c r="DB112" s="146"/>
      <c r="DC112" s="135"/>
      <c r="DD112" s="135"/>
      <c r="DE112" s="135"/>
      <c r="DF112" s="135"/>
      <c r="DG112" s="131"/>
      <c r="DH112" s="146"/>
      <c r="DI112" s="135"/>
      <c r="DJ112" s="135"/>
      <c r="DK112" s="135"/>
      <c r="DL112" s="135"/>
      <c r="DM112" s="131"/>
      <c r="DN112" s="146"/>
      <c r="DO112" s="135"/>
      <c r="DP112" s="135"/>
      <c r="DQ112" s="135"/>
      <c r="DR112" s="135"/>
      <c r="DS112" s="131"/>
      <c r="DT112" s="146"/>
      <c r="DU112" s="135"/>
      <c r="DV112" s="135"/>
      <c r="DW112" s="135"/>
      <c r="DX112" s="135"/>
      <c r="DY112" s="131"/>
      <c r="DZ112" s="146"/>
      <c r="EA112" s="135"/>
      <c r="EB112" s="135"/>
      <c r="EC112" s="135"/>
      <c r="ED112" s="135"/>
      <c r="EE112" s="131"/>
      <c r="EF112" s="135">
        <f t="shared" si="25"/>
        <v>50</v>
      </c>
      <c r="EG112" s="135"/>
      <c r="EH112" s="581">
        <v>50</v>
      </c>
      <c r="EI112" s="601">
        <f t="shared" si="33"/>
        <v>33.266666666666666</v>
      </c>
      <c r="EJ112" s="602">
        <f>AVERAGE(E112,G112,I112,K112,M112,O112,Q112,S112,U112,W112,Y112,AA112,AC112,AE112,AG112,AI112,AK112,AM112,AO112,AQ112,AS112,AU112,AW112,AY112,BA112,BC112,BE112)</f>
        <v>4</v>
      </c>
      <c r="EK112" s="603">
        <f t="shared" ref="EK112:EL115" si="36">EI171</f>
        <v>0.98086137047602429</v>
      </c>
      <c r="EL112" s="603">
        <f t="shared" si="36"/>
        <v>1.9138629523975804E-2</v>
      </c>
      <c r="EM112" s="602">
        <f t="shared" si="11"/>
        <v>37.266666666666666</v>
      </c>
      <c r="EN112" s="581">
        <v>50</v>
      </c>
      <c r="EO112" s="602">
        <f t="shared" si="34"/>
        <v>11.714285714285714</v>
      </c>
      <c r="EP112" s="602">
        <f>AVERAGE(AK112,AM112,AO112,AQ112,AS112,AU112,AW112,AY112,BA112,BC112,BE112)</f>
        <v>2</v>
      </c>
      <c r="EQ112" s="603">
        <f t="shared" si="16"/>
        <v>0.98319327731092443</v>
      </c>
      <c r="ER112" s="603">
        <f t="shared" si="12"/>
        <v>1.680672268907563E-2</v>
      </c>
      <c r="ES112" s="602">
        <f t="shared" si="13"/>
        <v>13.714285714285714</v>
      </c>
      <c r="ET112" s="519">
        <f t="shared" si="7"/>
        <v>50</v>
      </c>
      <c r="EU112" s="602">
        <f t="shared" si="35"/>
        <v>52.125</v>
      </c>
      <c r="EV112" s="602">
        <f t="shared" si="35"/>
        <v>4.5</v>
      </c>
      <c r="EW112" s="603">
        <f t="shared" ref="EW112:EX115" si="37">EO171</f>
        <v>0.97882095199548658</v>
      </c>
      <c r="EX112" s="603">
        <f t="shared" si="37"/>
        <v>2.1179048004513455E-2</v>
      </c>
      <c r="EY112" s="602">
        <f t="shared" si="15"/>
        <v>56.625</v>
      </c>
      <c r="EZ112" s="580"/>
      <c r="FA112" s="580"/>
      <c r="FB112" s="580"/>
      <c r="FC112" s="580"/>
      <c r="FD112" s="580"/>
      <c r="FE112" s="580"/>
      <c r="FF112" s="580"/>
      <c r="FG112" s="580"/>
      <c r="FH112" s="580"/>
    </row>
    <row r="113" spans="1:164" x14ac:dyDescent="0.2">
      <c r="A113" s="180">
        <v>51</v>
      </c>
      <c r="B113" s="193">
        <v>12</v>
      </c>
      <c r="C113" s="131"/>
      <c r="D113" s="182">
        <v>148</v>
      </c>
      <c r="E113" s="183">
        <v>3</v>
      </c>
      <c r="F113" s="181">
        <v>105</v>
      </c>
      <c r="G113" s="181">
        <v>11</v>
      </c>
      <c r="H113" s="182">
        <v>85</v>
      </c>
      <c r="I113" s="183">
        <v>5</v>
      </c>
      <c r="J113" s="181">
        <v>184</v>
      </c>
      <c r="K113" s="181">
        <v>5</v>
      </c>
      <c r="L113" s="182">
        <v>281</v>
      </c>
      <c r="M113" s="183">
        <v>10</v>
      </c>
      <c r="N113" s="181">
        <v>86</v>
      </c>
      <c r="O113" s="181">
        <v>12</v>
      </c>
      <c r="P113" s="182">
        <v>98</v>
      </c>
      <c r="Q113" s="183">
        <v>2</v>
      </c>
      <c r="R113" s="181">
        <v>51</v>
      </c>
      <c r="S113" s="124"/>
      <c r="T113" s="182">
        <v>10</v>
      </c>
      <c r="U113" s="131"/>
      <c r="V113" s="181">
        <v>33</v>
      </c>
      <c r="W113" s="181">
        <v>2</v>
      </c>
      <c r="X113" s="182">
        <v>16</v>
      </c>
      <c r="Y113" s="131"/>
      <c r="Z113" s="124"/>
      <c r="AA113" s="124"/>
      <c r="AB113" s="182">
        <v>3</v>
      </c>
      <c r="AC113" s="183">
        <v>3</v>
      </c>
      <c r="AD113" s="124"/>
      <c r="AE113" s="124"/>
      <c r="AF113" s="146"/>
      <c r="AG113" s="135"/>
      <c r="AH113" s="146"/>
      <c r="AI113" s="141"/>
      <c r="AJ113" s="135"/>
      <c r="AK113" s="131"/>
      <c r="AL113" s="181">
        <v>4</v>
      </c>
      <c r="AM113" s="181">
        <v>5</v>
      </c>
      <c r="AN113" s="146"/>
      <c r="AO113" s="131"/>
      <c r="AP113" s="181">
        <v>18</v>
      </c>
      <c r="AQ113" s="181">
        <v>1</v>
      </c>
      <c r="AR113" s="146"/>
      <c r="AS113" s="131"/>
      <c r="AT113" s="181">
        <v>17</v>
      </c>
      <c r="AV113" s="146"/>
      <c r="AW113" s="131"/>
      <c r="AX113" s="181">
        <v>11</v>
      </c>
      <c r="AZ113" s="182">
        <v>95</v>
      </c>
      <c r="BA113" s="183">
        <v>5</v>
      </c>
      <c r="BB113" s="146"/>
      <c r="BC113" s="131"/>
      <c r="BD113" s="182">
        <v>7</v>
      </c>
      <c r="BE113" s="131"/>
      <c r="BF113" s="182">
        <v>54</v>
      </c>
      <c r="BG113" s="188">
        <v>0</v>
      </c>
      <c r="BH113" s="188">
        <v>1</v>
      </c>
      <c r="BI113" s="188">
        <v>10</v>
      </c>
      <c r="BJ113" s="188">
        <v>0</v>
      </c>
      <c r="BK113" s="188">
        <v>0</v>
      </c>
      <c r="BL113" s="182">
        <v>6</v>
      </c>
      <c r="BM113" s="188">
        <v>0</v>
      </c>
      <c r="BN113" s="188">
        <v>0</v>
      </c>
      <c r="BO113" s="188">
        <v>0</v>
      </c>
      <c r="BP113" s="188">
        <v>0</v>
      </c>
      <c r="BQ113" s="183">
        <v>0</v>
      </c>
      <c r="BR113" s="182">
        <v>7</v>
      </c>
      <c r="BS113" s="188">
        <v>0</v>
      </c>
      <c r="BT113" s="188">
        <v>0</v>
      </c>
      <c r="BU113" s="188">
        <v>4</v>
      </c>
      <c r="BV113" s="188">
        <v>0</v>
      </c>
      <c r="BW113" s="183">
        <v>0</v>
      </c>
      <c r="BX113" s="146"/>
      <c r="BY113" s="135"/>
      <c r="BZ113" s="135"/>
      <c r="CA113" s="135"/>
      <c r="CB113" s="135"/>
      <c r="CC113" s="131"/>
      <c r="CD113" s="146"/>
      <c r="CE113" s="135"/>
      <c r="CF113" s="135"/>
      <c r="CG113" s="135"/>
      <c r="CH113" s="135"/>
      <c r="CI113" s="131"/>
      <c r="CJ113" s="146"/>
      <c r="CK113" s="135"/>
      <c r="CL113" s="135"/>
      <c r="CM113" s="135"/>
      <c r="CN113" s="135"/>
      <c r="CO113" s="131"/>
      <c r="CP113" s="146"/>
      <c r="CQ113" s="135"/>
      <c r="CR113" s="135"/>
      <c r="CS113" s="135"/>
      <c r="CT113" s="135"/>
      <c r="CU113" s="131"/>
      <c r="CV113" s="146"/>
      <c r="CW113" s="135"/>
      <c r="CX113" s="135"/>
      <c r="CY113" s="135"/>
      <c r="CZ113" s="135"/>
      <c r="DA113" s="131"/>
      <c r="DB113" s="146"/>
      <c r="DC113" s="135"/>
      <c r="DD113" s="135"/>
      <c r="DE113" s="135"/>
      <c r="DF113" s="135"/>
      <c r="DG113" s="131"/>
      <c r="DH113" s="146"/>
      <c r="DI113" s="135"/>
      <c r="DJ113" s="135"/>
      <c r="DK113" s="135"/>
      <c r="DL113" s="135"/>
      <c r="DM113" s="131"/>
      <c r="DN113" s="146"/>
      <c r="DO113" s="135"/>
      <c r="DP113" s="135"/>
      <c r="DQ113" s="135"/>
      <c r="DR113" s="135"/>
      <c r="DS113" s="131"/>
      <c r="DT113" s="146"/>
      <c r="DU113" s="135"/>
      <c r="DV113" s="135"/>
      <c r="DW113" s="135"/>
      <c r="DX113" s="135"/>
      <c r="DY113" s="131"/>
      <c r="DZ113" s="146"/>
      <c r="EA113" s="135"/>
      <c r="EB113" s="135"/>
      <c r="EC113" s="135"/>
      <c r="ED113" s="135"/>
      <c r="EE113" s="131"/>
      <c r="EF113" s="135">
        <f t="shared" si="25"/>
        <v>51</v>
      </c>
      <c r="EG113" s="135"/>
      <c r="EH113" s="581">
        <v>51</v>
      </c>
      <c r="EI113" s="601">
        <f t="shared" si="33"/>
        <v>69.555555555555557</v>
      </c>
      <c r="EJ113" s="602">
        <f>AVERAGE(E113,G113,I113,K113,M113,O113,Q113,S113,U113,W113,Y113,AA113,AC113,AE113,AG113,AI113,AK113,AM113,AO113,AQ113,AS113,AU113,AW113,AY113,BA113,BC113,BE113)</f>
        <v>5.333333333333333</v>
      </c>
      <c r="EK113" s="603">
        <f t="shared" si="36"/>
        <v>0.91173061387264687</v>
      </c>
      <c r="EL113" s="603">
        <f t="shared" si="36"/>
        <v>8.8269386127353092E-2</v>
      </c>
      <c r="EM113" s="602">
        <f t="shared" si="11"/>
        <v>74.888888888888886</v>
      </c>
      <c r="EN113" s="581">
        <v>51</v>
      </c>
      <c r="EO113" s="602">
        <f t="shared" si="34"/>
        <v>25.333333333333332</v>
      </c>
      <c r="EP113" s="602">
        <f>AVERAGE(AK113,AM113,AO113,AQ113,AS113,AU113,AW113,AY113,BA113,BC113,BE113)</f>
        <v>3.6666666666666665</v>
      </c>
      <c r="EQ113" s="603">
        <f t="shared" si="16"/>
        <v>0.89030214424951259</v>
      </c>
      <c r="ER113" s="603">
        <f t="shared" si="12"/>
        <v>0.10969785575048734</v>
      </c>
      <c r="ES113" s="602">
        <f t="shared" si="13"/>
        <v>29</v>
      </c>
      <c r="ET113" s="519">
        <f t="shared" si="7"/>
        <v>51</v>
      </c>
      <c r="EU113" s="602">
        <f t="shared" si="35"/>
        <v>91.666666666666671</v>
      </c>
      <c r="EV113" s="602">
        <f t="shared" si="35"/>
        <v>5.8888888888888893</v>
      </c>
      <c r="EW113" s="603">
        <f t="shared" si="37"/>
        <v>0.92244484868421406</v>
      </c>
      <c r="EX113" s="603">
        <f t="shared" si="37"/>
        <v>7.7555151315785956E-2</v>
      </c>
      <c r="EY113" s="602">
        <f t="shared" si="15"/>
        <v>97.555555555555557</v>
      </c>
      <c r="EZ113" s="580"/>
      <c r="FA113" s="580"/>
      <c r="FB113" s="580"/>
      <c r="FC113" s="580"/>
      <c r="FD113" s="580"/>
      <c r="FE113" s="580"/>
      <c r="FF113" s="580"/>
      <c r="FG113" s="580"/>
      <c r="FH113" s="580"/>
    </row>
    <row r="114" spans="1:164" x14ac:dyDescent="0.2">
      <c r="A114" s="180">
        <v>52</v>
      </c>
      <c r="B114" s="193">
        <v>3</v>
      </c>
      <c r="C114" s="131"/>
      <c r="D114" s="182">
        <v>71</v>
      </c>
      <c r="E114" s="183">
        <v>1</v>
      </c>
      <c r="F114" s="181">
        <v>104</v>
      </c>
      <c r="G114" s="181">
        <v>8</v>
      </c>
      <c r="H114" s="182">
        <v>208</v>
      </c>
      <c r="I114" s="183">
        <v>22</v>
      </c>
      <c r="J114" s="181">
        <v>178</v>
      </c>
      <c r="K114" s="181">
        <v>15</v>
      </c>
      <c r="L114" s="182">
        <v>110</v>
      </c>
      <c r="M114" s="183">
        <v>12</v>
      </c>
      <c r="N114" s="181">
        <v>46</v>
      </c>
      <c r="O114" s="181">
        <v>13</v>
      </c>
      <c r="P114" s="182">
        <v>35</v>
      </c>
      <c r="Q114" s="131"/>
      <c r="R114" s="181">
        <v>84</v>
      </c>
      <c r="S114" s="181">
        <v>4</v>
      </c>
      <c r="T114" s="146"/>
      <c r="U114" s="131"/>
      <c r="V114" s="181">
        <v>50</v>
      </c>
      <c r="W114" s="181">
        <v>2</v>
      </c>
      <c r="X114" s="146"/>
      <c r="Y114" s="131"/>
      <c r="Z114" s="124"/>
      <c r="AA114" s="124"/>
      <c r="AB114" s="146"/>
      <c r="AC114" s="131"/>
      <c r="AD114" s="124"/>
      <c r="AE114" s="124"/>
      <c r="AF114" s="146"/>
      <c r="AG114" s="135"/>
      <c r="AH114" s="146"/>
      <c r="AI114" s="141"/>
      <c r="AJ114" s="135"/>
      <c r="AK114" s="131"/>
      <c r="AN114" s="146"/>
      <c r="AO114" s="131"/>
      <c r="AP114" s="181">
        <v>93</v>
      </c>
      <c r="AQ114" s="181">
        <v>3</v>
      </c>
      <c r="AR114" s="146"/>
      <c r="AS114" s="131"/>
      <c r="AT114" s="181">
        <v>20</v>
      </c>
      <c r="AV114" s="146"/>
      <c r="AW114" s="131"/>
      <c r="AX114" s="181">
        <v>39</v>
      </c>
      <c r="AY114" s="181">
        <v>2</v>
      </c>
      <c r="AZ114" s="182">
        <v>61</v>
      </c>
      <c r="BA114" s="183">
        <v>4</v>
      </c>
      <c r="BB114" s="182">
        <v>10</v>
      </c>
      <c r="BC114" s="183">
        <v>2</v>
      </c>
      <c r="BD114" s="182">
        <v>31</v>
      </c>
      <c r="BE114" s="131"/>
      <c r="BF114" s="182">
        <v>35</v>
      </c>
      <c r="BG114" s="188">
        <v>0</v>
      </c>
      <c r="BH114" s="188">
        <v>2</v>
      </c>
      <c r="BI114" s="188">
        <v>1</v>
      </c>
      <c r="BJ114" s="188">
        <v>0</v>
      </c>
      <c r="BK114" s="188">
        <v>0</v>
      </c>
      <c r="BL114" s="146"/>
      <c r="BM114" s="135"/>
      <c r="BN114" s="135"/>
      <c r="BO114" s="135"/>
      <c r="BP114" s="135"/>
      <c r="BQ114" s="131"/>
      <c r="BR114" s="182">
        <v>14</v>
      </c>
      <c r="BS114" s="188">
        <v>0</v>
      </c>
      <c r="BT114" s="188">
        <v>0</v>
      </c>
      <c r="BU114" s="188">
        <v>1</v>
      </c>
      <c r="BV114" s="188">
        <v>0</v>
      </c>
      <c r="BW114" s="183">
        <v>0</v>
      </c>
      <c r="BX114" s="146"/>
      <c r="BY114" s="135"/>
      <c r="BZ114" s="135"/>
      <c r="CA114" s="135"/>
      <c r="CB114" s="135"/>
      <c r="CC114" s="131"/>
      <c r="CD114" s="146"/>
      <c r="CE114" s="135"/>
      <c r="CF114" s="135"/>
      <c r="CG114" s="135"/>
      <c r="CH114" s="135"/>
      <c r="CI114" s="131"/>
      <c r="CJ114" s="146"/>
      <c r="CK114" s="135"/>
      <c r="CL114" s="135"/>
      <c r="CM114" s="135"/>
      <c r="CN114" s="135"/>
      <c r="CO114" s="131"/>
      <c r="CP114" s="146"/>
      <c r="CQ114" s="135"/>
      <c r="CR114" s="135"/>
      <c r="CS114" s="135"/>
      <c r="CT114" s="135"/>
      <c r="CU114" s="131"/>
      <c r="CV114" s="146"/>
      <c r="CW114" s="135"/>
      <c r="CX114" s="135"/>
      <c r="CY114" s="135"/>
      <c r="CZ114" s="135"/>
      <c r="DA114" s="131"/>
      <c r="DB114" s="146"/>
      <c r="DC114" s="135"/>
      <c r="DD114" s="135"/>
      <c r="DE114" s="135"/>
      <c r="DF114" s="135"/>
      <c r="DG114" s="131"/>
      <c r="DH114" s="146"/>
      <c r="DI114" s="135"/>
      <c r="DJ114" s="135"/>
      <c r="DK114" s="135"/>
      <c r="DL114" s="135"/>
      <c r="DM114" s="131"/>
      <c r="DN114" s="146"/>
      <c r="DO114" s="135"/>
      <c r="DP114" s="135"/>
      <c r="DQ114" s="135"/>
      <c r="DR114" s="135"/>
      <c r="DS114" s="131"/>
      <c r="DT114" s="146"/>
      <c r="DU114" s="135"/>
      <c r="DV114" s="135"/>
      <c r="DW114" s="135"/>
      <c r="DX114" s="135"/>
      <c r="DY114" s="131"/>
      <c r="DZ114" s="146"/>
      <c r="EA114" s="135"/>
      <c r="EB114" s="135"/>
      <c r="EC114" s="135"/>
      <c r="ED114" s="135"/>
      <c r="EE114" s="131"/>
      <c r="EF114" s="135">
        <f t="shared" si="25"/>
        <v>52</v>
      </c>
      <c r="EG114" s="135"/>
      <c r="EH114" s="581">
        <v>52</v>
      </c>
      <c r="EI114" s="601">
        <f t="shared" si="33"/>
        <v>76</v>
      </c>
      <c r="EJ114" s="602">
        <f>AVERAGE(E114,G114,I114,K114,M114,O114,Q114,S114,U114,W114,Y114,AA114,AC114,AE114,AG114,AI114,AK114,AM114,AO114,AQ114,AS114,AU114,AW114,AY114,BA114,BC114,BE114)</f>
        <v>7.333333333333333</v>
      </c>
      <c r="EK114" s="603">
        <f t="shared" si="36"/>
        <v>0.93536392132006452</v>
      </c>
      <c r="EL114" s="603">
        <f t="shared" si="36"/>
        <v>6.4636078679935469E-2</v>
      </c>
      <c r="EM114" s="602">
        <f t="shared" si="11"/>
        <v>83.333333333333329</v>
      </c>
      <c r="EN114" s="581">
        <v>52</v>
      </c>
      <c r="EO114" s="602">
        <f t="shared" si="34"/>
        <v>42.333333333333336</v>
      </c>
      <c r="EP114" s="602">
        <f>AVERAGE(AK114,AM114,AO114,AQ114,AS114,AU114,AW114,AY114,BA114,BC114,BE114)</f>
        <v>2.75</v>
      </c>
      <c r="EQ114" s="603">
        <f t="shared" si="16"/>
        <v>0.94862739733166557</v>
      </c>
      <c r="ER114" s="603">
        <f t="shared" si="12"/>
        <v>5.1372602668334377E-2</v>
      </c>
      <c r="ES114" s="602">
        <f t="shared" si="13"/>
        <v>45.083333333333336</v>
      </c>
      <c r="ET114" s="519">
        <f t="shared" si="7"/>
        <v>52</v>
      </c>
      <c r="EU114" s="602">
        <f t="shared" si="35"/>
        <v>98.444444444444443</v>
      </c>
      <c r="EV114" s="602">
        <f t="shared" si="35"/>
        <v>9.625</v>
      </c>
      <c r="EW114" s="603">
        <f t="shared" si="37"/>
        <v>0.92652160397899708</v>
      </c>
      <c r="EX114" s="603">
        <f t="shared" si="37"/>
        <v>7.3478396021002881E-2</v>
      </c>
      <c r="EY114" s="602">
        <f t="shared" si="15"/>
        <v>108.06944444444444</v>
      </c>
      <c r="EZ114" s="580"/>
      <c r="FA114" s="580"/>
      <c r="FB114" s="580"/>
      <c r="FC114" s="580"/>
      <c r="FD114" s="580"/>
      <c r="FE114" s="580"/>
      <c r="FF114" s="580"/>
      <c r="FG114" s="580"/>
      <c r="FH114" s="580"/>
    </row>
    <row r="115" spans="1:164" x14ac:dyDescent="0.2">
      <c r="A115" s="187">
        <v>53</v>
      </c>
      <c r="B115" s="146"/>
      <c r="C115" s="131"/>
      <c r="D115" s="182">
        <v>110</v>
      </c>
      <c r="E115" s="183">
        <v>1</v>
      </c>
      <c r="F115" s="181">
        <v>93</v>
      </c>
      <c r="G115" s="181">
        <v>9</v>
      </c>
      <c r="H115" s="182">
        <v>278</v>
      </c>
      <c r="I115" s="183">
        <v>33</v>
      </c>
      <c r="J115" s="181">
        <v>132</v>
      </c>
      <c r="K115" s="181">
        <v>20</v>
      </c>
      <c r="L115" s="182">
        <v>1</v>
      </c>
      <c r="M115" s="183">
        <v>7</v>
      </c>
      <c r="N115" s="181">
        <v>43</v>
      </c>
      <c r="O115" s="181">
        <v>7</v>
      </c>
      <c r="P115" s="146"/>
      <c r="Q115" s="131"/>
      <c r="R115" s="124"/>
      <c r="S115" s="124"/>
      <c r="T115" s="182">
        <v>20</v>
      </c>
      <c r="U115" s="131"/>
      <c r="V115" s="181">
        <v>22</v>
      </c>
      <c r="W115" s="181">
        <v>2</v>
      </c>
      <c r="X115" s="146"/>
      <c r="Y115" s="131"/>
      <c r="Z115" s="124"/>
      <c r="AA115" s="124"/>
      <c r="AB115" s="146"/>
      <c r="AC115" s="131"/>
      <c r="AD115" s="124"/>
      <c r="AE115" s="124"/>
      <c r="AF115" s="146"/>
      <c r="AG115" s="135"/>
      <c r="AH115" s="134"/>
      <c r="AI115" s="153"/>
      <c r="AJ115" s="135"/>
      <c r="AK115" s="131"/>
      <c r="AN115" s="146"/>
      <c r="AO115" s="131"/>
      <c r="AP115" s="181">
        <v>48</v>
      </c>
      <c r="AQ115" s="181">
        <v>3</v>
      </c>
      <c r="AR115" s="146"/>
      <c r="AS115" s="131"/>
      <c r="AT115" s="181">
        <v>18</v>
      </c>
      <c r="AV115" s="146"/>
      <c r="AW115" s="131"/>
      <c r="AX115" s="181">
        <v>28</v>
      </c>
      <c r="AY115" s="181">
        <v>3</v>
      </c>
      <c r="AZ115" s="192">
        <v>45</v>
      </c>
      <c r="BA115" s="189">
        <v>5</v>
      </c>
      <c r="BB115" s="146"/>
      <c r="BC115" s="131"/>
      <c r="BD115" s="134"/>
      <c r="BE115" s="133"/>
      <c r="BF115" s="134"/>
      <c r="BG115" s="132"/>
      <c r="BH115" s="132"/>
      <c r="BI115" s="132"/>
      <c r="BJ115" s="132"/>
      <c r="BK115" s="132"/>
      <c r="BL115" s="146"/>
      <c r="BM115" s="135"/>
      <c r="BN115" s="135"/>
      <c r="BO115" s="135"/>
      <c r="BP115" s="135"/>
      <c r="BQ115" s="131"/>
      <c r="BR115" s="182">
        <v>9</v>
      </c>
      <c r="BS115" s="188">
        <v>1</v>
      </c>
      <c r="BT115" s="188">
        <v>0</v>
      </c>
      <c r="BU115" s="188">
        <v>0</v>
      </c>
      <c r="BV115" s="188">
        <v>0</v>
      </c>
      <c r="BW115" s="183">
        <v>0</v>
      </c>
      <c r="BX115" s="146"/>
      <c r="BY115" s="135"/>
      <c r="BZ115" s="135"/>
      <c r="CA115" s="135"/>
      <c r="CB115" s="135"/>
      <c r="CC115" s="131"/>
      <c r="CD115" s="146"/>
      <c r="CE115" s="135"/>
      <c r="CF115" s="135"/>
      <c r="CG115" s="135"/>
      <c r="CH115" s="135"/>
      <c r="CI115" s="131"/>
      <c r="CJ115" s="146"/>
      <c r="CK115" s="135"/>
      <c r="CL115" s="135"/>
      <c r="CM115" s="135"/>
      <c r="CN115" s="135"/>
      <c r="CO115" s="131"/>
      <c r="CP115" s="146"/>
      <c r="CQ115" s="135"/>
      <c r="CR115" s="135"/>
      <c r="CS115" s="135"/>
      <c r="CT115" s="135"/>
      <c r="CU115" s="131"/>
      <c r="CV115" s="146"/>
      <c r="CW115" s="135"/>
      <c r="CX115" s="135"/>
      <c r="CY115" s="135"/>
      <c r="CZ115" s="135"/>
      <c r="DA115" s="131"/>
      <c r="DB115" s="146"/>
      <c r="DC115" s="135"/>
      <c r="DD115" s="135"/>
      <c r="DE115" s="135"/>
      <c r="DF115" s="135"/>
      <c r="DG115" s="131"/>
      <c r="DH115" s="146"/>
      <c r="DI115" s="135"/>
      <c r="DJ115" s="135"/>
      <c r="DK115" s="135"/>
      <c r="DL115" s="135"/>
      <c r="DM115" s="131"/>
      <c r="DN115" s="146"/>
      <c r="DO115" s="135"/>
      <c r="DP115" s="135"/>
      <c r="DQ115" s="135"/>
      <c r="DR115" s="135"/>
      <c r="DS115" s="131"/>
      <c r="DT115" s="146"/>
      <c r="DU115" s="135"/>
      <c r="DV115" s="135"/>
      <c r="DW115" s="135"/>
      <c r="DX115" s="135"/>
      <c r="DY115" s="131"/>
      <c r="DZ115" s="146"/>
      <c r="EA115" s="135"/>
      <c r="EB115" s="135"/>
      <c r="EC115" s="135"/>
      <c r="ED115" s="135"/>
      <c r="EE115" s="131"/>
      <c r="EF115" s="135">
        <f t="shared" si="25"/>
        <v>53</v>
      </c>
      <c r="EG115" s="135"/>
      <c r="EH115" s="581">
        <v>53</v>
      </c>
      <c r="EI115" s="601">
        <f t="shared" si="33"/>
        <v>69.833333333333329</v>
      </c>
      <c r="EJ115" s="602">
        <f>AVERAGE(E115,G115,I115,K115,M115,O115,Q115,S115,U115,W115,Y115,AA115,AC115,AE115,AG115,AI115,AK115,AM115,AO115,AQ115,AS115,AU115,AW115,AY115,BA115,BC115,BE115)</f>
        <v>9</v>
      </c>
      <c r="EK115" s="603">
        <f t="shared" si="36"/>
        <v>0.85926136403771636</v>
      </c>
      <c r="EL115" s="603">
        <f t="shared" si="36"/>
        <v>0.14073863596228373</v>
      </c>
      <c r="EM115" s="602">
        <f t="shared" si="11"/>
        <v>78.833333333333329</v>
      </c>
      <c r="EN115" s="581">
        <v>53</v>
      </c>
      <c r="EO115" s="602">
        <f t="shared" si="34"/>
        <v>34.75</v>
      </c>
      <c r="EP115" s="602">
        <f>AVERAGE(AK115,AM115,AO115,AQ115,AS115,AU115,AW115,AY115,BA115,BC115,BE115)</f>
        <v>3.6666666666666665</v>
      </c>
      <c r="EQ115" s="603">
        <f t="shared" si="16"/>
        <v>0.93610056925996199</v>
      </c>
      <c r="ER115" s="603">
        <f t="shared" si="12"/>
        <v>6.3899430740037955E-2</v>
      </c>
      <c r="ES115" s="602">
        <f t="shared" si="13"/>
        <v>38.416666666666664</v>
      </c>
      <c r="ET115" s="519">
        <f t="shared" si="7"/>
        <v>53</v>
      </c>
      <c r="EU115" s="602">
        <f t="shared" si="35"/>
        <v>87.375</v>
      </c>
      <c r="EV115" s="602">
        <f t="shared" si="35"/>
        <v>11.285714285714286</v>
      </c>
      <c r="EW115" s="603">
        <f t="shared" si="37"/>
        <v>0.82084176142659349</v>
      </c>
      <c r="EX115" s="603">
        <f t="shared" si="37"/>
        <v>0.1791582385734066</v>
      </c>
      <c r="EY115" s="602">
        <f t="shared" si="15"/>
        <v>98.660714285714292</v>
      </c>
      <c r="EZ115" s="580"/>
      <c r="FA115" s="580"/>
      <c r="FB115" s="580"/>
      <c r="FC115" s="580"/>
      <c r="FD115" s="580"/>
      <c r="FE115" s="580"/>
      <c r="FF115" s="580"/>
      <c r="FG115" s="580"/>
      <c r="FH115" s="580"/>
    </row>
    <row r="116" spans="1:164" x14ac:dyDescent="0.2">
      <c r="A116" s="124" t="s">
        <v>88</v>
      </c>
      <c r="B116" s="496">
        <f>SUM(B63:B115)</f>
        <v>22</v>
      </c>
      <c r="C116" s="498"/>
      <c r="D116" s="496">
        <f t="shared" ref="D116:BO116" si="38">SUM(D63:D115)</f>
        <v>352</v>
      </c>
      <c r="E116" s="496">
        <f t="shared" si="38"/>
        <v>15</v>
      </c>
      <c r="F116" s="496">
        <f t="shared" si="38"/>
        <v>660</v>
      </c>
      <c r="G116" s="496">
        <f t="shared" si="38"/>
        <v>82</v>
      </c>
      <c r="H116" s="496">
        <f t="shared" si="38"/>
        <v>886</v>
      </c>
      <c r="I116" s="496">
        <f t="shared" si="38"/>
        <v>144</v>
      </c>
      <c r="J116" s="496">
        <f t="shared" si="38"/>
        <v>1099</v>
      </c>
      <c r="K116" s="496">
        <f t="shared" si="38"/>
        <v>282</v>
      </c>
      <c r="L116" s="496">
        <f t="shared" si="38"/>
        <v>932</v>
      </c>
      <c r="M116" s="496">
        <f t="shared" si="38"/>
        <v>369</v>
      </c>
      <c r="N116" s="496">
        <f t="shared" si="38"/>
        <v>880</v>
      </c>
      <c r="O116" s="496">
        <f t="shared" si="38"/>
        <v>176</v>
      </c>
      <c r="P116" s="496">
        <f t="shared" si="38"/>
        <v>393</v>
      </c>
      <c r="Q116" s="496">
        <f t="shared" si="38"/>
        <v>142</v>
      </c>
      <c r="R116" s="496">
        <f t="shared" si="38"/>
        <v>394</v>
      </c>
      <c r="S116" s="496">
        <f t="shared" si="38"/>
        <v>23</v>
      </c>
      <c r="T116" s="496">
        <f t="shared" si="38"/>
        <v>207</v>
      </c>
      <c r="U116" s="496">
        <f t="shared" si="38"/>
        <v>37</v>
      </c>
      <c r="V116" s="496">
        <f t="shared" si="38"/>
        <v>164</v>
      </c>
      <c r="W116" s="496">
        <f t="shared" si="38"/>
        <v>72</v>
      </c>
      <c r="X116" s="496">
        <f t="shared" si="38"/>
        <v>101</v>
      </c>
      <c r="Y116" s="496">
        <f t="shared" si="38"/>
        <v>76</v>
      </c>
      <c r="Z116" s="496">
        <f t="shared" si="38"/>
        <v>135</v>
      </c>
      <c r="AA116" s="496">
        <f t="shared" si="38"/>
        <v>15</v>
      </c>
      <c r="AB116" s="496">
        <f t="shared" si="38"/>
        <v>28</v>
      </c>
      <c r="AC116" s="496">
        <f t="shared" si="38"/>
        <v>25</v>
      </c>
      <c r="AD116" s="496">
        <f t="shared" si="38"/>
        <v>18</v>
      </c>
      <c r="AE116" s="496">
        <f t="shared" si="38"/>
        <v>24</v>
      </c>
      <c r="AF116" s="496">
        <f t="shared" si="38"/>
        <v>0</v>
      </c>
      <c r="AG116" s="496">
        <f t="shared" si="38"/>
        <v>0</v>
      </c>
      <c r="AH116" s="496">
        <f t="shared" si="38"/>
        <v>12</v>
      </c>
      <c r="AI116" s="496">
        <f t="shared" si="38"/>
        <v>6</v>
      </c>
      <c r="AJ116" s="496">
        <f t="shared" si="38"/>
        <v>49</v>
      </c>
      <c r="AK116" s="496">
        <f t="shared" si="38"/>
        <v>10</v>
      </c>
      <c r="AL116" s="496">
        <f t="shared" si="38"/>
        <v>15</v>
      </c>
      <c r="AM116" s="496">
        <f t="shared" si="38"/>
        <v>13</v>
      </c>
      <c r="AN116" s="496">
        <f t="shared" si="38"/>
        <v>3</v>
      </c>
      <c r="AO116" s="496">
        <f t="shared" si="38"/>
        <v>9</v>
      </c>
      <c r="AP116" s="496">
        <f t="shared" si="38"/>
        <v>189</v>
      </c>
      <c r="AQ116" s="496">
        <f t="shared" si="38"/>
        <v>74</v>
      </c>
      <c r="AR116" s="496">
        <f t="shared" si="38"/>
        <v>175</v>
      </c>
      <c r="AS116" s="496">
        <f t="shared" si="38"/>
        <v>161</v>
      </c>
      <c r="AT116" s="496">
        <f t="shared" si="38"/>
        <v>158</v>
      </c>
      <c r="AU116" s="496">
        <f t="shared" si="38"/>
        <v>194</v>
      </c>
      <c r="AV116" s="496">
        <f t="shared" si="38"/>
        <v>89</v>
      </c>
      <c r="AW116" s="496">
        <f t="shared" si="38"/>
        <v>232</v>
      </c>
      <c r="AX116" s="496">
        <f t="shared" si="38"/>
        <v>112</v>
      </c>
      <c r="AY116" s="496">
        <f t="shared" si="38"/>
        <v>186</v>
      </c>
      <c r="AZ116" s="496">
        <f t="shared" si="38"/>
        <v>260.3</v>
      </c>
      <c r="BA116" s="496">
        <f t="shared" si="38"/>
        <v>130.80000000000001</v>
      </c>
      <c r="BB116" s="496">
        <f t="shared" si="38"/>
        <v>95</v>
      </c>
      <c r="BC116" s="496">
        <f t="shared" si="38"/>
        <v>150</v>
      </c>
      <c r="BD116" s="496">
        <f t="shared" si="38"/>
        <v>46</v>
      </c>
      <c r="BE116" s="496">
        <f t="shared" si="38"/>
        <v>150</v>
      </c>
      <c r="BF116" s="567">
        <f t="shared" si="38"/>
        <v>122</v>
      </c>
      <c r="BG116" s="661">
        <f t="shared" si="38"/>
        <v>5</v>
      </c>
      <c r="BH116" s="661">
        <f t="shared" si="38"/>
        <v>5</v>
      </c>
      <c r="BI116" s="661">
        <f t="shared" si="38"/>
        <v>143</v>
      </c>
      <c r="BJ116" s="661">
        <f t="shared" si="38"/>
        <v>118</v>
      </c>
      <c r="BK116" s="661">
        <f t="shared" si="38"/>
        <v>4</v>
      </c>
      <c r="BL116" s="661">
        <f t="shared" si="38"/>
        <v>74</v>
      </c>
      <c r="BM116" s="661">
        <f t="shared" si="38"/>
        <v>4</v>
      </c>
      <c r="BN116" s="661">
        <f t="shared" si="38"/>
        <v>1</v>
      </c>
      <c r="BO116" s="661">
        <f t="shared" si="38"/>
        <v>182</v>
      </c>
      <c r="BP116" s="661">
        <f t="shared" ref="BP116:CC116" si="39">SUM(BP63:BP115)</f>
        <v>121</v>
      </c>
      <c r="BQ116" s="676">
        <f t="shared" si="39"/>
        <v>4</v>
      </c>
      <c r="BR116" s="919">
        <f t="shared" si="39"/>
        <v>73</v>
      </c>
      <c r="BS116" s="919">
        <f t="shared" si="39"/>
        <v>17</v>
      </c>
      <c r="BT116" s="919">
        <f t="shared" si="39"/>
        <v>0</v>
      </c>
      <c r="BU116" s="919">
        <f t="shared" si="39"/>
        <v>302</v>
      </c>
      <c r="BV116" s="919">
        <f t="shared" si="39"/>
        <v>92</v>
      </c>
      <c r="BW116" s="676">
        <f t="shared" si="39"/>
        <v>1</v>
      </c>
      <c r="BX116" s="919">
        <f t="shared" si="39"/>
        <v>43</v>
      </c>
      <c r="BY116" s="919">
        <f t="shared" si="39"/>
        <v>8</v>
      </c>
      <c r="BZ116" s="919">
        <f t="shared" si="39"/>
        <v>3</v>
      </c>
      <c r="CA116" s="919">
        <f t="shared" si="39"/>
        <v>146</v>
      </c>
      <c r="CB116" s="919">
        <f t="shared" si="39"/>
        <v>31</v>
      </c>
      <c r="CC116" s="676">
        <f t="shared" si="39"/>
        <v>2</v>
      </c>
      <c r="CD116" s="992">
        <f t="shared" ref="CD116:CI116" si="40">SUM(CD63:CD115)</f>
        <v>3</v>
      </c>
      <c r="CE116" s="992">
        <f t="shared" si="40"/>
        <v>0</v>
      </c>
      <c r="CF116" s="992">
        <f t="shared" si="40"/>
        <v>0</v>
      </c>
      <c r="CG116" s="992">
        <f t="shared" si="40"/>
        <v>102</v>
      </c>
      <c r="CH116" s="992">
        <f t="shared" si="40"/>
        <v>26</v>
      </c>
      <c r="CI116" s="676">
        <f t="shared" si="40"/>
        <v>0</v>
      </c>
      <c r="CJ116" s="1095">
        <f t="shared" ref="CJ116:CO116" si="41">SUM(CJ63:CJ115)</f>
        <v>0</v>
      </c>
      <c r="CK116" s="1095">
        <f t="shared" si="41"/>
        <v>0</v>
      </c>
      <c r="CL116" s="1095">
        <f t="shared" si="41"/>
        <v>0</v>
      </c>
      <c r="CM116" s="1095">
        <f t="shared" si="41"/>
        <v>0</v>
      </c>
      <c r="CN116" s="1095">
        <f t="shared" si="41"/>
        <v>0</v>
      </c>
      <c r="CO116" s="676">
        <f t="shared" si="41"/>
        <v>0</v>
      </c>
      <c r="CP116" s="1153">
        <f t="shared" ref="CP116:CU116" si="42">SUM(CP63:CP115)</f>
        <v>0</v>
      </c>
      <c r="CQ116" s="1153">
        <f t="shared" si="42"/>
        <v>0</v>
      </c>
      <c r="CR116" s="1153">
        <f t="shared" si="42"/>
        <v>0</v>
      </c>
      <c r="CS116" s="1153">
        <f t="shared" si="42"/>
        <v>0</v>
      </c>
      <c r="CT116" s="1153">
        <f t="shared" si="42"/>
        <v>0</v>
      </c>
      <c r="CU116" s="676">
        <f t="shared" si="42"/>
        <v>0</v>
      </c>
      <c r="CV116" s="1153">
        <f t="shared" ref="CV116:DA116" si="43">SUM(CV63:CV115)</f>
        <v>0</v>
      </c>
      <c r="CW116" s="1153">
        <f t="shared" si="43"/>
        <v>0</v>
      </c>
      <c r="CX116" s="1153">
        <f t="shared" si="43"/>
        <v>0</v>
      </c>
      <c r="CY116" s="1153">
        <f t="shared" si="43"/>
        <v>0</v>
      </c>
      <c r="CZ116" s="1153">
        <f t="shared" si="43"/>
        <v>0</v>
      </c>
      <c r="DA116" s="676">
        <f t="shared" si="43"/>
        <v>0</v>
      </c>
      <c r="DB116" s="1153">
        <f t="shared" ref="DB116:DG116" si="44">SUM(DB63:DB115)</f>
        <v>0</v>
      </c>
      <c r="DC116" s="1153">
        <f t="shared" si="44"/>
        <v>0</v>
      </c>
      <c r="DD116" s="1153">
        <f t="shared" si="44"/>
        <v>0</v>
      </c>
      <c r="DE116" s="1153">
        <f t="shared" si="44"/>
        <v>0</v>
      </c>
      <c r="DF116" s="1153">
        <f t="shared" si="44"/>
        <v>0</v>
      </c>
      <c r="DG116" s="676">
        <f t="shared" si="44"/>
        <v>0</v>
      </c>
      <c r="DH116" s="1153">
        <f t="shared" ref="DH116:DM116" si="45">SUM(DH63:DH115)</f>
        <v>0</v>
      </c>
      <c r="DI116" s="1153">
        <f t="shared" si="45"/>
        <v>0</v>
      </c>
      <c r="DJ116" s="1153">
        <f t="shared" si="45"/>
        <v>0</v>
      </c>
      <c r="DK116" s="1153">
        <f t="shared" si="45"/>
        <v>0</v>
      </c>
      <c r="DL116" s="1153">
        <f t="shared" si="45"/>
        <v>0</v>
      </c>
      <c r="DM116" s="676">
        <f t="shared" si="45"/>
        <v>0</v>
      </c>
      <c r="DN116" s="1153">
        <f t="shared" ref="DN116:DS116" si="46">SUM(DN63:DN115)</f>
        <v>0</v>
      </c>
      <c r="DO116" s="1153">
        <f t="shared" si="46"/>
        <v>0</v>
      </c>
      <c r="DP116" s="1153">
        <f t="shared" si="46"/>
        <v>0</v>
      </c>
      <c r="DQ116" s="1153">
        <f t="shared" si="46"/>
        <v>0</v>
      </c>
      <c r="DR116" s="1153">
        <f t="shared" si="46"/>
        <v>0</v>
      </c>
      <c r="DS116" s="676">
        <f t="shared" si="46"/>
        <v>0</v>
      </c>
      <c r="DT116" s="1153">
        <f t="shared" ref="DT116:DY116" si="47">SUM(DT63:DT115)</f>
        <v>0</v>
      </c>
      <c r="DU116" s="1153">
        <f t="shared" si="47"/>
        <v>0</v>
      </c>
      <c r="DV116" s="1153">
        <f t="shared" si="47"/>
        <v>0</v>
      </c>
      <c r="DW116" s="1153">
        <f t="shared" si="47"/>
        <v>0</v>
      </c>
      <c r="DX116" s="1153">
        <f t="shared" si="47"/>
        <v>0</v>
      </c>
      <c r="DY116" s="676">
        <f t="shared" si="47"/>
        <v>0</v>
      </c>
      <c r="DZ116" s="1153">
        <f t="shared" ref="DZ116:EE116" si="48">SUM(DZ63:DZ115)</f>
        <v>0</v>
      </c>
      <c r="EA116" s="1153">
        <f t="shared" si="48"/>
        <v>0</v>
      </c>
      <c r="EB116" s="1153">
        <f t="shared" si="48"/>
        <v>0</v>
      </c>
      <c r="EC116" s="1153">
        <f t="shared" si="48"/>
        <v>0</v>
      </c>
      <c r="ED116" s="1153">
        <f t="shared" si="48"/>
        <v>0</v>
      </c>
      <c r="EE116" s="676">
        <f t="shared" si="48"/>
        <v>0</v>
      </c>
      <c r="EF116" s="135"/>
      <c r="EG116" s="135"/>
      <c r="EH116" s="581" t="s">
        <v>88</v>
      </c>
      <c r="EI116" s="601"/>
      <c r="EJ116" s="602"/>
      <c r="EK116" s="602"/>
      <c r="EL116" s="602"/>
      <c r="EM116" s="602"/>
      <c r="EN116" s="581" t="s">
        <v>88</v>
      </c>
      <c r="EO116" s="519"/>
      <c r="EP116" s="519"/>
      <c r="EQ116" s="519"/>
      <c r="ER116" s="519"/>
      <c r="ES116" s="519"/>
      <c r="ET116" s="519" t="str">
        <f t="shared" si="7"/>
        <v>Grand Total</v>
      </c>
      <c r="EU116" s="580"/>
      <c r="EV116" s="580"/>
      <c r="EW116" s="580"/>
      <c r="EX116" s="580"/>
      <c r="EY116" s="580"/>
      <c r="EZ116" s="580"/>
      <c r="FA116" s="580"/>
      <c r="FB116" s="580"/>
      <c r="FC116" s="580"/>
      <c r="FD116" s="580"/>
      <c r="FE116" s="580"/>
      <c r="FF116" s="580"/>
      <c r="FG116" s="580"/>
      <c r="FH116" s="580"/>
    </row>
    <row r="117" spans="1:164" x14ac:dyDescent="0.2">
      <c r="AI117" s="135"/>
      <c r="EH117" s="579"/>
      <c r="EI117" s="519"/>
      <c r="EJ117" s="519"/>
      <c r="EK117" s="579"/>
      <c r="EL117" s="519"/>
      <c r="EM117" s="519"/>
      <c r="EN117" s="579"/>
      <c r="EO117" s="519"/>
      <c r="EP117" s="519"/>
      <c r="EQ117" s="580"/>
      <c r="ER117" s="580"/>
      <c r="ES117" s="519"/>
      <c r="ET117" s="519"/>
      <c r="EU117" s="580"/>
      <c r="EV117" s="580"/>
      <c r="EW117" s="580"/>
      <c r="EX117" s="580"/>
      <c r="EY117" s="580"/>
      <c r="EZ117" s="580"/>
      <c r="FA117" s="580"/>
      <c r="FB117" s="580"/>
      <c r="FC117" s="580"/>
      <c r="FD117" s="580"/>
      <c r="FE117" s="580"/>
      <c r="FF117" s="580"/>
      <c r="FG117" s="580"/>
      <c r="FH117" s="580"/>
    </row>
    <row r="118" spans="1:164" x14ac:dyDescent="0.2">
      <c r="A118" s="126" t="s">
        <v>161</v>
      </c>
      <c r="EH118" s="579"/>
      <c r="EI118" s="519"/>
      <c r="EJ118" s="519"/>
      <c r="EK118" s="579"/>
      <c r="EL118" s="519"/>
      <c r="EM118" s="519"/>
      <c r="EN118" s="579"/>
      <c r="EO118" s="519"/>
      <c r="EP118" s="519"/>
      <c r="EQ118" s="580"/>
      <c r="ER118" s="580"/>
      <c r="ES118" s="519"/>
      <c r="ET118" s="519"/>
      <c r="EU118" s="580"/>
      <c r="EV118" s="580"/>
      <c r="EW118" s="580"/>
      <c r="EX118" s="580"/>
      <c r="EY118" s="580"/>
      <c r="EZ118" s="580"/>
      <c r="FA118" s="580"/>
      <c r="FB118" s="580"/>
      <c r="FC118" s="580"/>
      <c r="FD118" s="580"/>
      <c r="FE118" s="580"/>
      <c r="FF118" s="580"/>
      <c r="FG118" s="580"/>
      <c r="FH118" s="580"/>
    </row>
    <row r="119" spans="1:164" x14ac:dyDescent="0.2">
      <c r="A119" s="126"/>
      <c r="AI119" s="194" t="s">
        <v>85</v>
      </c>
      <c r="AJ119" s="27" t="s">
        <v>86</v>
      </c>
      <c r="EH119" s="579"/>
      <c r="EI119" s="519" t="s">
        <v>222</v>
      </c>
      <c r="EJ119" s="519"/>
      <c r="EK119" s="579"/>
      <c r="EL119" s="519" t="s">
        <v>223</v>
      </c>
      <c r="EM119" s="519"/>
      <c r="EN119" s="579"/>
      <c r="EO119" s="519" t="s">
        <v>101</v>
      </c>
      <c r="EP119" s="519"/>
      <c r="EQ119" s="580"/>
      <c r="ER119" s="580"/>
      <c r="ES119" s="519"/>
      <c r="ET119" s="519"/>
      <c r="EU119" s="580"/>
      <c r="EV119" s="580"/>
      <c r="EW119" s="580"/>
      <c r="EX119" s="580"/>
      <c r="EY119" s="580"/>
      <c r="EZ119" s="580"/>
      <c r="FA119" s="580"/>
      <c r="FB119" s="580"/>
      <c r="FC119" s="580"/>
      <c r="FD119" s="580"/>
      <c r="FE119" s="580"/>
      <c r="FF119" s="580"/>
      <c r="FG119" s="580"/>
      <c r="FH119" s="580"/>
    </row>
    <row r="120" spans="1:164" ht="21.75" customHeight="1" x14ac:dyDescent="0.2">
      <c r="B120" s="487">
        <v>1984</v>
      </c>
      <c r="C120" s="488"/>
      <c r="D120" s="492">
        <v>1985</v>
      </c>
      <c r="E120" s="492"/>
      <c r="F120" s="492">
        <v>1986</v>
      </c>
      <c r="G120" s="492"/>
      <c r="H120" s="492">
        <v>1987</v>
      </c>
      <c r="I120" s="488"/>
      <c r="J120" s="492">
        <v>1988</v>
      </c>
      <c r="K120" s="488"/>
      <c r="L120" s="492">
        <v>1989</v>
      </c>
      <c r="M120" s="488"/>
      <c r="N120" s="492">
        <v>1990</v>
      </c>
      <c r="O120" s="488"/>
      <c r="P120" s="492">
        <v>1991</v>
      </c>
      <c r="Q120" s="488"/>
      <c r="R120" s="492">
        <v>1992</v>
      </c>
      <c r="S120" s="488"/>
      <c r="T120" s="492">
        <v>1993</v>
      </c>
      <c r="U120" s="488"/>
      <c r="V120" s="492">
        <v>1994</v>
      </c>
      <c r="W120" s="492"/>
      <c r="X120" s="492">
        <v>1995</v>
      </c>
      <c r="Y120" s="488"/>
      <c r="Z120" s="492">
        <v>1996</v>
      </c>
      <c r="AA120" s="488"/>
      <c r="AB120" s="492">
        <v>1997</v>
      </c>
      <c r="AC120" s="488"/>
      <c r="AD120" s="492">
        <v>1998</v>
      </c>
      <c r="AE120" s="488"/>
      <c r="AF120" s="492">
        <v>1999</v>
      </c>
      <c r="AG120" s="492"/>
      <c r="AH120" s="487">
        <v>2000</v>
      </c>
      <c r="AI120" s="136"/>
      <c r="AJ120" s="497">
        <v>2001</v>
      </c>
      <c r="AK120" s="498"/>
      <c r="AL120" s="497">
        <v>2002</v>
      </c>
      <c r="AM120" s="498"/>
      <c r="AN120" s="497">
        <v>2003</v>
      </c>
      <c r="AO120" s="498"/>
      <c r="AP120" s="497">
        <v>2004</v>
      </c>
      <c r="AQ120" s="498"/>
      <c r="AR120" s="497">
        <v>2005</v>
      </c>
      <c r="AS120" s="498"/>
      <c r="AT120" s="497">
        <v>2006</v>
      </c>
      <c r="AU120" s="498"/>
      <c r="AV120" s="497">
        <v>2007</v>
      </c>
      <c r="AW120" s="498"/>
      <c r="AX120" s="497">
        <v>2008</v>
      </c>
      <c r="AY120" s="498"/>
      <c r="AZ120" s="497">
        <v>2009</v>
      </c>
      <c r="BA120" s="498"/>
      <c r="BB120" s="496">
        <v>2010</v>
      </c>
      <c r="BC120" s="498"/>
      <c r="BD120" s="496">
        <v>2011</v>
      </c>
      <c r="BE120" s="498"/>
      <c r="BF120" s="503">
        <v>2012</v>
      </c>
      <c r="BG120" s="662"/>
      <c r="BH120" s="662"/>
      <c r="BI120" s="662"/>
      <c r="BJ120" s="662"/>
      <c r="BK120" s="662"/>
      <c r="BL120" s="661">
        <v>2013</v>
      </c>
      <c r="BM120" s="662"/>
      <c r="BN120" s="253"/>
      <c r="BO120" s="253"/>
      <c r="BP120" s="253"/>
      <c r="BQ120" s="139"/>
      <c r="BR120" s="812">
        <v>2014</v>
      </c>
      <c r="BS120" s="813"/>
      <c r="BT120" s="253"/>
      <c r="BU120" s="253"/>
      <c r="BV120" s="253"/>
      <c r="BW120" s="139"/>
      <c r="BX120" s="919">
        <v>2015</v>
      </c>
      <c r="BY120" s="920"/>
      <c r="BZ120" s="253"/>
      <c r="CA120" s="253"/>
      <c r="CB120" s="253"/>
      <c r="CC120" s="139"/>
      <c r="CD120" s="992">
        <v>2016</v>
      </c>
      <c r="CE120" s="993"/>
      <c r="CF120" s="253"/>
      <c r="CG120" s="253"/>
      <c r="CH120" s="253"/>
      <c r="CI120" s="139"/>
      <c r="CJ120" s="1095">
        <v>2017</v>
      </c>
      <c r="CK120" s="1096"/>
      <c r="CL120" s="253"/>
      <c r="CM120" s="253"/>
      <c r="CN120" s="253"/>
      <c r="CO120" s="139"/>
      <c r="CP120" s="1153">
        <v>2018</v>
      </c>
      <c r="CQ120" s="1154"/>
      <c r="CR120" s="253"/>
      <c r="CS120" s="253"/>
      <c r="CT120" s="253"/>
      <c r="CU120" s="139"/>
      <c r="CV120" s="1153">
        <v>2019</v>
      </c>
      <c r="CW120" s="1154"/>
      <c r="CX120" s="253"/>
      <c r="CY120" s="253"/>
      <c r="CZ120" s="253"/>
      <c r="DA120" s="139"/>
      <c r="DB120" s="1153">
        <v>2020</v>
      </c>
      <c r="DC120" s="1154"/>
      <c r="DD120" s="253"/>
      <c r="DE120" s="253"/>
      <c r="DF120" s="253"/>
      <c r="DG120" s="139"/>
      <c r="DH120" s="1153">
        <v>2021</v>
      </c>
      <c r="DI120" s="1154"/>
      <c r="DJ120" s="253"/>
      <c r="DK120" s="253"/>
      <c r="DL120" s="253"/>
      <c r="DM120" s="139"/>
      <c r="DN120" s="1153">
        <f>DN3</f>
        <v>2022</v>
      </c>
      <c r="DO120" s="1154"/>
      <c r="DP120" s="253"/>
      <c r="DQ120" s="253"/>
      <c r="DR120" s="253"/>
      <c r="DS120" s="139"/>
      <c r="DT120" s="1153">
        <f>DT3</f>
        <v>2023</v>
      </c>
      <c r="DU120" s="1154"/>
      <c r="DV120" s="253"/>
      <c r="DW120" s="253"/>
      <c r="DX120" s="253"/>
      <c r="DY120" s="139"/>
      <c r="DZ120" s="1153">
        <f>DZ3</f>
        <v>2024</v>
      </c>
      <c r="EA120" s="1154"/>
      <c r="EB120" s="253"/>
      <c r="EC120" s="253"/>
      <c r="ED120" s="253"/>
      <c r="EE120" s="139"/>
      <c r="EF120" s="135"/>
      <c r="EG120" s="135"/>
      <c r="EH120" s="579"/>
      <c r="EI120" s="604" t="s">
        <v>92</v>
      </c>
      <c r="EJ120" s="604"/>
      <c r="EK120" s="605"/>
      <c r="EL120" s="604" t="s">
        <v>92</v>
      </c>
      <c r="EM120" s="604"/>
      <c r="EN120" s="605"/>
      <c r="EO120" s="604" t="s">
        <v>92</v>
      </c>
      <c r="EP120" s="604"/>
      <c r="EQ120" s="580"/>
      <c r="ER120" s="580"/>
      <c r="ES120" s="519"/>
      <c r="ET120" s="519"/>
      <c r="EU120" s="606" t="s">
        <v>98</v>
      </c>
      <c r="EV120" s="580"/>
      <c r="EW120" s="580"/>
      <c r="EX120" s="580"/>
      <c r="EY120" s="580"/>
      <c r="EZ120" s="580"/>
      <c r="FA120" s="580"/>
      <c r="FB120" s="580"/>
      <c r="FC120" s="580"/>
      <c r="FD120" s="580"/>
      <c r="FE120" s="580"/>
      <c r="FF120" s="580"/>
      <c r="FG120" s="580"/>
      <c r="FH120" s="580"/>
    </row>
    <row r="121" spans="1:164" ht="33.75" x14ac:dyDescent="0.2">
      <c r="A121" s="195" t="s">
        <v>87</v>
      </c>
      <c r="B121" s="487" t="s">
        <v>22</v>
      </c>
      <c r="C121" s="488" t="s">
        <v>23</v>
      </c>
      <c r="D121" s="487" t="s">
        <v>22</v>
      </c>
      <c r="E121" s="488" t="s">
        <v>23</v>
      </c>
      <c r="F121" s="492" t="s">
        <v>22</v>
      </c>
      <c r="G121" s="488" t="s">
        <v>23</v>
      </c>
      <c r="H121" s="492" t="s">
        <v>22</v>
      </c>
      <c r="I121" s="488" t="s">
        <v>23</v>
      </c>
      <c r="J121" s="492" t="s">
        <v>22</v>
      </c>
      <c r="K121" s="488" t="s">
        <v>23</v>
      </c>
      <c r="L121" s="492" t="s">
        <v>22</v>
      </c>
      <c r="M121" s="488" t="s">
        <v>23</v>
      </c>
      <c r="N121" s="492" t="s">
        <v>22</v>
      </c>
      <c r="O121" s="488" t="s">
        <v>23</v>
      </c>
      <c r="P121" s="492" t="s">
        <v>22</v>
      </c>
      <c r="Q121" s="488" t="s">
        <v>23</v>
      </c>
      <c r="R121" s="492" t="s">
        <v>22</v>
      </c>
      <c r="S121" s="488" t="s">
        <v>23</v>
      </c>
      <c r="T121" s="492" t="s">
        <v>22</v>
      </c>
      <c r="U121" s="488" t="s">
        <v>23</v>
      </c>
      <c r="V121" s="492" t="s">
        <v>22</v>
      </c>
      <c r="W121" s="488" t="s">
        <v>23</v>
      </c>
      <c r="X121" s="492" t="s">
        <v>22</v>
      </c>
      <c r="Y121" s="488" t="s">
        <v>23</v>
      </c>
      <c r="Z121" s="492" t="s">
        <v>22</v>
      </c>
      <c r="AA121" s="492" t="s">
        <v>23</v>
      </c>
      <c r="AB121" s="487" t="s">
        <v>22</v>
      </c>
      <c r="AC121" s="488" t="s">
        <v>23</v>
      </c>
      <c r="AD121" s="487" t="s">
        <v>22</v>
      </c>
      <c r="AE121" s="488" t="s">
        <v>23</v>
      </c>
      <c r="AF121" s="487" t="s">
        <v>22</v>
      </c>
      <c r="AG121" s="492" t="s">
        <v>23</v>
      </c>
      <c r="AH121" s="487" t="s">
        <v>22</v>
      </c>
      <c r="AI121" s="136" t="s">
        <v>23</v>
      </c>
      <c r="AJ121" s="497" t="s">
        <v>22</v>
      </c>
      <c r="AK121" s="498" t="s">
        <v>23</v>
      </c>
      <c r="AL121" s="496" t="s">
        <v>22</v>
      </c>
      <c r="AM121" s="498" t="s">
        <v>23</v>
      </c>
      <c r="AN121" s="496" t="s">
        <v>22</v>
      </c>
      <c r="AO121" s="498" t="s">
        <v>23</v>
      </c>
      <c r="AP121" s="496" t="s">
        <v>22</v>
      </c>
      <c r="AQ121" s="498" t="s">
        <v>23</v>
      </c>
      <c r="AR121" s="496" t="s">
        <v>22</v>
      </c>
      <c r="AS121" s="498" t="s">
        <v>23</v>
      </c>
      <c r="AT121" s="496" t="s">
        <v>22</v>
      </c>
      <c r="AU121" s="498" t="s">
        <v>23</v>
      </c>
      <c r="AV121" s="496" t="s">
        <v>22</v>
      </c>
      <c r="AW121" s="498" t="s">
        <v>23</v>
      </c>
      <c r="AX121" s="497" t="s">
        <v>22</v>
      </c>
      <c r="AY121" s="497" t="s">
        <v>23</v>
      </c>
      <c r="AZ121" s="496" t="s">
        <v>22</v>
      </c>
      <c r="BA121" s="498" t="s">
        <v>23</v>
      </c>
      <c r="BB121" s="496" t="s">
        <v>22</v>
      </c>
      <c r="BC121" s="498" t="s">
        <v>23</v>
      </c>
      <c r="BD121" s="496" t="s">
        <v>22</v>
      </c>
      <c r="BE121" s="498" t="s">
        <v>23</v>
      </c>
      <c r="BF121" s="661" t="s">
        <v>257</v>
      </c>
      <c r="BG121" s="662" t="s">
        <v>172</v>
      </c>
      <c r="BH121" s="662" t="s">
        <v>258</v>
      </c>
      <c r="BI121" s="662" t="s">
        <v>259</v>
      </c>
      <c r="BJ121" s="662" t="s">
        <v>173</v>
      </c>
      <c r="BK121" s="662" t="s">
        <v>260</v>
      </c>
      <c r="BL121" s="661" t="s">
        <v>257</v>
      </c>
      <c r="BM121" s="662" t="s">
        <v>172</v>
      </c>
      <c r="BN121" s="662" t="s">
        <v>258</v>
      </c>
      <c r="BO121" s="662" t="s">
        <v>259</v>
      </c>
      <c r="BP121" s="662" t="s">
        <v>173</v>
      </c>
      <c r="BQ121" s="663" t="s">
        <v>260</v>
      </c>
      <c r="BR121" s="812" t="s">
        <v>257</v>
      </c>
      <c r="BS121" s="813" t="s">
        <v>172</v>
      </c>
      <c r="BT121" s="813" t="s">
        <v>258</v>
      </c>
      <c r="BU121" s="813" t="s">
        <v>259</v>
      </c>
      <c r="BV121" s="813" t="s">
        <v>173</v>
      </c>
      <c r="BW121" s="814" t="s">
        <v>260</v>
      </c>
      <c r="BX121" s="919" t="s">
        <v>257</v>
      </c>
      <c r="BY121" s="920" t="s">
        <v>172</v>
      </c>
      <c r="BZ121" s="920" t="s">
        <v>258</v>
      </c>
      <c r="CA121" s="920" t="s">
        <v>259</v>
      </c>
      <c r="CB121" s="920" t="s">
        <v>173</v>
      </c>
      <c r="CC121" s="921" t="s">
        <v>260</v>
      </c>
      <c r="CD121" s="992" t="s">
        <v>257</v>
      </c>
      <c r="CE121" s="993" t="s">
        <v>172</v>
      </c>
      <c r="CF121" s="993" t="s">
        <v>258</v>
      </c>
      <c r="CG121" s="993" t="s">
        <v>259</v>
      </c>
      <c r="CH121" s="993" t="s">
        <v>173</v>
      </c>
      <c r="CI121" s="994" t="s">
        <v>260</v>
      </c>
      <c r="CJ121" s="1095" t="s">
        <v>257</v>
      </c>
      <c r="CK121" s="1096" t="s">
        <v>172</v>
      </c>
      <c r="CL121" s="1096" t="s">
        <v>258</v>
      </c>
      <c r="CM121" s="1096" t="s">
        <v>259</v>
      </c>
      <c r="CN121" s="1096" t="s">
        <v>173</v>
      </c>
      <c r="CO121" s="1097" t="s">
        <v>260</v>
      </c>
      <c r="CP121" s="1153" t="s">
        <v>257</v>
      </c>
      <c r="CQ121" s="1154" t="s">
        <v>172</v>
      </c>
      <c r="CR121" s="1154" t="s">
        <v>258</v>
      </c>
      <c r="CS121" s="1154" t="s">
        <v>259</v>
      </c>
      <c r="CT121" s="1154" t="s">
        <v>173</v>
      </c>
      <c r="CU121" s="1155" t="s">
        <v>260</v>
      </c>
      <c r="CV121" s="1153" t="s">
        <v>257</v>
      </c>
      <c r="CW121" s="1154" t="s">
        <v>172</v>
      </c>
      <c r="CX121" s="1154" t="s">
        <v>258</v>
      </c>
      <c r="CY121" s="1154" t="s">
        <v>259</v>
      </c>
      <c r="CZ121" s="1154" t="s">
        <v>173</v>
      </c>
      <c r="DA121" s="1155" t="s">
        <v>260</v>
      </c>
      <c r="DB121" s="1153" t="s">
        <v>257</v>
      </c>
      <c r="DC121" s="1154" t="s">
        <v>172</v>
      </c>
      <c r="DD121" s="1154" t="s">
        <v>258</v>
      </c>
      <c r="DE121" s="1154" t="s">
        <v>259</v>
      </c>
      <c r="DF121" s="1154" t="s">
        <v>173</v>
      </c>
      <c r="DG121" s="1155" t="s">
        <v>260</v>
      </c>
      <c r="DH121" s="1153" t="s">
        <v>257</v>
      </c>
      <c r="DI121" s="1154" t="s">
        <v>172</v>
      </c>
      <c r="DJ121" s="1154" t="s">
        <v>258</v>
      </c>
      <c r="DK121" s="1154" t="s">
        <v>259</v>
      </c>
      <c r="DL121" s="1154" t="s">
        <v>173</v>
      </c>
      <c r="DM121" s="1155" t="s">
        <v>260</v>
      </c>
      <c r="DN121" s="1153" t="s">
        <v>257</v>
      </c>
      <c r="DO121" s="1154" t="s">
        <v>172</v>
      </c>
      <c r="DP121" s="1154" t="s">
        <v>258</v>
      </c>
      <c r="DQ121" s="1154" t="s">
        <v>259</v>
      </c>
      <c r="DR121" s="1154" t="s">
        <v>173</v>
      </c>
      <c r="DS121" s="1155" t="s">
        <v>260</v>
      </c>
      <c r="DT121" s="1153" t="s">
        <v>257</v>
      </c>
      <c r="DU121" s="1154" t="s">
        <v>172</v>
      </c>
      <c r="DV121" s="1154" t="s">
        <v>258</v>
      </c>
      <c r="DW121" s="1154" t="s">
        <v>259</v>
      </c>
      <c r="DX121" s="1154" t="s">
        <v>173</v>
      </c>
      <c r="DY121" s="1155" t="s">
        <v>260</v>
      </c>
      <c r="DZ121" s="1153" t="s">
        <v>257</v>
      </c>
      <c r="EA121" s="1154" t="s">
        <v>172</v>
      </c>
      <c r="EB121" s="1154" t="s">
        <v>258</v>
      </c>
      <c r="EC121" s="1154" t="s">
        <v>259</v>
      </c>
      <c r="ED121" s="1154" t="s">
        <v>173</v>
      </c>
      <c r="EE121" s="1155" t="s">
        <v>260</v>
      </c>
      <c r="EF121" s="196" t="str">
        <f t="shared" ref="EF121:EF152" si="49">A121</f>
        <v>MW</v>
      </c>
      <c r="EG121" s="135"/>
      <c r="EH121" s="579" t="s">
        <v>87</v>
      </c>
      <c r="EI121" s="604" t="s">
        <v>235</v>
      </c>
      <c r="EJ121" s="604" t="s">
        <v>234</v>
      </c>
      <c r="EK121" s="579" t="s">
        <v>87</v>
      </c>
      <c r="EL121" s="604" t="s">
        <v>235</v>
      </c>
      <c r="EM121" s="604" t="s">
        <v>234</v>
      </c>
      <c r="EN121" s="579" t="s">
        <v>87</v>
      </c>
      <c r="EO121" s="604" t="s">
        <v>235</v>
      </c>
      <c r="EP121" s="604" t="s">
        <v>234</v>
      </c>
      <c r="EQ121" s="580"/>
      <c r="ER121" s="580"/>
      <c r="ES121" s="519"/>
      <c r="ET121" s="519"/>
      <c r="EU121" s="606" t="s">
        <v>99</v>
      </c>
      <c r="EV121" s="580"/>
      <c r="EW121" s="580"/>
      <c r="EX121" s="580"/>
      <c r="EY121" s="580"/>
      <c r="EZ121" s="580"/>
      <c r="FA121" s="580"/>
      <c r="FB121" s="580"/>
      <c r="FC121" s="580"/>
      <c r="FD121" s="580"/>
      <c r="FE121" s="580"/>
      <c r="FF121" s="580"/>
      <c r="FG121" s="580"/>
      <c r="FH121" s="580"/>
    </row>
    <row r="122" spans="1:164" x14ac:dyDescent="0.2">
      <c r="A122" s="180">
        <v>1</v>
      </c>
      <c r="B122" s="406"/>
      <c r="C122" s="407"/>
      <c r="D122" s="406"/>
      <c r="E122" s="407"/>
      <c r="F122" s="408">
        <f>F63/SUM(F63:G63)</f>
        <v>0.93548387096774188</v>
      </c>
      <c r="G122" s="408">
        <f>G63/SUM(F63:G63)</f>
        <v>6.4516129032258063E-2</v>
      </c>
      <c r="H122" s="406"/>
      <c r="I122" s="407"/>
      <c r="J122" s="409"/>
      <c r="K122" s="409"/>
      <c r="L122" s="410">
        <f t="shared" ref="L122:L128" si="50">L63/SUM(L63:M63)</f>
        <v>0.81</v>
      </c>
      <c r="M122" s="411">
        <f t="shared" ref="M122:M128" si="51">M63/SUM(L63:M63)</f>
        <v>0.19</v>
      </c>
      <c r="N122" s="408">
        <f t="shared" ref="N122:N128" si="52">N63/SUM(N63:O63)</f>
        <v>0.91463414634146345</v>
      </c>
      <c r="O122" s="408">
        <f t="shared" ref="O122:O128" si="53">O63/SUM(N63:O63)</f>
        <v>8.5365853658536592E-2</v>
      </c>
      <c r="P122" s="406"/>
      <c r="Q122" s="407"/>
      <c r="R122" s="408">
        <f>R63/SUM(R63:S63)</f>
        <v>0.94285714285714284</v>
      </c>
      <c r="S122" s="408">
        <f>S63/SUM(R63:S63)</f>
        <v>5.7142857142857141E-2</v>
      </c>
      <c r="T122" s="406"/>
      <c r="U122" s="407"/>
      <c r="V122" s="409"/>
      <c r="W122" s="409"/>
      <c r="X122" s="410">
        <f t="shared" ref="X122:X129" si="54">X63/SUM(X63:Y63)</f>
        <v>0.88888888888888884</v>
      </c>
      <c r="Y122" s="411">
        <f t="shared" ref="Y122:Y129" si="55">Y63/SUM(X63:Y63)</f>
        <v>0.1111111111111111</v>
      </c>
      <c r="Z122" s="408">
        <f t="shared" ref="Z122:Z129" si="56">Z63/SUM(Z63:AA63)</f>
        <v>0.97619047619047616</v>
      </c>
      <c r="AA122" s="408">
        <f t="shared" ref="AA122:AA129" si="57">AA63/SUM(Z63:AA63)</f>
        <v>2.3809523809523808E-2</v>
      </c>
      <c r="AB122" s="406"/>
      <c r="AC122" s="407"/>
      <c r="AD122" s="409"/>
      <c r="AE122" s="409"/>
      <c r="AF122" s="406"/>
      <c r="AG122" s="202"/>
      <c r="AH122" s="412"/>
      <c r="AI122" s="413"/>
      <c r="AJ122" s="202"/>
      <c r="AK122" s="407"/>
      <c r="AL122" s="409"/>
      <c r="AM122" s="409"/>
      <c r="AN122" s="406"/>
      <c r="AO122" s="407"/>
      <c r="AP122" s="409"/>
      <c r="AQ122" s="409"/>
      <c r="AR122" s="406"/>
      <c r="AS122" s="407"/>
      <c r="AT122" s="408">
        <f>AT63/SUM(AT63:AU63)</f>
        <v>0.86206896551724133</v>
      </c>
      <c r="AU122" s="408">
        <f t="shared" ref="AU122:AU174" si="58">AU63/SUM(AT63:AU63)</f>
        <v>0.13793103448275862</v>
      </c>
      <c r="AV122" s="410">
        <f t="shared" ref="AV122:AV133" si="59">AV63/SUM(AV63:AW63)</f>
        <v>0.94444444444444442</v>
      </c>
      <c r="AW122" s="411">
        <f t="shared" ref="AW122:AW133" si="60">AW63/SUM(AV63:AW63)</f>
        <v>5.5555555555555552E-2</v>
      </c>
      <c r="AX122" s="409"/>
      <c r="AY122" s="409"/>
      <c r="AZ122" s="406"/>
      <c r="BA122" s="407"/>
      <c r="BB122" s="412"/>
      <c r="BC122" s="414"/>
      <c r="BD122" s="200"/>
      <c r="BE122" s="201"/>
      <c r="BF122" s="678">
        <f>BF63/SUM($BF63:$BK63)</f>
        <v>1</v>
      </c>
      <c r="BG122" s="679">
        <f t="shared" ref="BG122:BK122" si="61">BG63/SUM($BF63:$BK63)</f>
        <v>0</v>
      </c>
      <c r="BH122" s="679">
        <f t="shared" si="61"/>
        <v>0</v>
      </c>
      <c r="BI122" s="679">
        <f t="shared" si="61"/>
        <v>0</v>
      </c>
      <c r="BJ122" s="679">
        <f t="shared" si="61"/>
        <v>0</v>
      </c>
      <c r="BK122" s="679">
        <f t="shared" si="61"/>
        <v>0</v>
      </c>
      <c r="BL122" s="678">
        <f>BL63/SUM($BL63:$BQ63)</f>
        <v>0.7</v>
      </c>
      <c r="BM122" s="679">
        <f t="shared" ref="BM122:BQ122" si="62">BM63/SUM($BL63:$BQ63)</f>
        <v>0</v>
      </c>
      <c r="BN122" s="420">
        <f t="shared" si="62"/>
        <v>0.1</v>
      </c>
      <c r="BO122" s="420">
        <f t="shared" si="62"/>
        <v>0.2</v>
      </c>
      <c r="BP122" s="420">
        <f t="shared" si="62"/>
        <v>0</v>
      </c>
      <c r="BQ122" s="411">
        <f t="shared" si="62"/>
        <v>0</v>
      </c>
      <c r="BR122" s="678">
        <f t="shared" ref="BR122:BW122" si="63">BR63/SUM($BR63:$BW63)</f>
        <v>0.66666666666666663</v>
      </c>
      <c r="BS122" s="679">
        <f t="shared" si="63"/>
        <v>0</v>
      </c>
      <c r="BT122" s="420">
        <f t="shared" si="63"/>
        <v>0</v>
      </c>
      <c r="BU122" s="420">
        <f t="shared" si="63"/>
        <v>0.33333333333333331</v>
      </c>
      <c r="BV122" s="420">
        <f t="shared" si="63"/>
        <v>0</v>
      </c>
      <c r="BW122" s="411">
        <f t="shared" si="63"/>
        <v>0</v>
      </c>
      <c r="BX122" s="412"/>
      <c r="BY122" s="680"/>
      <c r="BZ122" s="202"/>
      <c r="CA122" s="202"/>
      <c r="CB122" s="202"/>
      <c r="CC122" s="407"/>
      <c r="CD122" s="406" t="str">
        <f t="shared" ref="CD122:CI122" si="64">IFERROR(CD63/SUM($CD63:$CI63),"")</f>
        <v/>
      </c>
      <c r="CE122" s="680" t="str">
        <f t="shared" si="64"/>
        <v/>
      </c>
      <c r="CF122" s="202" t="str">
        <f t="shared" si="64"/>
        <v/>
      </c>
      <c r="CG122" s="202" t="str">
        <f t="shared" si="64"/>
        <v/>
      </c>
      <c r="CH122" s="202" t="str">
        <f t="shared" si="64"/>
        <v/>
      </c>
      <c r="CI122" s="407" t="str">
        <f t="shared" si="64"/>
        <v/>
      </c>
      <c r="CJ122" s="412"/>
      <c r="CK122" s="680"/>
      <c r="CL122" s="202"/>
      <c r="CM122" s="202"/>
      <c r="CN122" s="202"/>
      <c r="CO122" s="407"/>
      <c r="CP122" s="412"/>
      <c r="CQ122" s="680"/>
      <c r="CR122" s="202"/>
      <c r="CS122" s="202"/>
      <c r="CT122" s="202"/>
      <c r="CU122" s="407"/>
      <c r="CV122" s="412"/>
      <c r="CW122" s="680"/>
      <c r="CX122" s="202"/>
      <c r="CY122" s="202"/>
      <c r="CZ122" s="202"/>
      <c r="DA122" s="407"/>
      <c r="DB122" s="412"/>
      <c r="DC122" s="680"/>
      <c r="DD122" s="202"/>
      <c r="DE122" s="202"/>
      <c r="DF122" s="202"/>
      <c r="DG122" s="407"/>
      <c r="DH122" s="412"/>
      <c r="DI122" s="680"/>
      <c r="DJ122" s="202"/>
      <c r="DK122" s="202"/>
      <c r="DL122" s="202"/>
      <c r="DM122" s="407"/>
      <c r="DN122" s="412"/>
      <c r="DO122" s="680"/>
      <c r="DP122" s="202"/>
      <c r="DQ122" s="202"/>
      <c r="DR122" s="202"/>
      <c r="DS122" s="407"/>
      <c r="DT122" s="412"/>
      <c r="DU122" s="680"/>
      <c r="DV122" s="202"/>
      <c r="DW122" s="202"/>
      <c r="DX122" s="202"/>
      <c r="DY122" s="407"/>
      <c r="DZ122" s="412"/>
      <c r="EA122" s="680"/>
      <c r="EB122" s="202"/>
      <c r="EC122" s="202"/>
      <c r="ED122" s="202"/>
      <c r="EE122" s="407"/>
      <c r="EF122" s="196">
        <f t="shared" si="49"/>
        <v>1</v>
      </c>
      <c r="EG122" s="202"/>
      <c r="EH122" s="579">
        <v>1</v>
      </c>
      <c r="EI122" s="603">
        <f t="shared" ref="EI122:EI137" si="65">AVERAGE(D122,F122,H122,J122,L122,N122,P122,R122,T122,V122,X122,Z122,AB122,AD122,AF122,AH122,AJ122,AL122,AN122,AP122,AR122,AT122,AV122,AX122,AZ122,BB122,BD122)</f>
        <v>0.90932099190092497</v>
      </c>
      <c r="EJ122" s="603">
        <f t="shared" ref="EJ122:EJ137" si="66">AVERAGE(BA122,AY122,AW122,AU122,AS122,AQ122,AO122,AM122,AK122,AI122,AG122,AE122,AC122,AA122,Y122,W122,U122,S122,Q122,O122,M122,K122,I122,G122,E122,BC122,BE122)</f>
        <v>9.0679008099075115E-2</v>
      </c>
      <c r="EK122" s="579">
        <v>1</v>
      </c>
      <c r="EL122" s="603">
        <f t="shared" ref="EL122:EL137" si="67">AVERAGE(BB122,AZ122,AX122,AV122,AT122,AR122,AP122,AN122,AL122,AJ122,BD122)</f>
        <v>0.90325670498084287</v>
      </c>
      <c r="EM122" s="603">
        <f t="shared" ref="EM122:EM137" si="68">AVERAGE(BC122,BA122,AY122,AW122,AU122,AS122,AQ122,AO122,AM122,AK122,BE122)</f>
        <v>9.6743295019157086E-2</v>
      </c>
      <c r="EN122" s="579">
        <v>1</v>
      </c>
      <c r="EO122" s="603">
        <f t="shared" ref="EO122:EO133" si="69">AVERAGE(D122,F122,H122,J122,L122,N122,P122,R122,T122,V122,X122,Z122,AB122,AD122,AF122,AH122)</f>
        <v>0.91134242087428563</v>
      </c>
      <c r="EP122" s="603">
        <f t="shared" ref="EP122:EP133" si="70">AVERAGE(E122,G122,I122,K122,M122,O122,Q122,S122,U122,W122,Y122,AA122,AC122,AE122,AG122,AI122)</f>
        <v>8.8657579125714467E-2</v>
      </c>
      <c r="EQ122" s="580"/>
      <c r="ER122" s="580"/>
      <c r="ES122" s="519"/>
      <c r="ET122" s="519"/>
      <c r="EU122" s="606" t="s">
        <v>100</v>
      </c>
      <c r="EV122" s="580"/>
      <c r="EW122" s="580"/>
      <c r="EX122" s="580"/>
      <c r="EY122" s="580"/>
      <c r="EZ122" s="580"/>
      <c r="FA122" s="580"/>
      <c r="FB122" s="580"/>
      <c r="FC122" s="580"/>
      <c r="FD122" s="580"/>
      <c r="FE122" s="580"/>
      <c r="FF122" s="580"/>
      <c r="FG122" s="580"/>
      <c r="FH122" s="580"/>
    </row>
    <row r="123" spans="1:164" x14ac:dyDescent="0.2">
      <c r="A123" s="180">
        <v>2</v>
      </c>
      <c r="B123" s="406"/>
      <c r="C123" s="407"/>
      <c r="D123" s="406"/>
      <c r="E123" s="407"/>
      <c r="F123" s="408">
        <f>F64/SUM(F64:G64)</f>
        <v>0.91</v>
      </c>
      <c r="G123" s="408">
        <f>G64/SUM(F64:G64)</f>
        <v>0.09</v>
      </c>
      <c r="H123" s="410">
        <f>H64/SUM(H64:I64)</f>
        <v>0.87709497206703912</v>
      </c>
      <c r="I123" s="411">
        <f>I64/SUM(H64:I64)</f>
        <v>0.12290502793296089</v>
      </c>
      <c r="J123" s="409"/>
      <c r="K123" s="409"/>
      <c r="L123" s="410">
        <f t="shared" si="50"/>
        <v>0.70531400966183577</v>
      </c>
      <c r="M123" s="411">
        <f t="shared" si="51"/>
        <v>0.29468599033816423</v>
      </c>
      <c r="N123" s="408">
        <f t="shared" si="52"/>
        <v>0.8771929824561403</v>
      </c>
      <c r="O123" s="408">
        <f t="shared" si="53"/>
        <v>0.12280701754385964</v>
      </c>
      <c r="P123" s="410">
        <f>P64/SUM(P64:Q64)</f>
        <v>0.7533333333333333</v>
      </c>
      <c r="Q123" s="411">
        <f>Q64/SUM(P64:Q64)</f>
        <v>0.24666666666666667</v>
      </c>
      <c r="R123" s="409"/>
      <c r="S123" s="409"/>
      <c r="T123" s="410">
        <f>T64/SUM(T64:U64)</f>
        <v>0.96747967479674801</v>
      </c>
      <c r="U123" s="411">
        <f>U64/SUM(T64:U64)</f>
        <v>3.2520325203252036E-2</v>
      </c>
      <c r="V123" s="409"/>
      <c r="W123" s="409"/>
      <c r="X123" s="410">
        <f t="shared" si="54"/>
        <v>0.8571428571428571</v>
      </c>
      <c r="Y123" s="411">
        <f t="shared" si="55"/>
        <v>0.14285714285714285</v>
      </c>
      <c r="Z123" s="408">
        <f t="shared" si="56"/>
        <v>0.96153846153846156</v>
      </c>
      <c r="AA123" s="408">
        <f t="shared" si="57"/>
        <v>3.8461538461538464E-2</v>
      </c>
      <c r="AB123" s="410">
        <f>AB64/SUM(AB64:AC64)</f>
        <v>0.85</v>
      </c>
      <c r="AC123" s="411">
        <f>AC64/SUM(AB64:AC64)</f>
        <v>0.15</v>
      </c>
      <c r="AD123" s="409"/>
      <c r="AE123" s="409"/>
      <c r="AF123" s="406"/>
      <c r="AG123" s="202"/>
      <c r="AH123" s="406"/>
      <c r="AI123" s="415"/>
      <c r="AJ123" s="420">
        <f>AJ64/SUM(AJ64:AK64)</f>
        <v>0</v>
      </c>
      <c r="AK123" s="411">
        <f>AK64/SUM(AJ64:AK64)</f>
        <v>1</v>
      </c>
      <c r="AL123" s="408">
        <f>AL64/SUM(AL64:AM64)</f>
        <v>0</v>
      </c>
      <c r="AM123" s="408">
        <f>AM64/SUM(AL64:AM64)</f>
        <v>1</v>
      </c>
      <c r="AN123" s="406"/>
      <c r="AO123" s="407"/>
      <c r="AP123" s="409"/>
      <c r="AQ123" s="409"/>
      <c r="AR123" s="410">
        <f>AR64/SUM(AR64:AS64)</f>
        <v>0.9285714285714286</v>
      </c>
      <c r="AS123" s="411">
        <f>AS64/SUM(AR64:AS64)</f>
        <v>7.1428571428571425E-2</v>
      </c>
      <c r="AT123" s="409"/>
      <c r="AU123" s="409"/>
      <c r="AV123" s="410">
        <f t="shared" si="59"/>
        <v>0.83333333333333337</v>
      </c>
      <c r="AW123" s="411">
        <f t="shared" si="60"/>
        <v>0.16666666666666666</v>
      </c>
      <c r="AX123" s="409"/>
      <c r="AY123" s="409"/>
      <c r="AZ123" s="410">
        <f t="shared" ref="AZ123:AZ137" si="71">AZ64/SUM(AZ64:BA64)</f>
        <v>0</v>
      </c>
      <c r="BA123" s="411">
        <f>BA64/SUM(AZ64:BA64)</f>
        <v>1</v>
      </c>
      <c r="BB123" s="410">
        <f t="shared" ref="BB123:BB128" si="72">BB64/SUM(BB64:BC64)</f>
        <v>0.76923076923076927</v>
      </c>
      <c r="BC123" s="411">
        <f t="shared" ref="BC123:BC128" si="73">BC64/SUM(BB64:BC64)</f>
        <v>0.23076923076923078</v>
      </c>
      <c r="BD123" s="406"/>
      <c r="BE123" s="407"/>
      <c r="BF123" s="406"/>
      <c r="BG123" s="202"/>
      <c r="BH123" s="202"/>
      <c r="BI123" s="202"/>
      <c r="BJ123" s="202"/>
      <c r="BK123" s="202"/>
      <c r="BL123" s="410">
        <f t="shared" ref="BL123:BQ123" si="74">BL64/SUM($BL64:$BQ64)</f>
        <v>0.76470588235294112</v>
      </c>
      <c r="BM123" s="420">
        <f t="shared" si="74"/>
        <v>5.8823529411764705E-2</v>
      </c>
      <c r="BN123" s="420">
        <f t="shared" si="74"/>
        <v>0</v>
      </c>
      <c r="BO123" s="420">
        <f t="shared" si="74"/>
        <v>0.17647058823529413</v>
      </c>
      <c r="BP123" s="420">
        <f t="shared" si="74"/>
        <v>0</v>
      </c>
      <c r="BQ123" s="411">
        <f t="shared" si="74"/>
        <v>0</v>
      </c>
      <c r="BR123" s="406"/>
      <c r="BS123" s="202"/>
      <c r="BT123" s="202"/>
      <c r="BU123" s="202"/>
      <c r="BV123" s="202"/>
      <c r="BW123" s="407"/>
      <c r="BX123" s="406"/>
      <c r="BY123" s="202"/>
      <c r="BZ123" s="202"/>
      <c r="CA123" s="202"/>
      <c r="CB123" s="202"/>
      <c r="CC123" s="407"/>
      <c r="CD123" s="406" t="str">
        <f t="shared" ref="CD123:CI123" si="75">IFERROR(CD64/SUM($CD64:$CI64),"")</f>
        <v/>
      </c>
      <c r="CE123" s="202" t="str">
        <f t="shared" si="75"/>
        <v/>
      </c>
      <c r="CF123" s="202" t="str">
        <f t="shared" si="75"/>
        <v/>
      </c>
      <c r="CG123" s="202" t="str">
        <f t="shared" si="75"/>
        <v/>
      </c>
      <c r="CH123" s="202" t="str">
        <f t="shared" si="75"/>
        <v/>
      </c>
      <c r="CI123" s="407" t="str">
        <f t="shared" si="75"/>
        <v/>
      </c>
      <c r="CJ123" s="406"/>
      <c r="CK123" s="202"/>
      <c r="CL123" s="202"/>
      <c r="CM123" s="202"/>
      <c r="CN123" s="202"/>
      <c r="CO123" s="407"/>
      <c r="CP123" s="406"/>
      <c r="CQ123" s="202"/>
      <c r="CR123" s="202"/>
      <c r="CS123" s="202"/>
      <c r="CT123" s="202"/>
      <c r="CU123" s="407"/>
      <c r="CV123" s="406"/>
      <c r="CW123" s="202"/>
      <c r="CX123" s="202"/>
      <c r="CY123" s="202"/>
      <c r="CZ123" s="202"/>
      <c r="DA123" s="407"/>
      <c r="DB123" s="406"/>
      <c r="DC123" s="202"/>
      <c r="DD123" s="202"/>
      <c r="DE123" s="202"/>
      <c r="DF123" s="202"/>
      <c r="DG123" s="407"/>
      <c r="DH123" s="406"/>
      <c r="DI123" s="202"/>
      <c r="DJ123" s="202"/>
      <c r="DK123" s="202"/>
      <c r="DL123" s="202"/>
      <c r="DM123" s="407"/>
      <c r="DN123" s="406"/>
      <c r="DO123" s="202"/>
      <c r="DP123" s="202"/>
      <c r="DQ123" s="202"/>
      <c r="DR123" s="202"/>
      <c r="DS123" s="407"/>
      <c r="DT123" s="406"/>
      <c r="DU123" s="202"/>
      <c r="DV123" s="202"/>
      <c r="DW123" s="202"/>
      <c r="DX123" s="202"/>
      <c r="DY123" s="407"/>
      <c r="DZ123" s="406"/>
      <c r="EA123" s="202"/>
      <c r="EB123" s="202"/>
      <c r="EC123" s="202"/>
      <c r="ED123" s="202"/>
      <c r="EE123" s="407"/>
      <c r="EF123" s="196">
        <f t="shared" si="49"/>
        <v>2</v>
      </c>
      <c r="EG123" s="202"/>
      <c r="EH123" s="579">
        <v>2</v>
      </c>
      <c r="EI123" s="603">
        <f t="shared" si="65"/>
        <v>0.68601545480879644</v>
      </c>
      <c r="EJ123" s="603">
        <f t="shared" si="66"/>
        <v>0.31398454519120356</v>
      </c>
      <c r="EK123" s="579">
        <v>2</v>
      </c>
      <c r="EL123" s="603">
        <f t="shared" si="67"/>
        <v>0.42185592185592186</v>
      </c>
      <c r="EM123" s="603">
        <f t="shared" si="68"/>
        <v>0.5781440781440782</v>
      </c>
      <c r="EN123" s="579">
        <v>2</v>
      </c>
      <c r="EO123" s="603">
        <f t="shared" si="69"/>
        <v>0.86212181011071276</v>
      </c>
      <c r="EP123" s="603">
        <f t="shared" si="70"/>
        <v>0.13787818988928721</v>
      </c>
      <c r="EQ123" s="580"/>
      <c r="ER123" s="580"/>
      <c r="ES123" s="519"/>
      <c r="ET123" s="519"/>
      <c r="EU123" s="580"/>
      <c r="EV123" s="580"/>
      <c r="EW123" s="580"/>
      <c r="EX123" s="580"/>
      <c r="EY123" s="580"/>
      <c r="EZ123" s="580"/>
      <c r="FA123" s="580"/>
      <c r="FB123" s="580"/>
      <c r="FC123" s="580"/>
      <c r="FD123" s="580"/>
      <c r="FE123" s="580"/>
      <c r="FF123" s="580"/>
      <c r="FG123" s="580"/>
      <c r="FH123" s="580"/>
    </row>
    <row r="124" spans="1:164" x14ac:dyDescent="0.2">
      <c r="A124" s="180">
        <v>3</v>
      </c>
      <c r="B124" s="406"/>
      <c r="C124" s="407"/>
      <c r="D124" s="406"/>
      <c r="E124" s="407"/>
      <c r="F124" s="408">
        <f>F65/SUM(F65:G65)</f>
        <v>0.78</v>
      </c>
      <c r="G124" s="408">
        <f>G65/SUM(F65:G65)</f>
        <v>0.22</v>
      </c>
      <c r="H124" s="410">
        <f>H65/SUM(H65:I65)</f>
        <v>0.73333333333333328</v>
      </c>
      <c r="I124" s="411">
        <f>I65/SUM(H65:I65)</f>
        <v>0.26666666666666666</v>
      </c>
      <c r="J124" s="408">
        <f t="shared" ref="J124:J129" si="76">J65/SUM(J65:K65)</f>
        <v>0.80904522613065322</v>
      </c>
      <c r="K124" s="408">
        <f t="shared" ref="K124:K129" si="77">K65/SUM(J65:K65)</f>
        <v>0.19095477386934673</v>
      </c>
      <c r="L124" s="410">
        <f t="shared" si="50"/>
        <v>0.57558139534883723</v>
      </c>
      <c r="M124" s="411">
        <f t="shared" si="51"/>
        <v>0.42441860465116277</v>
      </c>
      <c r="N124" s="408">
        <f t="shared" si="52"/>
        <v>0.86829268292682926</v>
      </c>
      <c r="O124" s="408">
        <f t="shared" si="53"/>
        <v>0.13170731707317074</v>
      </c>
      <c r="P124" s="410">
        <f>P65/SUM(P65:Q65)</f>
        <v>0.7752808988764045</v>
      </c>
      <c r="Q124" s="411">
        <f>Q65/SUM(P65:Q65)</f>
        <v>0.2247191011235955</v>
      </c>
      <c r="R124" s="408">
        <f>R65/SUM(R65:S65)</f>
        <v>0.95833333333333337</v>
      </c>
      <c r="S124" s="408">
        <f>S65/SUM(R65:S65)</f>
        <v>4.1666666666666664E-2</v>
      </c>
      <c r="T124" s="406"/>
      <c r="U124" s="407"/>
      <c r="V124" s="409"/>
      <c r="W124" s="409"/>
      <c r="X124" s="410">
        <f t="shared" si="54"/>
        <v>0.42857142857142855</v>
      </c>
      <c r="Y124" s="411">
        <f t="shared" si="55"/>
        <v>0.5714285714285714</v>
      </c>
      <c r="Z124" s="408">
        <f t="shared" si="56"/>
        <v>1</v>
      </c>
      <c r="AA124" s="408">
        <f t="shared" si="57"/>
        <v>0</v>
      </c>
      <c r="AB124" s="406"/>
      <c r="AC124" s="407"/>
      <c r="AD124" s="409"/>
      <c r="AE124" s="409"/>
      <c r="AF124" s="406"/>
      <c r="AG124" s="202"/>
      <c r="AH124" s="406"/>
      <c r="AI124" s="415"/>
      <c r="AJ124" s="202"/>
      <c r="AK124" s="407"/>
      <c r="AL124" s="409"/>
      <c r="AM124" s="409"/>
      <c r="AN124" s="406"/>
      <c r="AO124" s="407"/>
      <c r="AP124" s="408">
        <f>AP65/SUM(AP65:AQ65)</f>
        <v>0</v>
      </c>
      <c r="AQ124" s="408">
        <f>AQ65/SUM(AP65:AQ65)</f>
        <v>1</v>
      </c>
      <c r="AR124" s="410">
        <f>AR65/SUM(AR65:AS65)</f>
        <v>0.83333333333333337</v>
      </c>
      <c r="AS124" s="411">
        <f>AS65/SUM(AR65:AS65)</f>
        <v>0.16666666666666666</v>
      </c>
      <c r="AT124" s="408">
        <f t="shared" ref="AT124:AT133" si="78">AT65/SUM(AT65:AU65)</f>
        <v>1</v>
      </c>
      <c r="AU124" s="408">
        <f t="shared" si="58"/>
        <v>0</v>
      </c>
      <c r="AV124" s="410">
        <f t="shared" si="59"/>
        <v>0.75</v>
      </c>
      <c r="AW124" s="411">
        <f t="shared" si="60"/>
        <v>0.25</v>
      </c>
      <c r="AX124" s="409"/>
      <c r="AY124" s="409"/>
      <c r="AZ124" s="406"/>
      <c r="BA124" s="407"/>
      <c r="BB124" s="410">
        <f t="shared" si="72"/>
        <v>0.75</v>
      </c>
      <c r="BC124" s="411">
        <f t="shared" si="73"/>
        <v>0.25</v>
      </c>
      <c r="BD124" s="197"/>
      <c r="BE124" s="198"/>
      <c r="BF124" s="406"/>
      <c r="BG124" s="202"/>
      <c r="BH124" s="202"/>
      <c r="BI124" s="202"/>
      <c r="BJ124" s="202"/>
      <c r="BK124" s="202"/>
      <c r="BL124" s="410">
        <f t="shared" ref="BL124:BQ124" si="79">BL65/SUM($BL65:$BQ65)</f>
        <v>0.37931034482758619</v>
      </c>
      <c r="BM124" s="420">
        <f t="shared" si="79"/>
        <v>2.2988505747126436E-2</v>
      </c>
      <c r="BN124" s="420">
        <f t="shared" si="79"/>
        <v>0</v>
      </c>
      <c r="BO124" s="420">
        <f t="shared" si="79"/>
        <v>0.5977011494252874</v>
      </c>
      <c r="BP124" s="420">
        <f t="shared" si="79"/>
        <v>0</v>
      </c>
      <c r="BQ124" s="411">
        <f t="shared" si="79"/>
        <v>0</v>
      </c>
      <c r="BR124" s="406"/>
      <c r="BS124" s="202"/>
      <c r="BT124" s="202"/>
      <c r="BU124" s="202"/>
      <c r="BV124" s="202"/>
      <c r="BW124" s="407"/>
      <c r="BX124" s="410">
        <f>BX65/SUM($BX65:$CC65)</f>
        <v>0.5</v>
      </c>
      <c r="BY124" s="420">
        <f t="shared" ref="BY124:CC124" si="80">BY65/SUM($BX65:$CC65)</f>
        <v>0.1111111111111111</v>
      </c>
      <c r="BZ124" s="420">
        <f t="shared" si="80"/>
        <v>0</v>
      </c>
      <c r="CA124" s="420">
        <f t="shared" si="80"/>
        <v>0.3888888888888889</v>
      </c>
      <c r="CB124" s="420">
        <f t="shared" si="80"/>
        <v>0</v>
      </c>
      <c r="CC124" s="411">
        <f t="shared" si="80"/>
        <v>0</v>
      </c>
      <c r="CD124" s="406" t="str">
        <f t="shared" ref="CD124:CI124" si="81">IFERROR(CD65/SUM($CD65:$CI65),"")</f>
        <v/>
      </c>
      <c r="CE124" s="202" t="str">
        <f t="shared" si="81"/>
        <v/>
      </c>
      <c r="CF124" s="202" t="str">
        <f t="shared" si="81"/>
        <v/>
      </c>
      <c r="CG124" s="202" t="str">
        <f t="shared" si="81"/>
        <v/>
      </c>
      <c r="CH124" s="202" t="str">
        <f t="shared" si="81"/>
        <v/>
      </c>
      <c r="CI124" s="407" t="str">
        <f t="shared" si="81"/>
        <v/>
      </c>
      <c r="CJ124" s="406"/>
      <c r="CK124" s="202"/>
      <c r="CL124" s="202"/>
      <c r="CM124" s="202"/>
      <c r="CN124" s="202"/>
      <c r="CO124" s="407"/>
      <c r="CP124" s="406"/>
      <c r="CQ124" s="202"/>
      <c r="CR124" s="202"/>
      <c r="CS124" s="202"/>
      <c r="CT124" s="202"/>
      <c r="CU124" s="407"/>
      <c r="CV124" s="406"/>
      <c r="CW124" s="202"/>
      <c r="CX124" s="202"/>
      <c r="CY124" s="202"/>
      <c r="CZ124" s="202"/>
      <c r="DA124" s="407"/>
      <c r="DB124" s="406"/>
      <c r="DC124" s="202"/>
      <c r="DD124" s="202"/>
      <c r="DE124" s="202"/>
      <c r="DF124" s="202"/>
      <c r="DG124" s="407"/>
      <c r="DH124" s="406"/>
      <c r="DI124" s="202"/>
      <c r="DJ124" s="202"/>
      <c r="DK124" s="202"/>
      <c r="DL124" s="202"/>
      <c r="DM124" s="407"/>
      <c r="DN124" s="406"/>
      <c r="DO124" s="202"/>
      <c r="DP124" s="202"/>
      <c r="DQ124" s="202"/>
      <c r="DR124" s="202"/>
      <c r="DS124" s="407"/>
      <c r="DT124" s="406"/>
      <c r="DU124" s="202"/>
      <c r="DV124" s="202"/>
      <c r="DW124" s="202"/>
      <c r="DX124" s="202"/>
      <c r="DY124" s="407"/>
      <c r="DZ124" s="406"/>
      <c r="EA124" s="202"/>
      <c r="EB124" s="202"/>
      <c r="EC124" s="202"/>
      <c r="ED124" s="202"/>
      <c r="EE124" s="407"/>
      <c r="EF124" s="196">
        <f t="shared" si="49"/>
        <v>3</v>
      </c>
      <c r="EG124" s="202"/>
      <c r="EH124" s="579">
        <v>3</v>
      </c>
      <c r="EI124" s="603">
        <f t="shared" si="65"/>
        <v>0.73298368798958236</v>
      </c>
      <c r="EJ124" s="603">
        <f t="shared" si="66"/>
        <v>0.2670163120104177</v>
      </c>
      <c r="EK124" s="579">
        <v>3</v>
      </c>
      <c r="EL124" s="603">
        <f t="shared" si="67"/>
        <v>0.66666666666666674</v>
      </c>
      <c r="EM124" s="603">
        <f t="shared" si="68"/>
        <v>0.33333333333333331</v>
      </c>
      <c r="EN124" s="579">
        <v>3</v>
      </c>
      <c r="EO124" s="603">
        <f t="shared" si="69"/>
        <v>0.76982647761342438</v>
      </c>
      <c r="EP124" s="603">
        <f t="shared" si="70"/>
        <v>0.23017352238657565</v>
      </c>
      <c r="EQ124" s="580"/>
      <c r="ER124" s="580"/>
      <c r="ES124" s="519"/>
      <c r="ET124" s="519"/>
      <c r="EU124" s="580"/>
      <c r="EV124" s="580"/>
      <c r="EW124" s="580"/>
      <c r="EX124" s="580"/>
      <c r="EY124" s="580"/>
      <c r="EZ124" s="580"/>
      <c r="FA124" s="580"/>
      <c r="FB124" s="580"/>
      <c r="FC124" s="580"/>
      <c r="FD124" s="580"/>
      <c r="FE124" s="580"/>
      <c r="FF124" s="580"/>
      <c r="FG124" s="580"/>
      <c r="FH124" s="580"/>
    </row>
    <row r="125" spans="1:164" x14ac:dyDescent="0.2">
      <c r="A125" s="180">
        <v>4</v>
      </c>
      <c r="B125" s="406"/>
      <c r="C125" s="407"/>
      <c r="D125" s="406"/>
      <c r="E125" s="407"/>
      <c r="F125" s="408">
        <f>F66/SUM(F66:G66)</f>
        <v>0.67500000000000004</v>
      </c>
      <c r="G125" s="408">
        <f>G66/SUM(F66:G66)</f>
        <v>0.32500000000000001</v>
      </c>
      <c r="H125" s="410">
        <f>H66/SUM(H66:I66)</f>
        <v>0.72131147540983609</v>
      </c>
      <c r="I125" s="411">
        <f>I66/SUM(H66:I66)</f>
        <v>0.27868852459016391</v>
      </c>
      <c r="J125" s="408">
        <f t="shared" si="76"/>
        <v>0.73366834170854267</v>
      </c>
      <c r="K125" s="408">
        <f t="shared" si="77"/>
        <v>0.26633165829145727</v>
      </c>
      <c r="L125" s="410">
        <f t="shared" si="50"/>
        <v>0.47368421052631576</v>
      </c>
      <c r="M125" s="411">
        <f t="shared" si="51"/>
        <v>0.52631578947368418</v>
      </c>
      <c r="N125" s="408">
        <f t="shared" si="52"/>
        <v>0.61111111111111116</v>
      </c>
      <c r="O125" s="408">
        <f t="shared" si="53"/>
        <v>0.3888888888888889</v>
      </c>
      <c r="P125" s="410">
        <f>P66/SUM(P66:Q66)</f>
        <v>0.72222222222222221</v>
      </c>
      <c r="Q125" s="411">
        <f>Q66/SUM(P66:Q66)</f>
        <v>0.27777777777777779</v>
      </c>
      <c r="R125" s="409"/>
      <c r="S125" s="409"/>
      <c r="T125" s="406"/>
      <c r="U125" s="407"/>
      <c r="V125" s="409"/>
      <c r="W125" s="409"/>
      <c r="X125" s="410">
        <f t="shared" si="54"/>
        <v>0.44444444444444442</v>
      </c>
      <c r="Y125" s="411">
        <f t="shared" si="55"/>
        <v>0.55555555555555558</v>
      </c>
      <c r="Z125" s="408">
        <f t="shared" si="56"/>
        <v>1</v>
      </c>
      <c r="AA125" s="408">
        <f t="shared" si="57"/>
        <v>0</v>
      </c>
      <c r="AB125" s="410">
        <f>AB66/SUM(AB66:AC66)</f>
        <v>0.25</v>
      </c>
      <c r="AC125" s="411">
        <f>AC66/SUM(AB66:AC66)</f>
        <v>0.75</v>
      </c>
      <c r="AD125" s="409"/>
      <c r="AE125" s="409"/>
      <c r="AF125" s="406"/>
      <c r="AG125" s="202"/>
      <c r="AH125" s="406"/>
      <c r="AI125" s="415"/>
      <c r="AJ125" s="202"/>
      <c r="AK125" s="407"/>
      <c r="AL125" s="409"/>
      <c r="AM125" s="409"/>
      <c r="AN125" s="406"/>
      <c r="AO125" s="407"/>
      <c r="AP125" s="408">
        <f>AP66/SUM(AP66:AQ66)</f>
        <v>0</v>
      </c>
      <c r="AQ125" s="408">
        <f>AQ66/SUM(AP66:AQ66)</f>
        <v>1</v>
      </c>
      <c r="AR125" s="406"/>
      <c r="AS125" s="407"/>
      <c r="AT125" s="408">
        <f t="shared" si="78"/>
        <v>1</v>
      </c>
      <c r="AU125" s="408">
        <f t="shared" si="58"/>
        <v>0</v>
      </c>
      <c r="AV125" s="410">
        <f t="shared" si="59"/>
        <v>0.66666666666666663</v>
      </c>
      <c r="AW125" s="411">
        <f t="shared" si="60"/>
        <v>0.33333333333333331</v>
      </c>
      <c r="AX125" s="408">
        <f>AX66/SUM(AX66:AY66)</f>
        <v>0</v>
      </c>
      <c r="AY125" s="408">
        <f>AY66/SUM(AX66:AY66)</f>
        <v>1</v>
      </c>
      <c r="AZ125" s="410">
        <f t="shared" si="71"/>
        <v>0.83333333333333337</v>
      </c>
      <c r="BA125" s="411">
        <f t="shared" ref="BA125:BA131" si="82">BA66/SUM(AZ66:BA66)</f>
        <v>0.16666666666666666</v>
      </c>
      <c r="BB125" s="410">
        <f t="shared" si="72"/>
        <v>0.73684210526315785</v>
      </c>
      <c r="BC125" s="411">
        <f t="shared" si="73"/>
        <v>0.26315789473684209</v>
      </c>
      <c r="BD125" s="197"/>
      <c r="BE125" s="198"/>
      <c r="BF125" s="406"/>
      <c r="BG125" s="202"/>
      <c r="BH125" s="202"/>
      <c r="BI125" s="202"/>
      <c r="BJ125" s="202"/>
      <c r="BK125" s="407"/>
      <c r="BL125" s="406"/>
      <c r="BM125" s="202"/>
      <c r="BN125" s="202"/>
      <c r="BO125" s="202"/>
      <c r="BP125" s="202"/>
      <c r="BQ125" s="407"/>
      <c r="BR125" s="410">
        <f t="shared" ref="BR125:BW125" si="83">BR66/SUM($BR66:$BW66)</f>
        <v>0.30555555555555558</v>
      </c>
      <c r="BS125" s="420">
        <f t="shared" si="83"/>
        <v>0.1388888888888889</v>
      </c>
      <c r="BT125" s="420">
        <f t="shared" si="83"/>
        <v>0</v>
      </c>
      <c r="BU125" s="420">
        <f t="shared" si="83"/>
        <v>0.52777777777777779</v>
      </c>
      <c r="BV125" s="420">
        <f t="shared" si="83"/>
        <v>2.7777777777777776E-2</v>
      </c>
      <c r="BW125" s="411">
        <f t="shared" si="83"/>
        <v>0</v>
      </c>
      <c r="BX125" s="410">
        <f t="shared" ref="BX125:CC125" si="84">BX66/SUM($BX66:$CC66)</f>
        <v>0.6470588235294118</v>
      </c>
      <c r="BY125" s="420">
        <f t="shared" si="84"/>
        <v>0</v>
      </c>
      <c r="BZ125" s="420">
        <f t="shared" si="84"/>
        <v>0</v>
      </c>
      <c r="CA125" s="420">
        <f t="shared" si="84"/>
        <v>0.35294117647058826</v>
      </c>
      <c r="CB125" s="420">
        <f t="shared" si="84"/>
        <v>0</v>
      </c>
      <c r="CC125" s="411">
        <f t="shared" si="84"/>
        <v>0</v>
      </c>
      <c r="CD125" s="406" t="str">
        <f t="shared" ref="CD125:CI125" si="85">IFERROR(CD66/SUM($CD66:$CI66),"")</f>
        <v/>
      </c>
      <c r="CE125" s="202" t="str">
        <f t="shared" si="85"/>
        <v/>
      </c>
      <c r="CF125" s="202" t="str">
        <f t="shared" si="85"/>
        <v/>
      </c>
      <c r="CG125" s="202" t="str">
        <f t="shared" si="85"/>
        <v/>
      </c>
      <c r="CH125" s="202" t="str">
        <f t="shared" si="85"/>
        <v/>
      </c>
      <c r="CI125" s="407" t="str">
        <f t="shared" si="85"/>
        <v/>
      </c>
      <c r="CJ125" s="406"/>
      <c r="CK125" s="202"/>
      <c r="CL125" s="202"/>
      <c r="CM125" s="202"/>
      <c r="CN125" s="202"/>
      <c r="CO125" s="407"/>
      <c r="CP125" s="406"/>
      <c r="CQ125" s="202"/>
      <c r="CR125" s="202"/>
      <c r="CS125" s="202"/>
      <c r="CT125" s="202"/>
      <c r="CU125" s="407"/>
      <c r="CV125" s="406"/>
      <c r="CW125" s="202"/>
      <c r="CX125" s="202"/>
      <c r="CY125" s="202"/>
      <c r="CZ125" s="202"/>
      <c r="DA125" s="407"/>
      <c r="DB125" s="406"/>
      <c r="DC125" s="202"/>
      <c r="DD125" s="202"/>
      <c r="DE125" s="202"/>
      <c r="DF125" s="202"/>
      <c r="DG125" s="407"/>
      <c r="DH125" s="406"/>
      <c r="DI125" s="202"/>
      <c r="DJ125" s="202"/>
      <c r="DK125" s="202"/>
      <c r="DL125" s="202"/>
      <c r="DM125" s="407"/>
      <c r="DN125" s="406"/>
      <c r="DO125" s="202"/>
      <c r="DP125" s="202"/>
      <c r="DQ125" s="202"/>
      <c r="DR125" s="202"/>
      <c r="DS125" s="407"/>
      <c r="DT125" s="406"/>
      <c r="DU125" s="202"/>
      <c r="DV125" s="202"/>
      <c r="DW125" s="202"/>
      <c r="DX125" s="202"/>
      <c r="DY125" s="407"/>
      <c r="DZ125" s="406"/>
      <c r="EA125" s="202"/>
      <c r="EB125" s="202"/>
      <c r="EC125" s="202"/>
      <c r="ED125" s="202"/>
      <c r="EE125" s="407"/>
      <c r="EF125" s="196">
        <f t="shared" si="49"/>
        <v>4</v>
      </c>
      <c r="EG125" s="202"/>
      <c r="EH125" s="579">
        <v>4</v>
      </c>
      <c r="EI125" s="603">
        <f t="shared" si="65"/>
        <v>0.59121892737904203</v>
      </c>
      <c r="EJ125" s="603">
        <f t="shared" si="66"/>
        <v>0.40878107262095803</v>
      </c>
      <c r="EK125" s="579">
        <v>4</v>
      </c>
      <c r="EL125" s="603">
        <f t="shared" si="67"/>
        <v>0.53947368421052633</v>
      </c>
      <c r="EM125" s="603">
        <f t="shared" si="68"/>
        <v>0.46052631578947367</v>
      </c>
      <c r="EN125" s="579">
        <v>4</v>
      </c>
      <c r="EO125" s="603">
        <f t="shared" si="69"/>
        <v>0.62571575615805253</v>
      </c>
      <c r="EP125" s="603">
        <f t="shared" si="70"/>
        <v>0.37428424384194753</v>
      </c>
      <c r="EQ125" s="580"/>
      <c r="ER125" s="580"/>
      <c r="ES125" s="519"/>
      <c r="ET125" s="519"/>
      <c r="EU125" s="580"/>
      <c r="EV125" s="580"/>
      <c r="EW125" s="580"/>
      <c r="EX125" s="580"/>
      <c r="EY125" s="580"/>
      <c r="EZ125" s="580"/>
      <c r="FA125" s="580"/>
      <c r="FB125" s="580"/>
      <c r="FC125" s="580"/>
      <c r="FD125" s="580"/>
      <c r="FE125" s="580"/>
      <c r="FF125" s="580"/>
      <c r="FG125" s="580"/>
      <c r="FH125" s="580"/>
    </row>
    <row r="126" spans="1:164" x14ac:dyDescent="0.2">
      <c r="A126" s="180">
        <v>5</v>
      </c>
      <c r="B126" s="406"/>
      <c r="C126" s="407"/>
      <c r="D126" s="406"/>
      <c r="E126" s="407"/>
      <c r="F126" s="409"/>
      <c r="G126" s="409"/>
      <c r="H126" s="410">
        <f>H67/SUM(H67:I67)</f>
        <v>0.70707070707070707</v>
      </c>
      <c r="I126" s="411">
        <f>I67/SUM(H67:I67)</f>
        <v>0.29292929292929293</v>
      </c>
      <c r="J126" s="408">
        <f t="shared" si="76"/>
        <v>0.61</v>
      </c>
      <c r="K126" s="408">
        <f t="shared" si="77"/>
        <v>0.39</v>
      </c>
      <c r="L126" s="410">
        <f t="shared" si="50"/>
        <v>0.26</v>
      </c>
      <c r="M126" s="411">
        <f t="shared" si="51"/>
        <v>0.74</v>
      </c>
      <c r="N126" s="408">
        <f t="shared" si="52"/>
        <v>0.82222222222222219</v>
      </c>
      <c r="O126" s="408">
        <f t="shared" si="53"/>
        <v>0.17777777777777778</v>
      </c>
      <c r="P126" s="406"/>
      <c r="Q126" s="407"/>
      <c r="R126" s="408">
        <f>R67/SUM(R67:S67)</f>
        <v>0.88235294117647056</v>
      </c>
      <c r="S126" s="408">
        <f>S67/SUM(R67:S67)</f>
        <v>0.11764705882352941</v>
      </c>
      <c r="T126" s="406"/>
      <c r="U126" s="407"/>
      <c r="V126" s="408">
        <f>V67/SUM(V67:W67)</f>
        <v>0.81818181818181823</v>
      </c>
      <c r="W126" s="408">
        <f>W67/SUM(V67:W67)</f>
        <v>0.18181818181818182</v>
      </c>
      <c r="X126" s="410">
        <f t="shared" si="54"/>
        <v>0.5</v>
      </c>
      <c r="Y126" s="411">
        <f t="shared" si="55"/>
        <v>0.5</v>
      </c>
      <c r="Z126" s="408">
        <f t="shared" si="56"/>
        <v>0.88888888888888884</v>
      </c>
      <c r="AA126" s="408">
        <f t="shared" si="57"/>
        <v>0.1111111111111111</v>
      </c>
      <c r="AB126" s="410">
        <f>AB67/SUM(AB67:AC67)</f>
        <v>0.625</v>
      </c>
      <c r="AC126" s="411">
        <f>AC67/SUM(AB67:AC67)</f>
        <v>0.375</v>
      </c>
      <c r="AD126" s="408">
        <f>AD67/SUM(AD67:AE67)</f>
        <v>0.5</v>
      </c>
      <c r="AE126" s="408">
        <f>AE67/SUM(AD67:AE67)</f>
        <v>0.5</v>
      </c>
      <c r="AF126" s="406"/>
      <c r="AG126" s="202"/>
      <c r="AH126" s="406"/>
      <c r="AI126" s="415"/>
      <c r="AJ126" s="202"/>
      <c r="AK126" s="407"/>
      <c r="AL126" s="409"/>
      <c r="AM126" s="409"/>
      <c r="AN126" s="406"/>
      <c r="AO126" s="407"/>
      <c r="AP126" s="409"/>
      <c r="AQ126" s="409"/>
      <c r="AR126" s="406"/>
      <c r="AS126" s="407"/>
      <c r="AT126" s="408">
        <f t="shared" si="78"/>
        <v>0.5</v>
      </c>
      <c r="AU126" s="408">
        <f t="shared" si="58"/>
        <v>0.5</v>
      </c>
      <c r="AV126" s="410">
        <f t="shared" si="59"/>
        <v>0</v>
      </c>
      <c r="AW126" s="411">
        <f t="shared" si="60"/>
        <v>1</v>
      </c>
      <c r="AX126" s="408">
        <f t="shared" ref="AX126:AX174" si="86">AX67/SUM(AX67:AY67)</f>
        <v>0.3</v>
      </c>
      <c r="AY126" s="408">
        <f t="shared" ref="AY126:AY141" si="87">AY67/SUM(AX67:AY67)</f>
        <v>0.7</v>
      </c>
      <c r="AZ126" s="410">
        <f t="shared" si="71"/>
        <v>0.8</v>
      </c>
      <c r="BA126" s="411">
        <f t="shared" si="82"/>
        <v>0.2</v>
      </c>
      <c r="BB126" s="410">
        <f t="shared" si="72"/>
        <v>0.6</v>
      </c>
      <c r="BC126" s="411">
        <f t="shared" si="73"/>
        <v>0.4</v>
      </c>
      <c r="BD126" s="197"/>
      <c r="BE126" s="198"/>
      <c r="BF126" s="410">
        <f>BF67/SUM($BF67:$BK67)</f>
        <v>0</v>
      </c>
      <c r="BG126" s="420">
        <f t="shared" ref="BG126:BK126" si="88">BG67/SUM($BF67:$BK67)</f>
        <v>0</v>
      </c>
      <c r="BH126" s="420">
        <f t="shared" si="88"/>
        <v>0</v>
      </c>
      <c r="BI126" s="420">
        <f t="shared" si="88"/>
        <v>0.5</v>
      </c>
      <c r="BJ126" s="420">
        <f t="shared" si="88"/>
        <v>0.5</v>
      </c>
      <c r="BK126" s="420">
        <f t="shared" si="88"/>
        <v>0</v>
      </c>
      <c r="BL126" s="406"/>
      <c r="BM126" s="202"/>
      <c r="BN126" s="202"/>
      <c r="BO126" s="202"/>
      <c r="BP126" s="202"/>
      <c r="BQ126" s="407"/>
      <c r="BR126" s="410">
        <f t="shared" ref="BR126:BW126" si="89">BR67/SUM($BR67:$BW67)</f>
        <v>0.16666666666666666</v>
      </c>
      <c r="BS126" s="420">
        <f t="shared" si="89"/>
        <v>0</v>
      </c>
      <c r="BT126" s="420">
        <f t="shared" si="89"/>
        <v>0</v>
      </c>
      <c r="BU126" s="420">
        <f t="shared" si="89"/>
        <v>0.83333333333333337</v>
      </c>
      <c r="BV126" s="420">
        <f t="shared" si="89"/>
        <v>0</v>
      </c>
      <c r="BW126" s="411">
        <f t="shared" si="89"/>
        <v>0</v>
      </c>
      <c r="BX126" s="410">
        <f t="shared" ref="BX126:CC126" si="90">BX67/SUM($BX67:$CC67)</f>
        <v>0.2857142857142857</v>
      </c>
      <c r="BY126" s="420">
        <f t="shared" si="90"/>
        <v>0</v>
      </c>
      <c r="BZ126" s="420">
        <f t="shared" si="90"/>
        <v>0</v>
      </c>
      <c r="CA126" s="420">
        <f t="shared" si="90"/>
        <v>0.5714285714285714</v>
      </c>
      <c r="CB126" s="420">
        <f t="shared" si="90"/>
        <v>0.14285714285714285</v>
      </c>
      <c r="CC126" s="411">
        <f t="shared" si="90"/>
        <v>0</v>
      </c>
      <c r="CD126" s="406" t="str">
        <f t="shared" ref="CD126:CI126" si="91">IFERROR(CD67/SUM($CD67:$CI67),"")</f>
        <v/>
      </c>
      <c r="CE126" s="202" t="str">
        <f t="shared" si="91"/>
        <v/>
      </c>
      <c r="CF126" s="202" t="str">
        <f t="shared" si="91"/>
        <v/>
      </c>
      <c r="CG126" s="202" t="str">
        <f t="shared" si="91"/>
        <v/>
      </c>
      <c r="CH126" s="202" t="str">
        <f t="shared" si="91"/>
        <v/>
      </c>
      <c r="CI126" s="407" t="str">
        <f t="shared" si="91"/>
        <v/>
      </c>
      <c r="CJ126" s="406"/>
      <c r="CK126" s="202"/>
      <c r="CL126" s="202"/>
      <c r="CM126" s="202"/>
      <c r="CN126" s="202"/>
      <c r="CO126" s="407"/>
      <c r="CP126" s="406"/>
      <c r="CQ126" s="202"/>
      <c r="CR126" s="202"/>
      <c r="CS126" s="202"/>
      <c r="CT126" s="202"/>
      <c r="CU126" s="407"/>
      <c r="CV126" s="406"/>
      <c r="CW126" s="202"/>
      <c r="CX126" s="202"/>
      <c r="CY126" s="202"/>
      <c r="CZ126" s="202"/>
      <c r="DA126" s="407"/>
      <c r="DB126" s="406"/>
      <c r="DC126" s="202"/>
      <c r="DD126" s="202"/>
      <c r="DE126" s="202"/>
      <c r="DF126" s="202"/>
      <c r="DG126" s="407"/>
      <c r="DH126" s="406"/>
      <c r="DI126" s="202"/>
      <c r="DJ126" s="202"/>
      <c r="DK126" s="202"/>
      <c r="DL126" s="202"/>
      <c r="DM126" s="407"/>
      <c r="DN126" s="406"/>
      <c r="DO126" s="202"/>
      <c r="DP126" s="202"/>
      <c r="DQ126" s="202"/>
      <c r="DR126" s="202"/>
      <c r="DS126" s="407"/>
      <c r="DT126" s="406"/>
      <c r="DU126" s="202"/>
      <c r="DV126" s="202"/>
      <c r="DW126" s="202"/>
      <c r="DX126" s="202"/>
      <c r="DY126" s="407"/>
      <c r="DZ126" s="406"/>
      <c r="EA126" s="202"/>
      <c r="EB126" s="202"/>
      <c r="EC126" s="202"/>
      <c r="ED126" s="202"/>
      <c r="EE126" s="407"/>
      <c r="EF126" s="196">
        <f t="shared" si="49"/>
        <v>5</v>
      </c>
      <c r="EG126" s="202"/>
      <c r="EH126" s="579">
        <v>5</v>
      </c>
      <c r="EI126" s="603">
        <f t="shared" si="65"/>
        <v>0.58758110516934037</v>
      </c>
      <c r="EJ126" s="603">
        <f t="shared" si="66"/>
        <v>0.41241889483065958</v>
      </c>
      <c r="EK126" s="579">
        <v>5</v>
      </c>
      <c r="EL126" s="603">
        <f t="shared" si="67"/>
        <v>0.44000000000000006</v>
      </c>
      <c r="EM126" s="603">
        <f t="shared" si="68"/>
        <v>0.55999999999999994</v>
      </c>
      <c r="EN126" s="579">
        <v>5</v>
      </c>
      <c r="EO126" s="603">
        <f t="shared" si="69"/>
        <v>0.66137165775401063</v>
      </c>
      <c r="EP126" s="603">
        <f t="shared" si="70"/>
        <v>0.33862834224598931</v>
      </c>
      <c r="EQ126" s="580"/>
      <c r="ER126" s="580"/>
      <c r="ES126" s="519"/>
      <c r="ET126" s="519"/>
      <c r="EU126" s="580"/>
      <c r="EV126" s="580"/>
      <c r="EW126" s="580"/>
      <c r="EX126" s="580"/>
      <c r="EY126" s="580"/>
      <c r="EZ126" s="580"/>
      <c r="FA126" s="580"/>
      <c r="FB126" s="580"/>
      <c r="FC126" s="580"/>
      <c r="FD126" s="580"/>
      <c r="FE126" s="580"/>
      <c r="FF126" s="580"/>
      <c r="FG126" s="580"/>
      <c r="FH126" s="580"/>
    </row>
    <row r="127" spans="1:164" x14ac:dyDescent="0.2">
      <c r="A127" s="180">
        <v>6</v>
      </c>
      <c r="B127" s="406"/>
      <c r="C127" s="407"/>
      <c r="D127" s="406"/>
      <c r="E127" s="407"/>
      <c r="F127" s="409"/>
      <c r="G127" s="409"/>
      <c r="H127" s="406"/>
      <c r="I127" s="407"/>
      <c r="J127" s="408">
        <f t="shared" si="76"/>
        <v>0.6333333333333333</v>
      </c>
      <c r="K127" s="408">
        <f t="shared" si="77"/>
        <v>0.36666666666666664</v>
      </c>
      <c r="L127" s="410">
        <f t="shared" si="50"/>
        <v>0.30434782608695654</v>
      </c>
      <c r="M127" s="411">
        <f t="shared" si="51"/>
        <v>0.69565217391304346</v>
      </c>
      <c r="N127" s="408">
        <f t="shared" si="52"/>
        <v>0.53913043478260869</v>
      </c>
      <c r="O127" s="408">
        <f t="shared" si="53"/>
        <v>0.46086956521739131</v>
      </c>
      <c r="P127" s="406"/>
      <c r="Q127" s="407"/>
      <c r="R127" s="409"/>
      <c r="S127" s="409"/>
      <c r="T127" s="410">
        <f>T68/SUM(T68:U68)</f>
        <v>0.88888888888888884</v>
      </c>
      <c r="U127" s="411">
        <f>U68/SUM(T68:U68)</f>
        <v>0.1111111111111111</v>
      </c>
      <c r="V127" s="408">
        <f>V68/SUM(V68:W68)</f>
        <v>0.69230769230769229</v>
      </c>
      <c r="W127" s="408">
        <f>W68/SUM(V68:W68)</f>
        <v>0.30769230769230771</v>
      </c>
      <c r="X127" s="410">
        <f t="shared" si="54"/>
        <v>0.2</v>
      </c>
      <c r="Y127" s="411">
        <f t="shared" si="55"/>
        <v>0.8</v>
      </c>
      <c r="Z127" s="408">
        <f t="shared" si="56"/>
        <v>0.8</v>
      </c>
      <c r="AA127" s="408">
        <f t="shared" si="57"/>
        <v>0.2</v>
      </c>
      <c r="AB127" s="410">
        <f>AB68/SUM(AB68:AC68)</f>
        <v>0</v>
      </c>
      <c r="AC127" s="411">
        <f>AC68/SUM(AB68:AC68)</f>
        <v>1</v>
      </c>
      <c r="AD127" s="409"/>
      <c r="AE127" s="409"/>
      <c r="AF127" s="406"/>
      <c r="AG127" s="202"/>
      <c r="AH127" s="406"/>
      <c r="AI127" s="415"/>
      <c r="AJ127" s="202"/>
      <c r="AK127" s="407"/>
      <c r="AL127" s="409"/>
      <c r="AM127" s="409"/>
      <c r="AN127" s="406"/>
      <c r="AO127" s="407"/>
      <c r="AP127" s="409"/>
      <c r="AQ127" s="409"/>
      <c r="AR127" s="410">
        <f>AR68/SUM(AR68:AS68)</f>
        <v>0.12345679012345678</v>
      </c>
      <c r="AS127" s="411">
        <f>AS68/SUM(AR68:AS68)</f>
        <v>0.87654320987654322</v>
      </c>
      <c r="AT127" s="408">
        <f t="shared" si="78"/>
        <v>0.15789473684210525</v>
      </c>
      <c r="AU127" s="408">
        <f t="shared" si="58"/>
        <v>0.84210526315789469</v>
      </c>
      <c r="AV127" s="410">
        <f t="shared" si="59"/>
        <v>0.1</v>
      </c>
      <c r="AW127" s="411">
        <f t="shared" si="60"/>
        <v>0.9</v>
      </c>
      <c r="AX127" s="408">
        <f t="shared" si="86"/>
        <v>0.16666666666666666</v>
      </c>
      <c r="AY127" s="408">
        <f t="shared" si="87"/>
        <v>0.83333333333333337</v>
      </c>
      <c r="AZ127" s="410">
        <f t="shared" si="71"/>
        <v>0</v>
      </c>
      <c r="BA127" s="411">
        <f t="shared" si="82"/>
        <v>1</v>
      </c>
      <c r="BB127" s="410">
        <f t="shared" si="72"/>
        <v>0.2</v>
      </c>
      <c r="BC127" s="411">
        <f t="shared" si="73"/>
        <v>0.8</v>
      </c>
      <c r="BD127" s="197"/>
      <c r="BE127" s="198"/>
      <c r="BF127" s="406"/>
      <c r="BG127" s="202"/>
      <c r="BH127" s="202"/>
      <c r="BI127" s="202"/>
      <c r="BJ127" s="202"/>
      <c r="BK127" s="202"/>
      <c r="BL127" s="406"/>
      <c r="BM127" s="202"/>
      <c r="BN127" s="202"/>
      <c r="BO127" s="202"/>
      <c r="BP127" s="202"/>
      <c r="BQ127" s="407"/>
      <c r="BR127" s="410">
        <f t="shared" ref="BR127:BW127" si="92">BR68/SUM($BR68:$BW68)</f>
        <v>4.5454545454545456E-2</v>
      </c>
      <c r="BS127" s="420">
        <f t="shared" si="92"/>
        <v>0.13636363636363635</v>
      </c>
      <c r="BT127" s="420">
        <f t="shared" si="92"/>
        <v>0</v>
      </c>
      <c r="BU127" s="420">
        <f t="shared" si="92"/>
        <v>0.81818181818181823</v>
      </c>
      <c r="BV127" s="420">
        <f t="shared" si="92"/>
        <v>0</v>
      </c>
      <c r="BW127" s="411">
        <f t="shared" si="92"/>
        <v>0</v>
      </c>
      <c r="BX127" s="406"/>
      <c r="BY127" s="202"/>
      <c r="BZ127" s="202"/>
      <c r="CA127" s="202"/>
      <c r="CB127" s="202"/>
      <c r="CC127" s="407"/>
      <c r="CD127" s="406" t="str">
        <f t="shared" ref="CD127:CI127" si="93">IFERROR(CD68/SUM($CD68:$CI68),"")</f>
        <v/>
      </c>
      <c r="CE127" s="202" t="str">
        <f t="shared" si="93"/>
        <v/>
      </c>
      <c r="CF127" s="202" t="str">
        <f t="shared" si="93"/>
        <v/>
      </c>
      <c r="CG127" s="202" t="str">
        <f t="shared" si="93"/>
        <v/>
      </c>
      <c r="CH127" s="202" t="str">
        <f t="shared" si="93"/>
        <v/>
      </c>
      <c r="CI127" s="407" t="str">
        <f t="shared" si="93"/>
        <v/>
      </c>
      <c r="CJ127" s="406"/>
      <c r="CK127" s="202"/>
      <c r="CL127" s="202"/>
      <c r="CM127" s="202"/>
      <c r="CN127" s="202"/>
      <c r="CO127" s="407"/>
      <c r="CP127" s="406"/>
      <c r="CQ127" s="202"/>
      <c r="CR127" s="202"/>
      <c r="CS127" s="202"/>
      <c r="CT127" s="202"/>
      <c r="CU127" s="407"/>
      <c r="CV127" s="406"/>
      <c r="CW127" s="202"/>
      <c r="CX127" s="202"/>
      <c r="CY127" s="202"/>
      <c r="CZ127" s="202"/>
      <c r="DA127" s="407"/>
      <c r="DB127" s="406"/>
      <c r="DC127" s="202"/>
      <c r="DD127" s="202"/>
      <c r="DE127" s="202"/>
      <c r="DF127" s="202"/>
      <c r="DG127" s="407"/>
      <c r="DH127" s="406"/>
      <c r="DI127" s="202"/>
      <c r="DJ127" s="202"/>
      <c r="DK127" s="202"/>
      <c r="DL127" s="202"/>
      <c r="DM127" s="407"/>
      <c r="DN127" s="406"/>
      <c r="DO127" s="202"/>
      <c r="DP127" s="202"/>
      <c r="DQ127" s="202"/>
      <c r="DR127" s="202"/>
      <c r="DS127" s="407"/>
      <c r="DT127" s="406"/>
      <c r="DU127" s="202"/>
      <c r="DV127" s="202"/>
      <c r="DW127" s="202"/>
      <c r="DX127" s="202"/>
      <c r="DY127" s="407"/>
      <c r="DZ127" s="406"/>
      <c r="EA127" s="202"/>
      <c r="EB127" s="202"/>
      <c r="EC127" s="202"/>
      <c r="ED127" s="202"/>
      <c r="EE127" s="407"/>
      <c r="EF127" s="196">
        <f t="shared" si="49"/>
        <v>6</v>
      </c>
      <c r="EG127" s="202"/>
      <c r="EH127" s="579">
        <v>6</v>
      </c>
      <c r="EI127" s="603">
        <f t="shared" si="65"/>
        <v>0.34328759778797918</v>
      </c>
      <c r="EJ127" s="603">
        <f t="shared" si="66"/>
        <v>0.65671240221202087</v>
      </c>
      <c r="EK127" s="579">
        <v>6</v>
      </c>
      <c r="EL127" s="603">
        <f t="shared" si="67"/>
        <v>0.12466969893870478</v>
      </c>
      <c r="EM127" s="603">
        <f t="shared" si="68"/>
        <v>0.87533030106129528</v>
      </c>
      <c r="EN127" s="579">
        <v>6</v>
      </c>
      <c r="EO127" s="603">
        <f t="shared" si="69"/>
        <v>0.50725102192493499</v>
      </c>
      <c r="EP127" s="603">
        <f t="shared" si="70"/>
        <v>0.49274897807506507</v>
      </c>
      <c r="EQ127" s="580"/>
      <c r="ER127" s="580"/>
      <c r="ES127" s="519"/>
      <c r="ET127" s="519"/>
      <c r="EU127" s="580"/>
      <c r="EV127" s="580"/>
      <c r="EW127" s="580"/>
      <c r="EX127" s="580"/>
      <c r="EY127" s="580"/>
      <c r="EZ127" s="580"/>
      <c r="FA127" s="580"/>
      <c r="FB127" s="580"/>
      <c r="FC127" s="580"/>
      <c r="FD127" s="580"/>
      <c r="FE127" s="580"/>
      <c r="FF127" s="580"/>
      <c r="FG127" s="580"/>
      <c r="FH127" s="580"/>
    </row>
    <row r="128" spans="1:164" x14ac:dyDescent="0.2">
      <c r="A128" s="180">
        <v>7</v>
      </c>
      <c r="B128" s="406"/>
      <c r="C128" s="407"/>
      <c r="D128" s="406"/>
      <c r="E128" s="407"/>
      <c r="F128" s="409"/>
      <c r="G128" s="409"/>
      <c r="H128" s="406"/>
      <c r="I128" s="407"/>
      <c r="J128" s="408">
        <f t="shared" si="76"/>
        <v>0.49295774647887325</v>
      </c>
      <c r="K128" s="408">
        <f t="shared" si="77"/>
        <v>0.50704225352112675</v>
      </c>
      <c r="L128" s="410">
        <f t="shared" si="50"/>
        <v>0.34482758620689657</v>
      </c>
      <c r="M128" s="411">
        <f t="shared" si="51"/>
        <v>0.65517241379310343</v>
      </c>
      <c r="N128" s="408">
        <f t="shared" si="52"/>
        <v>0.6875</v>
      </c>
      <c r="O128" s="408">
        <f t="shared" si="53"/>
        <v>0.3125</v>
      </c>
      <c r="P128" s="410">
        <f>P69/SUM(P69:Q69)</f>
        <v>0.3644859813084112</v>
      </c>
      <c r="Q128" s="411">
        <f>Q69/SUM(P69:Q69)</f>
        <v>0.63551401869158874</v>
      </c>
      <c r="R128" s="409"/>
      <c r="S128" s="409"/>
      <c r="T128" s="406"/>
      <c r="U128" s="407"/>
      <c r="V128" s="408">
        <f>V69/SUM(V69:W69)</f>
        <v>0.33333333333333331</v>
      </c>
      <c r="W128" s="408">
        <f>W69/SUM(V69:W69)</f>
        <v>0.66666666666666663</v>
      </c>
      <c r="X128" s="410">
        <f t="shared" si="54"/>
        <v>0.2</v>
      </c>
      <c r="Y128" s="411">
        <f t="shared" si="55"/>
        <v>0.8</v>
      </c>
      <c r="Z128" s="408">
        <f t="shared" si="56"/>
        <v>0.8571428571428571</v>
      </c>
      <c r="AA128" s="408">
        <f t="shared" si="57"/>
        <v>0.14285714285714285</v>
      </c>
      <c r="AB128" s="406"/>
      <c r="AC128" s="407"/>
      <c r="AD128" s="409"/>
      <c r="AE128" s="409"/>
      <c r="AF128" s="406"/>
      <c r="AG128" s="202"/>
      <c r="AH128" s="406"/>
      <c r="AI128" s="415"/>
      <c r="AJ128" s="202"/>
      <c r="AK128" s="407"/>
      <c r="AL128" s="409"/>
      <c r="AM128" s="409"/>
      <c r="AN128" s="406"/>
      <c r="AO128" s="407"/>
      <c r="AP128" s="408">
        <f>AP69/SUM(AP69:AQ69)</f>
        <v>0.25</v>
      </c>
      <c r="AQ128" s="408">
        <f>AQ69/SUM(AP69:AQ69)</f>
        <v>0.75</v>
      </c>
      <c r="AR128" s="410">
        <f>AR69/SUM(AR69:AS69)</f>
        <v>0.15384615384615385</v>
      </c>
      <c r="AS128" s="411">
        <f>AS69/SUM(AR69:AS69)</f>
        <v>0.84615384615384615</v>
      </c>
      <c r="AT128" s="408">
        <f t="shared" si="78"/>
        <v>0.17647058823529413</v>
      </c>
      <c r="AU128" s="408">
        <f t="shared" si="58"/>
        <v>0.82352941176470584</v>
      </c>
      <c r="AV128" s="410">
        <f t="shared" si="59"/>
        <v>0.2857142857142857</v>
      </c>
      <c r="AW128" s="411">
        <f t="shared" si="60"/>
        <v>0.7142857142857143</v>
      </c>
      <c r="AX128" s="408">
        <f t="shared" si="86"/>
        <v>0</v>
      </c>
      <c r="AY128" s="408">
        <f t="shared" si="87"/>
        <v>1</v>
      </c>
      <c r="AZ128" s="410">
        <f t="shared" si="71"/>
        <v>0.5</v>
      </c>
      <c r="BA128" s="411">
        <f t="shared" si="82"/>
        <v>0.5</v>
      </c>
      <c r="BB128" s="410">
        <f t="shared" si="72"/>
        <v>0.24</v>
      </c>
      <c r="BC128" s="411">
        <f t="shared" si="73"/>
        <v>0.76</v>
      </c>
      <c r="BD128" s="197"/>
      <c r="BE128" s="198"/>
      <c r="BF128" s="406"/>
      <c r="BG128" s="202"/>
      <c r="BH128" s="202"/>
      <c r="BI128" s="202"/>
      <c r="BJ128" s="202"/>
      <c r="BK128" s="202"/>
      <c r="BL128" s="406"/>
      <c r="BM128" s="202"/>
      <c r="BN128" s="202"/>
      <c r="BO128" s="202"/>
      <c r="BP128" s="202"/>
      <c r="BQ128" s="407"/>
      <c r="BR128" s="410">
        <f t="shared" ref="BR128:BW128" si="94">BR69/SUM($BR69:$BW69)</f>
        <v>0.10344827586206896</v>
      </c>
      <c r="BS128" s="420">
        <f t="shared" si="94"/>
        <v>6.8965517241379309E-2</v>
      </c>
      <c r="BT128" s="420">
        <f t="shared" si="94"/>
        <v>0</v>
      </c>
      <c r="BU128" s="420">
        <f t="shared" si="94"/>
        <v>0.81034482758620685</v>
      </c>
      <c r="BV128" s="420">
        <f t="shared" si="94"/>
        <v>1.7241379310344827E-2</v>
      </c>
      <c r="BW128" s="411">
        <f t="shared" si="94"/>
        <v>0</v>
      </c>
      <c r="BX128" s="406"/>
      <c r="BY128" s="202"/>
      <c r="BZ128" s="202"/>
      <c r="CA128" s="202"/>
      <c r="CB128" s="202"/>
      <c r="CC128" s="407"/>
      <c r="CD128" s="406" t="str">
        <f t="shared" ref="CD128:CI128" si="95">IFERROR(CD69/SUM($CD69:$CI69),"")</f>
        <v/>
      </c>
      <c r="CE128" s="202" t="str">
        <f t="shared" si="95"/>
        <v/>
      </c>
      <c r="CF128" s="202" t="str">
        <f t="shared" si="95"/>
        <v/>
      </c>
      <c r="CG128" s="202" t="str">
        <f t="shared" si="95"/>
        <v/>
      </c>
      <c r="CH128" s="202" t="str">
        <f t="shared" si="95"/>
        <v/>
      </c>
      <c r="CI128" s="407" t="str">
        <f t="shared" si="95"/>
        <v/>
      </c>
      <c r="CJ128" s="406"/>
      <c r="CK128" s="202"/>
      <c r="CL128" s="202"/>
      <c r="CM128" s="202"/>
      <c r="CN128" s="202"/>
      <c r="CO128" s="407"/>
      <c r="CP128" s="406"/>
      <c r="CQ128" s="202"/>
      <c r="CR128" s="202"/>
      <c r="CS128" s="202"/>
      <c r="CT128" s="202"/>
      <c r="CU128" s="407"/>
      <c r="CV128" s="406"/>
      <c r="CW128" s="202"/>
      <c r="CX128" s="202"/>
      <c r="CY128" s="202"/>
      <c r="CZ128" s="202"/>
      <c r="DA128" s="407"/>
      <c r="DB128" s="406"/>
      <c r="DC128" s="202"/>
      <c r="DD128" s="202"/>
      <c r="DE128" s="202"/>
      <c r="DF128" s="202"/>
      <c r="DG128" s="407"/>
      <c r="DH128" s="406"/>
      <c r="DI128" s="202"/>
      <c r="DJ128" s="202"/>
      <c r="DK128" s="202"/>
      <c r="DL128" s="202"/>
      <c r="DM128" s="407"/>
      <c r="DN128" s="406"/>
      <c r="DO128" s="202"/>
      <c r="DP128" s="202"/>
      <c r="DQ128" s="202"/>
      <c r="DR128" s="202"/>
      <c r="DS128" s="407"/>
      <c r="DT128" s="406"/>
      <c r="DU128" s="202"/>
      <c r="DV128" s="202"/>
      <c r="DW128" s="202"/>
      <c r="DX128" s="202"/>
      <c r="DY128" s="407"/>
      <c r="DZ128" s="406"/>
      <c r="EA128" s="202"/>
      <c r="EB128" s="202"/>
      <c r="EC128" s="202"/>
      <c r="ED128" s="202"/>
      <c r="EE128" s="407"/>
      <c r="EF128" s="196">
        <f t="shared" si="49"/>
        <v>7</v>
      </c>
      <c r="EG128" s="202"/>
      <c r="EH128" s="579">
        <v>7</v>
      </c>
      <c r="EI128" s="603">
        <f t="shared" si="65"/>
        <v>0.34901989516186471</v>
      </c>
      <c r="EJ128" s="603">
        <f t="shared" si="66"/>
        <v>0.65098010483813529</v>
      </c>
      <c r="EK128" s="579">
        <v>7</v>
      </c>
      <c r="EL128" s="603">
        <f t="shared" si="67"/>
        <v>0.22943300397081914</v>
      </c>
      <c r="EM128" s="603">
        <f t="shared" si="68"/>
        <v>0.77056699602918077</v>
      </c>
      <c r="EN128" s="579">
        <v>7</v>
      </c>
      <c r="EO128" s="603">
        <f t="shared" si="69"/>
        <v>0.46860678635291025</v>
      </c>
      <c r="EP128" s="603">
        <f t="shared" si="70"/>
        <v>0.53139321364708969</v>
      </c>
      <c r="EQ128" s="580"/>
      <c r="ER128" s="580"/>
      <c r="ES128" s="519"/>
      <c r="ET128" s="519"/>
      <c r="EU128" s="580"/>
      <c r="EV128" s="580"/>
      <c r="EW128" s="580"/>
      <c r="EX128" s="580"/>
      <c r="EY128" s="580"/>
      <c r="EZ128" s="580"/>
      <c r="FA128" s="580"/>
      <c r="FB128" s="580"/>
      <c r="FC128" s="580"/>
      <c r="FD128" s="580"/>
      <c r="FE128" s="580"/>
      <c r="FF128" s="580"/>
      <c r="FG128" s="580"/>
      <c r="FH128" s="580"/>
    </row>
    <row r="129" spans="1:164" x14ac:dyDescent="0.2">
      <c r="A129" s="180">
        <v>8</v>
      </c>
      <c r="B129" s="406"/>
      <c r="C129" s="407"/>
      <c r="D129" s="406"/>
      <c r="E129" s="407"/>
      <c r="F129" s="409"/>
      <c r="G129" s="409"/>
      <c r="H129" s="406"/>
      <c r="I129" s="407"/>
      <c r="J129" s="408">
        <f t="shared" si="76"/>
        <v>0.30188679245283018</v>
      </c>
      <c r="K129" s="408">
        <f t="shared" si="77"/>
        <v>0.69811320754716977</v>
      </c>
      <c r="L129" s="406"/>
      <c r="M129" s="407"/>
      <c r="N129" s="409"/>
      <c r="O129" s="409"/>
      <c r="P129" s="406"/>
      <c r="Q129" s="407"/>
      <c r="R129" s="409"/>
      <c r="S129" s="409"/>
      <c r="T129" s="406"/>
      <c r="U129" s="407"/>
      <c r="V129" s="408">
        <f>V70/SUM(V70:W70)</f>
        <v>0.69565217391304346</v>
      </c>
      <c r="W129" s="408">
        <f>W70/SUM(V70:W70)</f>
        <v>0.30434782608695654</v>
      </c>
      <c r="X129" s="410">
        <f t="shared" si="54"/>
        <v>0.1111111111111111</v>
      </c>
      <c r="Y129" s="411">
        <f t="shared" si="55"/>
        <v>0.88888888888888884</v>
      </c>
      <c r="Z129" s="408">
        <f t="shared" si="56"/>
        <v>0.66666666666666663</v>
      </c>
      <c r="AA129" s="408">
        <f t="shared" si="57"/>
        <v>0.33333333333333331</v>
      </c>
      <c r="AB129" s="410">
        <f>AB70/SUM(AB70:AC70)</f>
        <v>0.25</v>
      </c>
      <c r="AC129" s="411">
        <f>AC70/SUM(AB70:AC70)</f>
        <v>0.75</v>
      </c>
      <c r="AD129" s="409"/>
      <c r="AE129" s="409"/>
      <c r="AF129" s="406"/>
      <c r="AG129" s="202"/>
      <c r="AH129" s="406"/>
      <c r="AI129" s="415"/>
      <c r="AJ129" s="202"/>
      <c r="AK129" s="407"/>
      <c r="AL129" s="409"/>
      <c r="AM129" s="409"/>
      <c r="AN129" s="406"/>
      <c r="AO129" s="407"/>
      <c r="AP129" s="409"/>
      <c r="AQ129" s="409"/>
      <c r="AR129" s="410">
        <f>AR70/SUM(AR70:AS70)</f>
        <v>0.125</v>
      </c>
      <c r="AS129" s="411">
        <f>AS70/SUM(AR70:AS70)</f>
        <v>0.875</v>
      </c>
      <c r="AT129" s="408">
        <f t="shared" si="78"/>
        <v>0.2</v>
      </c>
      <c r="AU129" s="408">
        <f t="shared" si="58"/>
        <v>0.8</v>
      </c>
      <c r="AV129" s="410">
        <f t="shared" si="59"/>
        <v>0.27777777777777779</v>
      </c>
      <c r="AW129" s="411">
        <f t="shared" si="60"/>
        <v>0.72222222222222221</v>
      </c>
      <c r="AX129" s="408">
        <f t="shared" si="86"/>
        <v>1</v>
      </c>
      <c r="AY129" s="408">
        <f t="shared" si="87"/>
        <v>0</v>
      </c>
      <c r="AZ129" s="410">
        <f t="shared" si="71"/>
        <v>0.3</v>
      </c>
      <c r="BA129" s="411">
        <f t="shared" si="82"/>
        <v>0.7</v>
      </c>
      <c r="BB129" s="406"/>
      <c r="BC129" s="407"/>
      <c r="BD129" s="197"/>
      <c r="BE129" s="198"/>
      <c r="BF129" s="406"/>
      <c r="BG129" s="202"/>
      <c r="BH129" s="202"/>
      <c r="BI129" s="202"/>
      <c r="BJ129" s="202"/>
      <c r="BK129" s="202"/>
      <c r="BL129" s="410">
        <f t="shared" ref="BL129:BQ133" si="96">BL70/SUM($BL70:$BQ70)</f>
        <v>0</v>
      </c>
      <c r="BM129" s="420">
        <f t="shared" si="96"/>
        <v>0</v>
      </c>
      <c r="BN129" s="420">
        <f t="shared" si="96"/>
        <v>0</v>
      </c>
      <c r="BO129" s="420">
        <f t="shared" si="96"/>
        <v>1</v>
      </c>
      <c r="BP129" s="420">
        <f t="shared" si="96"/>
        <v>0</v>
      </c>
      <c r="BQ129" s="411">
        <f t="shared" si="96"/>
        <v>0</v>
      </c>
      <c r="BR129" s="410">
        <f t="shared" ref="BR129:BW129" si="97">BR70/SUM($BR70:$BW70)</f>
        <v>0</v>
      </c>
      <c r="BS129" s="420">
        <f t="shared" si="97"/>
        <v>0</v>
      </c>
      <c r="BT129" s="420">
        <f t="shared" si="97"/>
        <v>0</v>
      </c>
      <c r="BU129" s="420">
        <f t="shared" si="97"/>
        <v>1</v>
      </c>
      <c r="BV129" s="420">
        <f t="shared" si="97"/>
        <v>0</v>
      </c>
      <c r="BW129" s="411">
        <f t="shared" si="97"/>
        <v>0</v>
      </c>
      <c r="BX129" s="410">
        <f>BX70/SUM($BX70:$CC70)</f>
        <v>0.2</v>
      </c>
      <c r="BY129" s="420">
        <f t="shared" ref="BY129:CC129" si="98">BY70/SUM($BX70:$CC70)</f>
        <v>0.2</v>
      </c>
      <c r="BZ129" s="420">
        <f t="shared" si="98"/>
        <v>0</v>
      </c>
      <c r="CA129" s="420">
        <f t="shared" si="98"/>
        <v>0.6</v>
      </c>
      <c r="CB129" s="420">
        <f t="shared" si="98"/>
        <v>0</v>
      </c>
      <c r="CC129" s="411">
        <f t="shared" si="98"/>
        <v>0</v>
      </c>
      <c r="CD129" s="406" t="str">
        <f t="shared" ref="CD129:CI129" si="99">IFERROR(CD70/SUM($CD70:$CI70),"")</f>
        <v/>
      </c>
      <c r="CE129" s="202" t="str">
        <f t="shared" si="99"/>
        <v/>
      </c>
      <c r="CF129" s="202" t="str">
        <f t="shared" si="99"/>
        <v/>
      </c>
      <c r="CG129" s="202" t="str">
        <f t="shared" si="99"/>
        <v/>
      </c>
      <c r="CH129" s="202" t="str">
        <f t="shared" si="99"/>
        <v/>
      </c>
      <c r="CI129" s="407" t="str">
        <f t="shared" si="99"/>
        <v/>
      </c>
      <c r="CJ129" s="406"/>
      <c r="CK129" s="202"/>
      <c r="CL129" s="202"/>
      <c r="CM129" s="202"/>
      <c r="CN129" s="202"/>
      <c r="CO129" s="407"/>
      <c r="CP129" s="406"/>
      <c r="CQ129" s="202"/>
      <c r="CR129" s="202"/>
      <c r="CS129" s="202"/>
      <c r="CT129" s="202"/>
      <c r="CU129" s="407"/>
      <c r="CV129" s="406"/>
      <c r="CW129" s="202"/>
      <c r="CX129" s="202"/>
      <c r="CY129" s="202"/>
      <c r="CZ129" s="202"/>
      <c r="DA129" s="407"/>
      <c r="DB129" s="406"/>
      <c r="DC129" s="202"/>
      <c r="DD129" s="202"/>
      <c r="DE129" s="202"/>
      <c r="DF129" s="202"/>
      <c r="DG129" s="407"/>
      <c r="DH129" s="406"/>
      <c r="DI129" s="202"/>
      <c r="DJ129" s="202"/>
      <c r="DK129" s="202"/>
      <c r="DL129" s="202"/>
      <c r="DM129" s="407"/>
      <c r="DN129" s="406"/>
      <c r="DO129" s="202"/>
      <c r="DP129" s="202"/>
      <c r="DQ129" s="202"/>
      <c r="DR129" s="202"/>
      <c r="DS129" s="407"/>
      <c r="DT129" s="406"/>
      <c r="DU129" s="202"/>
      <c r="DV129" s="202"/>
      <c r="DW129" s="202"/>
      <c r="DX129" s="202"/>
      <c r="DY129" s="407"/>
      <c r="DZ129" s="406"/>
      <c r="EA129" s="202"/>
      <c r="EB129" s="202"/>
      <c r="EC129" s="202"/>
      <c r="ED129" s="202"/>
      <c r="EE129" s="407"/>
      <c r="EF129" s="196">
        <f t="shared" si="49"/>
        <v>8</v>
      </c>
      <c r="EG129" s="202"/>
      <c r="EH129" s="579">
        <v>8</v>
      </c>
      <c r="EI129" s="603">
        <f t="shared" si="65"/>
        <v>0.39280945219214292</v>
      </c>
      <c r="EJ129" s="603">
        <f t="shared" si="66"/>
        <v>0.60719054780785719</v>
      </c>
      <c r="EK129" s="579">
        <v>8</v>
      </c>
      <c r="EL129" s="603">
        <f t="shared" si="67"/>
        <v>0.38055555555555559</v>
      </c>
      <c r="EM129" s="603">
        <f t="shared" si="68"/>
        <v>0.61944444444444446</v>
      </c>
      <c r="EN129" s="579">
        <v>8</v>
      </c>
      <c r="EO129" s="603">
        <f t="shared" si="69"/>
        <v>0.40506334882873024</v>
      </c>
      <c r="EP129" s="603">
        <f t="shared" si="70"/>
        <v>0.5949366511712697</v>
      </c>
      <c r="EQ129" s="580"/>
      <c r="ER129" s="580"/>
      <c r="ES129" s="519"/>
      <c r="ET129" s="519"/>
      <c r="EU129" s="580"/>
      <c r="EV129" s="580"/>
      <c r="EW129" s="580"/>
      <c r="EX129" s="580"/>
      <c r="EY129" s="580"/>
      <c r="EZ129" s="580"/>
      <c r="FA129" s="580"/>
      <c r="FB129" s="580"/>
      <c r="FC129" s="580"/>
      <c r="FD129" s="580"/>
      <c r="FE129" s="580"/>
      <c r="FF129" s="580"/>
      <c r="FG129" s="580"/>
      <c r="FH129" s="580"/>
    </row>
    <row r="130" spans="1:164" x14ac:dyDescent="0.2">
      <c r="A130" s="180">
        <v>9</v>
      </c>
      <c r="B130" s="406"/>
      <c r="C130" s="407"/>
      <c r="D130" s="406"/>
      <c r="E130" s="407"/>
      <c r="F130" s="409"/>
      <c r="G130" s="409"/>
      <c r="H130" s="406"/>
      <c r="I130" s="407"/>
      <c r="J130" s="409"/>
      <c r="K130" s="409"/>
      <c r="L130" s="406"/>
      <c r="M130" s="407"/>
      <c r="N130" s="409"/>
      <c r="O130" s="409"/>
      <c r="P130" s="406"/>
      <c r="Q130" s="407"/>
      <c r="R130" s="409"/>
      <c r="S130" s="409"/>
      <c r="T130" s="406"/>
      <c r="U130" s="407"/>
      <c r="V130" s="408">
        <f>V71/SUM(V71:W71)</f>
        <v>0.33333333333333331</v>
      </c>
      <c r="W130" s="408">
        <f>W71/SUM(V71:W71)</f>
        <v>0.66666666666666663</v>
      </c>
      <c r="X130" s="406"/>
      <c r="Y130" s="407"/>
      <c r="Z130" s="409"/>
      <c r="AA130" s="409"/>
      <c r="AB130" s="406"/>
      <c r="AC130" s="407"/>
      <c r="AD130" s="409"/>
      <c r="AE130" s="409"/>
      <c r="AF130" s="406"/>
      <c r="AG130" s="202"/>
      <c r="AH130" s="406"/>
      <c r="AI130" s="415"/>
      <c r="AJ130" s="202"/>
      <c r="AK130" s="407"/>
      <c r="AL130" s="409"/>
      <c r="AM130" s="409"/>
      <c r="AN130" s="410">
        <f>AN71/SUM(AN71:AO71)</f>
        <v>0</v>
      </c>
      <c r="AO130" s="411">
        <f>AO71/SUM(AN71:AO71)</f>
        <v>1</v>
      </c>
      <c r="AP130" s="409"/>
      <c r="AQ130" s="409"/>
      <c r="AR130" s="410">
        <f>AR71/SUM(AR71:AS71)</f>
        <v>8.3333333333333329E-2</v>
      </c>
      <c r="AS130" s="411">
        <f>AS71/SUM(AR71:AS71)</f>
        <v>0.91666666666666663</v>
      </c>
      <c r="AT130" s="408">
        <f t="shared" si="78"/>
        <v>0.15625</v>
      </c>
      <c r="AU130" s="408">
        <f t="shared" si="58"/>
        <v>0.84375</v>
      </c>
      <c r="AV130" s="410">
        <f t="shared" si="59"/>
        <v>0.125</v>
      </c>
      <c r="AW130" s="411">
        <f t="shared" si="60"/>
        <v>0.875</v>
      </c>
      <c r="AX130" s="408">
        <f t="shared" si="86"/>
        <v>0</v>
      </c>
      <c r="AY130" s="408">
        <f t="shared" si="87"/>
        <v>1</v>
      </c>
      <c r="AZ130" s="410">
        <f t="shared" si="71"/>
        <v>0.5</v>
      </c>
      <c r="BA130" s="411">
        <f t="shared" si="82"/>
        <v>0.5</v>
      </c>
      <c r="BB130" s="406"/>
      <c r="BC130" s="407"/>
      <c r="BD130" s="410">
        <f>BD71/SUM(BD71:BE71)</f>
        <v>0</v>
      </c>
      <c r="BE130" s="411">
        <f>BE71/SUM(BD71:BE71)</f>
        <v>1</v>
      </c>
      <c r="BF130" s="406"/>
      <c r="BG130" s="202"/>
      <c r="BH130" s="202"/>
      <c r="BI130" s="202"/>
      <c r="BJ130" s="202"/>
      <c r="BK130" s="202"/>
      <c r="BL130" s="410">
        <f t="shared" si="96"/>
        <v>0.16666666666666666</v>
      </c>
      <c r="BM130" s="420">
        <f t="shared" si="96"/>
        <v>0</v>
      </c>
      <c r="BN130" s="420">
        <f t="shared" si="96"/>
        <v>0</v>
      </c>
      <c r="BO130" s="420">
        <f t="shared" si="96"/>
        <v>0.83333333333333337</v>
      </c>
      <c r="BP130" s="420">
        <f t="shared" si="96"/>
        <v>0</v>
      </c>
      <c r="BQ130" s="411">
        <f t="shared" si="96"/>
        <v>0</v>
      </c>
      <c r="BR130" s="410">
        <f t="shared" ref="BR130:BW130" si="100">BR71/SUM($BR71:$BW71)</f>
        <v>0</v>
      </c>
      <c r="BS130" s="420">
        <f t="shared" si="100"/>
        <v>0</v>
      </c>
      <c r="BT130" s="420">
        <f t="shared" si="100"/>
        <v>0</v>
      </c>
      <c r="BU130" s="420">
        <f t="shared" si="100"/>
        <v>1</v>
      </c>
      <c r="BV130" s="420">
        <f t="shared" si="100"/>
        <v>0</v>
      </c>
      <c r="BW130" s="411">
        <f t="shared" si="100"/>
        <v>0</v>
      </c>
      <c r="BX130" s="410">
        <f t="shared" ref="BX130:BX142" si="101">BX71/SUM($BX71:$CC71)</f>
        <v>0</v>
      </c>
      <c r="BY130" s="420">
        <f t="shared" ref="BY130:CC130" si="102">BY71/SUM($BX71:$CC71)</f>
        <v>5.5555555555555552E-2</v>
      </c>
      <c r="BZ130" s="420">
        <f t="shared" si="102"/>
        <v>0</v>
      </c>
      <c r="CA130" s="420">
        <f t="shared" si="102"/>
        <v>0.94444444444444442</v>
      </c>
      <c r="CB130" s="420">
        <f t="shared" si="102"/>
        <v>0</v>
      </c>
      <c r="CC130" s="411">
        <f t="shared" si="102"/>
        <v>0</v>
      </c>
      <c r="CD130" s="406">
        <f t="shared" ref="CD130:CI130" si="103">IFERROR(CD71/SUM($CD71:$CI71),"")</f>
        <v>0</v>
      </c>
      <c r="CE130" s="202">
        <f t="shared" si="103"/>
        <v>0</v>
      </c>
      <c r="CF130" s="202">
        <f t="shared" si="103"/>
        <v>0</v>
      </c>
      <c r="CG130" s="202">
        <f t="shared" si="103"/>
        <v>1</v>
      </c>
      <c r="CH130" s="202">
        <f t="shared" si="103"/>
        <v>0</v>
      </c>
      <c r="CI130" s="407">
        <f t="shared" si="103"/>
        <v>0</v>
      </c>
      <c r="CJ130" s="406"/>
      <c r="CK130" s="202"/>
      <c r="CL130" s="202"/>
      <c r="CM130" s="202"/>
      <c r="CN130" s="202"/>
      <c r="CO130" s="407"/>
      <c r="CP130" s="406"/>
      <c r="CQ130" s="202"/>
      <c r="CR130" s="202"/>
      <c r="CS130" s="202"/>
      <c r="CT130" s="202"/>
      <c r="CU130" s="407"/>
      <c r="CV130" s="406"/>
      <c r="CW130" s="202"/>
      <c r="CX130" s="202"/>
      <c r="CY130" s="202"/>
      <c r="CZ130" s="202"/>
      <c r="DA130" s="407"/>
      <c r="DB130" s="406"/>
      <c r="DC130" s="202"/>
      <c r="DD130" s="202"/>
      <c r="DE130" s="202"/>
      <c r="DF130" s="202"/>
      <c r="DG130" s="407"/>
      <c r="DH130" s="406"/>
      <c r="DI130" s="202"/>
      <c r="DJ130" s="202"/>
      <c r="DK130" s="202"/>
      <c r="DL130" s="202"/>
      <c r="DM130" s="407"/>
      <c r="DN130" s="406"/>
      <c r="DO130" s="202"/>
      <c r="DP130" s="202"/>
      <c r="DQ130" s="202"/>
      <c r="DR130" s="202"/>
      <c r="DS130" s="407"/>
      <c r="DT130" s="406"/>
      <c r="DU130" s="202"/>
      <c r="DV130" s="202"/>
      <c r="DW130" s="202"/>
      <c r="DX130" s="202"/>
      <c r="DY130" s="407"/>
      <c r="DZ130" s="406"/>
      <c r="EA130" s="202"/>
      <c r="EB130" s="202"/>
      <c r="EC130" s="202"/>
      <c r="ED130" s="202"/>
      <c r="EE130" s="407"/>
      <c r="EF130" s="196">
        <f t="shared" si="49"/>
        <v>9</v>
      </c>
      <c r="EG130" s="202"/>
      <c r="EH130" s="579">
        <v>9</v>
      </c>
      <c r="EI130" s="603">
        <f t="shared" si="65"/>
        <v>0.14973958333333331</v>
      </c>
      <c r="EJ130" s="603">
        <f t="shared" si="66"/>
        <v>0.85026041666666674</v>
      </c>
      <c r="EK130" s="579">
        <v>9</v>
      </c>
      <c r="EL130" s="603">
        <f t="shared" si="67"/>
        <v>0.12351190476190477</v>
      </c>
      <c r="EM130" s="603">
        <f t="shared" si="68"/>
        <v>0.87648809523809523</v>
      </c>
      <c r="EN130" s="579">
        <v>9</v>
      </c>
      <c r="EO130" s="603">
        <f t="shared" si="69"/>
        <v>0.33333333333333331</v>
      </c>
      <c r="EP130" s="603">
        <f t="shared" si="70"/>
        <v>0.66666666666666663</v>
      </c>
      <c r="EQ130" s="580"/>
      <c r="ER130" s="580"/>
      <c r="ES130" s="519"/>
      <c r="ET130" s="519"/>
      <c r="EU130" s="580"/>
      <c r="EV130" s="580"/>
      <c r="EW130" s="580"/>
      <c r="EX130" s="580"/>
      <c r="EY130" s="580"/>
      <c r="EZ130" s="580"/>
      <c r="FA130" s="580"/>
      <c r="FB130" s="580"/>
      <c r="FC130" s="580"/>
      <c r="FD130" s="580"/>
      <c r="FE130" s="580"/>
      <c r="FF130" s="580"/>
      <c r="FG130" s="580"/>
      <c r="FH130" s="580"/>
    </row>
    <row r="131" spans="1:164" x14ac:dyDescent="0.2">
      <c r="A131" s="180">
        <v>10</v>
      </c>
      <c r="B131" s="406"/>
      <c r="C131" s="407"/>
      <c r="D131" s="406"/>
      <c r="E131" s="407"/>
      <c r="F131" s="409"/>
      <c r="G131" s="409"/>
      <c r="H131" s="406"/>
      <c r="I131" s="407"/>
      <c r="J131" s="409"/>
      <c r="K131" s="409"/>
      <c r="L131" s="406"/>
      <c r="M131" s="407"/>
      <c r="N131" s="409"/>
      <c r="O131" s="409"/>
      <c r="P131" s="406"/>
      <c r="Q131" s="407"/>
      <c r="R131" s="409"/>
      <c r="S131" s="409"/>
      <c r="T131" s="410">
        <f>T72/SUM(T72:U72)</f>
        <v>0.33333333333333331</v>
      </c>
      <c r="U131" s="411">
        <f>U72/SUM(T72:U72)</f>
        <v>0.66666666666666663</v>
      </c>
      <c r="V131" s="409"/>
      <c r="W131" s="409"/>
      <c r="X131" s="406"/>
      <c r="Y131" s="407"/>
      <c r="Z131" s="409"/>
      <c r="AA131" s="409"/>
      <c r="AB131" s="406"/>
      <c r="AC131" s="407"/>
      <c r="AD131" s="408">
        <f>AD72/SUM(AD72:AE72)</f>
        <v>0</v>
      </c>
      <c r="AE131" s="408">
        <f>AE72/SUM(AD72:AE72)</f>
        <v>1</v>
      </c>
      <c r="AF131" s="406"/>
      <c r="AG131" s="202"/>
      <c r="AH131" s="406"/>
      <c r="AI131" s="415"/>
      <c r="AJ131" s="202"/>
      <c r="AK131" s="407"/>
      <c r="AL131" s="409"/>
      <c r="AM131" s="409"/>
      <c r="AN131" s="406"/>
      <c r="AO131" s="407"/>
      <c r="AP131" s="409"/>
      <c r="AQ131" s="409"/>
      <c r="AR131" s="406"/>
      <c r="AS131" s="407"/>
      <c r="AT131" s="408">
        <f t="shared" si="78"/>
        <v>3.8461538461538464E-2</v>
      </c>
      <c r="AU131" s="408">
        <f t="shared" si="58"/>
        <v>0.96153846153846156</v>
      </c>
      <c r="AV131" s="410">
        <f t="shared" si="59"/>
        <v>0.05</v>
      </c>
      <c r="AW131" s="411">
        <f t="shared" si="60"/>
        <v>0.95</v>
      </c>
      <c r="AX131" s="408">
        <f t="shared" si="86"/>
        <v>0</v>
      </c>
      <c r="AY131" s="408">
        <f t="shared" si="87"/>
        <v>1</v>
      </c>
      <c r="AZ131" s="410">
        <f t="shared" si="71"/>
        <v>0.25</v>
      </c>
      <c r="BA131" s="411">
        <f t="shared" si="82"/>
        <v>0.75</v>
      </c>
      <c r="BB131" s="406"/>
      <c r="BC131" s="407"/>
      <c r="BD131" s="197"/>
      <c r="BE131" s="198"/>
      <c r="BF131" s="406"/>
      <c r="BG131" s="202"/>
      <c r="BH131" s="202"/>
      <c r="BI131" s="202"/>
      <c r="BJ131" s="202"/>
      <c r="BK131" s="202"/>
      <c r="BL131" s="410">
        <f t="shared" si="96"/>
        <v>0.125</v>
      </c>
      <c r="BM131" s="420">
        <f t="shared" si="96"/>
        <v>0</v>
      </c>
      <c r="BN131" s="420">
        <f t="shared" si="96"/>
        <v>0</v>
      </c>
      <c r="BO131" s="420">
        <f t="shared" si="96"/>
        <v>0.875</v>
      </c>
      <c r="BP131" s="420">
        <f t="shared" si="96"/>
        <v>0</v>
      </c>
      <c r="BQ131" s="411">
        <f t="shared" si="96"/>
        <v>0</v>
      </c>
      <c r="BR131" s="410">
        <f t="shared" ref="BR131:BW131" si="104">BR72/SUM($BR72:$BW72)</f>
        <v>0</v>
      </c>
      <c r="BS131" s="420">
        <f t="shared" si="104"/>
        <v>0.375</v>
      </c>
      <c r="BT131" s="420">
        <f t="shared" si="104"/>
        <v>0</v>
      </c>
      <c r="BU131" s="420">
        <f t="shared" si="104"/>
        <v>0.625</v>
      </c>
      <c r="BV131" s="420">
        <f t="shared" si="104"/>
        <v>0</v>
      </c>
      <c r="BW131" s="411">
        <f t="shared" si="104"/>
        <v>0</v>
      </c>
      <c r="BX131" s="410">
        <f t="shared" si="101"/>
        <v>0</v>
      </c>
      <c r="BY131" s="420">
        <f t="shared" ref="BY131:CC131" si="105">BY72/SUM($BX72:$CC72)</f>
        <v>0</v>
      </c>
      <c r="BZ131" s="420">
        <f t="shared" si="105"/>
        <v>0</v>
      </c>
      <c r="CA131" s="420">
        <f t="shared" si="105"/>
        <v>1</v>
      </c>
      <c r="CB131" s="420">
        <f t="shared" si="105"/>
        <v>0</v>
      </c>
      <c r="CC131" s="411">
        <f t="shared" si="105"/>
        <v>0</v>
      </c>
      <c r="CD131" s="406" t="str">
        <f t="shared" ref="CD131:CI131" si="106">IFERROR(CD72/SUM($CD72:$CI72),"")</f>
        <v/>
      </c>
      <c r="CE131" s="202" t="str">
        <f t="shared" si="106"/>
        <v/>
      </c>
      <c r="CF131" s="202" t="str">
        <f t="shared" si="106"/>
        <v/>
      </c>
      <c r="CG131" s="202" t="str">
        <f t="shared" si="106"/>
        <v/>
      </c>
      <c r="CH131" s="202" t="str">
        <f t="shared" si="106"/>
        <v/>
      </c>
      <c r="CI131" s="407" t="str">
        <f t="shared" si="106"/>
        <v/>
      </c>
      <c r="CJ131" s="406"/>
      <c r="CK131" s="202"/>
      <c r="CL131" s="202"/>
      <c r="CM131" s="202"/>
      <c r="CN131" s="202"/>
      <c r="CO131" s="407"/>
      <c r="CP131" s="406"/>
      <c r="CQ131" s="202"/>
      <c r="CR131" s="202"/>
      <c r="CS131" s="202"/>
      <c r="CT131" s="202"/>
      <c r="CU131" s="407"/>
      <c r="CV131" s="406"/>
      <c r="CW131" s="202"/>
      <c r="CX131" s="202"/>
      <c r="CY131" s="202"/>
      <c r="CZ131" s="202"/>
      <c r="DA131" s="407"/>
      <c r="DB131" s="406"/>
      <c r="DC131" s="202"/>
      <c r="DD131" s="202"/>
      <c r="DE131" s="202"/>
      <c r="DF131" s="202"/>
      <c r="DG131" s="407"/>
      <c r="DH131" s="406"/>
      <c r="DI131" s="202"/>
      <c r="DJ131" s="202"/>
      <c r="DK131" s="202"/>
      <c r="DL131" s="202"/>
      <c r="DM131" s="407"/>
      <c r="DN131" s="406"/>
      <c r="DO131" s="202"/>
      <c r="DP131" s="202"/>
      <c r="DQ131" s="202"/>
      <c r="DR131" s="202"/>
      <c r="DS131" s="407"/>
      <c r="DT131" s="406"/>
      <c r="DU131" s="202"/>
      <c r="DV131" s="202"/>
      <c r="DW131" s="202"/>
      <c r="DX131" s="202"/>
      <c r="DY131" s="407"/>
      <c r="DZ131" s="406"/>
      <c r="EA131" s="202"/>
      <c r="EB131" s="202"/>
      <c r="EC131" s="202"/>
      <c r="ED131" s="202"/>
      <c r="EE131" s="407"/>
      <c r="EF131" s="196">
        <f t="shared" si="49"/>
        <v>10</v>
      </c>
      <c r="EG131" s="202"/>
      <c r="EH131" s="579">
        <v>10</v>
      </c>
      <c r="EI131" s="603">
        <f t="shared" si="65"/>
        <v>0.11196581196581197</v>
      </c>
      <c r="EJ131" s="603">
        <f t="shared" si="66"/>
        <v>0.8880341880341881</v>
      </c>
      <c r="EK131" s="579">
        <v>10</v>
      </c>
      <c r="EL131" s="603">
        <f t="shared" si="67"/>
        <v>8.461538461538462E-2</v>
      </c>
      <c r="EM131" s="603">
        <f t="shared" si="68"/>
        <v>0.91538461538461546</v>
      </c>
      <c r="EN131" s="579">
        <v>10</v>
      </c>
      <c r="EO131" s="603">
        <f t="shared" si="69"/>
        <v>0.16666666666666666</v>
      </c>
      <c r="EP131" s="603">
        <f t="shared" si="70"/>
        <v>0.83333333333333326</v>
      </c>
      <c r="EQ131" s="580"/>
      <c r="ER131" s="580"/>
      <c r="ES131" s="519"/>
      <c r="ET131" s="519"/>
      <c r="EU131" s="580"/>
      <c r="EV131" s="580"/>
      <c r="EW131" s="580"/>
      <c r="EX131" s="580"/>
      <c r="EY131" s="580"/>
      <c r="EZ131" s="580"/>
      <c r="FA131" s="580"/>
      <c r="FB131" s="580"/>
      <c r="FC131" s="580"/>
      <c r="FD131" s="580"/>
      <c r="FE131" s="580"/>
      <c r="FF131" s="580"/>
      <c r="FG131" s="580"/>
      <c r="FH131" s="580"/>
    </row>
    <row r="132" spans="1:164" x14ac:dyDescent="0.2">
      <c r="A132" s="180">
        <v>11</v>
      </c>
      <c r="B132" s="406"/>
      <c r="C132" s="407"/>
      <c r="D132" s="406"/>
      <c r="E132" s="407"/>
      <c r="F132" s="409"/>
      <c r="G132" s="409"/>
      <c r="H132" s="406"/>
      <c r="I132" s="407"/>
      <c r="J132" s="409"/>
      <c r="K132" s="409"/>
      <c r="L132" s="406"/>
      <c r="M132" s="407"/>
      <c r="N132" s="409"/>
      <c r="O132" s="409"/>
      <c r="P132" s="406"/>
      <c r="Q132" s="407"/>
      <c r="R132" s="409"/>
      <c r="S132" s="409"/>
      <c r="T132" s="406"/>
      <c r="U132" s="407"/>
      <c r="V132" s="408">
        <f>V73/SUM(V73:W73)</f>
        <v>5.8823529411764705E-2</v>
      </c>
      <c r="W132" s="408">
        <f>W73/SUM(V73:W73)</f>
        <v>0.94117647058823528</v>
      </c>
      <c r="X132" s="406"/>
      <c r="Y132" s="407"/>
      <c r="Z132" s="409"/>
      <c r="AA132" s="409"/>
      <c r="AB132" s="406"/>
      <c r="AC132" s="407"/>
      <c r="AD132" s="409"/>
      <c r="AE132" s="409"/>
      <c r="AF132" s="406"/>
      <c r="AG132" s="202"/>
      <c r="AH132" s="406"/>
      <c r="AI132" s="415"/>
      <c r="AJ132" s="202"/>
      <c r="AK132" s="407"/>
      <c r="AL132" s="409"/>
      <c r="AM132" s="409"/>
      <c r="AN132" s="406"/>
      <c r="AO132" s="407"/>
      <c r="AP132" s="409"/>
      <c r="AQ132" s="409"/>
      <c r="AR132" s="406"/>
      <c r="AS132" s="407"/>
      <c r="AT132" s="408">
        <f t="shared" si="78"/>
        <v>0.11538461538461539</v>
      </c>
      <c r="AU132" s="408">
        <f t="shared" si="58"/>
        <v>0.88461538461538458</v>
      </c>
      <c r="AV132" s="410">
        <f t="shared" si="59"/>
        <v>6.25E-2</v>
      </c>
      <c r="AW132" s="411">
        <f t="shared" si="60"/>
        <v>0.9375</v>
      </c>
      <c r="AX132" s="408">
        <f t="shared" si="86"/>
        <v>0</v>
      </c>
      <c r="AY132" s="408">
        <f t="shared" si="87"/>
        <v>1</v>
      </c>
      <c r="AZ132" s="406"/>
      <c r="BA132" s="407"/>
      <c r="BB132" s="406"/>
      <c r="BC132" s="407"/>
      <c r="BD132" s="197"/>
      <c r="BE132" s="198"/>
      <c r="BF132" s="406"/>
      <c r="BG132" s="202"/>
      <c r="BH132" s="202"/>
      <c r="BI132" s="202"/>
      <c r="BJ132" s="202"/>
      <c r="BK132" s="407"/>
      <c r="BL132" s="410">
        <f t="shared" si="96"/>
        <v>0</v>
      </c>
      <c r="BM132" s="420">
        <f t="shared" si="96"/>
        <v>0</v>
      </c>
      <c r="BN132" s="420">
        <f t="shared" si="96"/>
        <v>0</v>
      </c>
      <c r="BO132" s="420">
        <f t="shared" si="96"/>
        <v>1</v>
      </c>
      <c r="BP132" s="420">
        <f t="shared" si="96"/>
        <v>0</v>
      </c>
      <c r="BQ132" s="411">
        <f t="shared" si="96"/>
        <v>0</v>
      </c>
      <c r="BR132" s="410">
        <f t="shared" ref="BR132:BW132" si="107">BR73/SUM($BR73:$BW73)</f>
        <v>0</v>
      </c>
      <c r="BS132" s="420">
        <f t="shared" si="107"/>
        <v>0</v>
      </c>
      <c r="BT132" s="420">
        <f t="shared" si="107"/>
        <v>0</v>
      </c>
      <c r="BU132" s="420">
        <f t="shared" si="107"/>
        <v>0.95454545454545459</v>
      </c>
      <c r="BV132" s="420">
        <f t="shared" si="107"/>
        <v>4.5454545454545456E-2</v>
      </c>
      <c r="BW132" s="411">
        <f t="shared" si="107"/>
        <v>0</v>
      </c>
      <c r="BX132" s="410">
        <f t="shared" si="101"/>
        <v>6.6666666666666666E-2</v>
      </c>
      <c r="BY132" s="420">
        <f t="shared" ref="BY132:CC132" si="108">BY73/SUM($BX73:$CC73)</f>
        <v>0</v>
      </c>
      <c r="BZ132" s="420">
        <f t="shared" si="108"/>
        <v>0</v>
      </c>
      <c r="CA132" s="420">
        <f t="shared" si="108"/>
        <v>0.93333333333333335</v>
      </c>
      <c r="CB132" s="420">
        <f t="shared" si="108"/>
        <v>0</v>
      </c>
      <c r="CC132" s="411">
        <f t="shared" si="108"/>
        <v>0</v>
      </c>
      <c r="CD132" s="406" t="str">
        <f t="shared" ref="CD132:CI132" si="109">IFERROR(CD73/SUM($CD73:$CI73),"")</f>
        <v/>
      </c>
      <c r="CE132" s="202" t="str">
        <f t="shared" si="109"/>
        <v/>
      </c>
      <c r="CF132" s="202" t="str">
        <f t="shared" si="109"/>
        <v/>
      </c>
      <c r="CG132" s="202" t="str">
        <f t="shared" si="109"/>
        <v/>
      </c>
      <c r="CH132" s="202" t="str">
        <f t="shared" si="109"/>
        <v/>
      </c>
      <c r="CI132" s="407" t="str">
        <f t="shared" si="109"/>
        <v/>
      </c>
      <c r="CJ132" s="406"/>
      <c r="CK132" s="202"/>
      <c r="CL132" s="202"/>
      <c r="CM132" s="202"/>
      <c r="CN132" s="202"/>
      <c r="CO132" s="407"/>
      <c r="CP132" s="406"/>
      <c r="CQ132" s="202"/>
      <c r="CR132" s="202"/>
      <c r="CS132" s="202"/>
      <c r="CT132" s="202"/>
      <c r="CU132" s="407"/>
      <c r="CV132" s="406"/>
      <c r="CW132" s="202"/>
      <c r="CX132" s="202"/>
      <c r="CY132" s="202"/>
      <c r="CZ132" s="202"/>
      <c r="DA132" s="407"/>
      <c r="DB132" s="406"/>
      <c r="DC132" s="202"/>
      <c r="DD132" s="202"/>
      <c r="DE132" s="202"/>
      <c r="DF132" s="202"/>
      <c r="DG132" s="407"/>
      <c r="DH132" s="406"/>
      <c r="DI132" s="202"/>
      <c r="DJ132" s="202"/>
      <c r="DK132" s="202"/>
      <c r="DL132" s="202"/>
      <c r="DM132" s="407"/>
      <c r="DN132" s="406"/>
      <c r="DO132" s="202"/>
      <c r="DP132" s="202"/>
      <c r="DQ132" s="202"/>
      <c r="DR132" s="202"/>
      <c r="DS132" s="407"/>
      <c r="DT132" s="406"/>
      <c r="DU132" s="202"/>
      <c r="DV132" s="202"/>
      <c r="DW132" s="202"/>
      <c r="DX132" s="202"/>
      <c r="DY132" s="407"/>
      <c r="DZ132" s="406"/>
      <c r="EA132" s="202"/>
      <c r="EB132" s="202"/>
      <c r="EC132" s="202"/>
      <c r="ED132" s="202"/>
      <c r="EE132" s="407"/>
      <c r="EF132" s="196">
        <f t="shared" si="49"/>
        <v>11</v>
      </c>
      <c r="EG132" s="202"/>
      <c r="EH132" s="579">
        <v>11</v>
      </c>
      <c r="EI132" s="603">
        <f t="shared" si="65"/>
        <v>5.9177036199095021E-2</v>
      </c>
      <c r="EJ132" s="603">
        <f t="shared" si="66"/>
        <v>0.94082296380090491</v>
      </c>
      <c r="EK132" s="579">
        <v>11</v>
      </c>
      <c r="EL132" s="603">
        <f t="shared" si="67"/>
        <v>5.9294871794871799E-2</v>
      </c>
      <c r="EM132" s="603">
        <f t="shared" si="68"/>
        <v>0.94070512820512819</v>
      </c>
      <c r="EN132" s="579">
        <v>11</v>
      </c>
      <c r="EO132" s="603">
        <f t="shared" si="69"/>
        <v>5.8823529411764705E-2</v>
      </c>
      <c r="EP132" s="603">
        <f t="shared" si="70"/>
        <v>0.94117647058823528</v>
      </c>
      <c r="EQ132" s="580"/>
      <c r="ER132" s="580"/>
      <c r="ES132" s="519"/>
      <c r="ET132" s="519"/>
      <c r="EU132" s="580"/>
      <c r="EV132" s="580"/>
      <c r="EW132" s="580"/>
      <c r="EX132" s="580"/>
      <c r="EY132" s="580"/>
      <c r="EZ132" s="580"/>
      <c r="FA132" s="580"/>
      <c r="FB132" s="580"/>
      <c r="FC132" s="580"/>
      <c r="FD132" s="580"/>
      <c r="FE132" s="580"/>
      <c r="FF132" s="580"/>
      <c r="FG132" s="580"/>
      <c r="FH132" s="580"/>
    </row>
    <row r="133" spans="1:164" x14ac:dyDescent="0.2">
      <c r="A133" s="180">
        <v>12</v>
      </c>
      <c r="B133" s="406"/>
      <c r="C133" s="407"/>
      <c r="D133" s="406"/>
      <c r="E133" s="407"/>
      <c r="F133" s="409"/>
      <c r="G133" s="409"/>
      <c r="H133" s="406"/>
      <c r="I133" s="407"/>
      <c r="J133" s="409"/>
      <c r="K133" s="409"/>
      <c r="L133" s="406"/>
      <c r="M133" s="407"/>
      <c r="N133" s="409"/>
      <c r="O133" s="409"/>
      <c r="P133" s="406"/>
      <c r="Q133" s="407"/>
      <c r="R133" s="409"/>
      <c r="S133" s="409"/>
      <c r="T133" s="406"/>
      <c r="U133" s="407"/>
      <c r="V133" s="408">
        <f>V74/SUM(V74:W74)</f>
        <v>0.26315789473684209</v>
      </c>
      <c r="W133" s="408">
        <f>W74/SUM(V74:W74)</f>
        <v>0.73684210526315785</v>
      </c>
      <c r="X133" s="406"/>
      <c r="Y133" s="407"/>
      <c r="Z133" s="409"/>
      <c r="AA133" s="409"/>
      <c r="AB133" s="406"/>
      <c r="AC133" s="407"/>
      <c r="AD133" s="409"/>
      <c r="AE133" s="409"/>
      <c r="AF133" s="406"/>
      <c r="AG133" s="202"/>
      <c r="AH133" s="406"/>
      <c r="AI133" s="415"/>
      <c r="AJ133" s="202"/>
      <c r="AK133" s="407"/>
      <c r="AL133" s="409"/>
      <c r="AM133" s="409"/>
      <c r="AN133" s="406"/>
      <c r="AO133" s="407"/>
      <c r="AP133" s="409"/>
      <c r="AQ133" s="409"/>
      <c r="AR133" s="406"/>
      <c r="AS133" s="407"/>
      <c r="AT133" s="408">
        <f t="shared" si="78"/>
        <v>0</v>
      </c>
      <c r="AU133" s="408">
        <f t="shared" si="58"/>
        <v>1</v>
      </c>
      <c r="AV133" s="410">
        <f t="shared" si="59"/>
        <v>7.6923076923076927E-2</v>
      </c>
      <c r="AW133" s="411">
        <f t="shared" si="60"/>
        <v>0.92307692307692313</v>
      </c>
      <c r="AX133" s="408">
        <f t="shared" si="86"/>
        <v>0.08</v>
      </c>
      <c r="AY133" s="408">
        <f t="shared" si="87"/>
        <v>0.92</v>
      </c>
      <c r="AZ133" s="410">
        <f t="shared" si="71"/>
        <v>0</v>
      </c>
      <c r="BA133" s="411">
        <f>BA74/SUM(AZ74:BA74)</f>
        <v>1</v>
      </c>
      <c r="BB133" s="406"/>
      <c r="BC133" s="407"/>
      <c r="BD133" s="197"/>
      <c r="BE133" s="198"/>
      <c r="BF133" s="410">
        <f>BF74/SUM($BF74:$BK74)</f>
        <v>0</v>
      </c>
      <c r="BG133" s="420">
        <f t="shared" ref="BG133:BK134" si="110">BG74/SUM($BF74:$BK74)</f>
        <v>0</v>
      </c>
      <c r="BH133" s="420">
        <f t="shared" si="110"/>
        <v>0</v>
      </c>
      <c r="BI133" s="420">
        <f t="shared" si="110"/>
        <v>0.967741935483871</v>
      </c>
      <c r="BJ133" s="420">
        <f t="shared" si="110"/>
        <v>3.2258064516129031E-2</v>
      </c>
      <c r="BK133" s="411">
        <f t="shared" si="110"/>
        <v>0</v>
      </c>
      <c r="BL133" s="410">
        <f t="shared" si="96"/>
        <v>0</v>
      </c>
      <c r="BM133" s="420">
        <f t="shared" si="96"/>
        <v>0</v>
      </c>
      <c r="BN133" s="420">
        <f t="shared" si="96"/>
        <v>0</v>
      </c>
      <c r="BO133" s="420">
        <f t="shared" si="96"/>
        <v>1</v>
      </c>
      <c r="BP133" s="420">
        <f t="shared" si="96"/>
        <v>0</v>
      </c>
      <c r="BQ133" s="411">
        <f t="shared" si="96"/>
        <v>0</v>
      </c>
      <c r="BR133" s="410">
        <f t="shared" ref="BR133:BW133" si="111">BR74/SUM($BR74:$BW74)</f>
        <v>0</v>
      </c>
      <c r="BS133" s="420">
        <f t="shared" si="111"/>
        <v>0</v>
      </c>
      <c r="BT133" s="420">
        <f t="shared" si="111"/>
        <v>0</v>
      </c>
      <c r="BU133" s="420">
        <f t="shared" si="111"/>
        <v>1</v>
      </c>
      <c r="BV133" s="420">
        <f t="shared" si="111"/>
        <v>0</v>
      </c>
      <c r="BW133" s="411">
        <f t="shared" si="111"/>
        <v>0</v>
      </c>
      <c r="BX133" s="410">
        <f t="shared" si="101"/>
        <v>0</v>
      </c>
      <c r="BY133" s="420">
        <f t="shared" ref="BY133:CC133" si="112">BY74/SUM($BX74:$CC74)</f>
        <v>0</v>
      </c>
      <c r="BZ133" s="420">
        <f t="shared" si="112"/>
        <v>0</v>
      </c>
      <c r="CA133" s="420">
        <f t="shared" si="112"/>
        <v>0.9285714285714286</v>
      </c>
      <c r="CB133" s="420">
        <f t="shared" si="112"/>
        <v>7.1428571428571425E-2</v>
      </c>
      <c r="CC133" s="411">
        <f t="shared" si="112"/>
        <v>0</v>
      </c>
      <c r="CD133" s="406">
        <f t="shared" ref="CD133:CI133" si="113">IFERROR(CD74/SUM($CD74:$CI74),"")</f>
        <v>0</v>
      </c>
      <c r="CE133" s="202">
        <f t="shared" si="113"/>
        <v>0</v>
      </c>
      <c r="CF133" s="202">
        <f t="shared" si="113"/>
        <v>0</v>
      </c>
      <c r="CG133" s="202">
        <f t="shared" si="113"/>
        <v>0.84210526315789469</v>
      </c>
      <c r="CH133" s="202">
        <f t="shared" si="113"/>
        <v>0.15789473684210525</v>
      </c>
      <c r="CI133" s="407">
        <f t="shared" si="113"/>
        <v>0</v>
      </c>
      <c r="CJ133" s="406"/>
      <c r="CK133" s="202"/>
      <c r="CL133" s="202"/>
      <c r="CM133" s="202"/>
      <c r="CN133" s="202"/>
      <c r="CO133" s="407"/>
      <c r="CP133" s="406"/>
      <c r="CQ133" s="202"/>
      <c r="CR133" s="202"/>
      <c r="CS133" s="202"/>
      <c r="CT133" s="202"/>
      <c r="CU133" s="407"/>
      <c r="CV133" s="406"/>
      <c r="CW133" s="202"/>
      <c r="CX133" s="202"/>
      <c r="CY133" s="202"/>
      <c r="CZ133" s="202"/>
      <c r="DA133" s="407"/>
      <c r="DB133" s="406"/>
      <c r="DC133" s="202"/>
      <c r="DD133" s="202"/>
      <c r="DE133" s="202"/>
      <c r="DF133" s="202"/>
      <c r="DG133" s="407"/>
      <c r="DH133" s="406"/>
      <c r="DI133" s="202"/>
      <c r="DJ133" s="202"/>
      <c r="DK133" s="202"/>
      <c r="DL133" s="202"/>
      <c r="DM133" s="407"/>
      <c r="DN133" s="406"/>
      <c r="DO133" s="202"/>
      <c r="DP133" s="202"/>
      <c r="DQ133" s="202"/>
      <c r="DR133" s="202"/>
      <c r="DS133" s="407"/>
      <c r="DT133" s="406"/>
      <c r="DU133" s="202"/>
      <c r="DV133" s="202"/>
      <c r="DW133" s="202"/>
      <c r="DX133" s="202"/>
      <c r="DY133" s="407"/>
      <c r="DZ133" s="406"/>
      <c r="EA133" s="202"/>
      <c r="EB133" s="202"/>
      <c r="EC133" s="202"/>
      <c r="ED133" s="202"/>
      <c r="EE133" s="407"/>
      <c r="EF133" s="196">
        <f t="shared" si="49"/>
        <v>12</v>
      </c>
      <c r="EG133" s="202"/>
      <c r="EH133" s="579">
        <v>12</v>
      </c>
      <c r="EI133" s="603">
        <f t="shared" si="65"/>
        <v>8.4016194331983804E-2</v>
      </c>
      <c r="EJ133" s="603">
        <f t="shared" si="66"/>
        <v>0.91598380566801618</v>
      </c>
      <c r="EK133" s="579">
        <v>12</v>
      </c>
      <c r="EL133" s="603">
        <f t="shared" si="67"/>
        <v>3.9230769230769236E-2</v>
      </c>
      <c r="EM133" s="603">
        <f t="shared" si="68"/>
        <v>0.96076923076923082</v>
      </c>
      <c r="EN133" s="579">
        <v>12</v>
      </c>
      <c r="EO133" s="603">
        <f t="shared" si="69"/>
        <v>0.26315789473684209</v>
      </c>
      <c r="EP133" s="603">
        <f t="shared" si="70"/>
        <v>0.73684210526315785</v>
      </c>
      <c r="EQ133" s="580"/>
      <c r="ER133" s="580"/>
      <c r="ES133" s="519"/>
      <c r="ET133" s="519"/>
      <c r="EU133" s="580"/>
      <c r="EV133" s="580"/>
      <c r="EW133" s="580"/>
      <c r="EX133" s="580"/>
      <c r="EY133" s="580"/>
      <c r="EZ133" s="580"/>
      <c r="FA133" s="580"/>
      <c r="FB133" s="580"/>
      <c r="FC133" s="580"/>
      <c r="FD133" s="580"/>
      <c r="FE133" s="580"/>
      <c r="FF133" s="580"/>
      <c r="FG133" s="580"/>
      <c r="FH133" s="580"/>
    </row>
    <row r="134" spans="1:164" x14ac:dyDescent="0.2">
      <c r="A134" s="180">
        <v>13</v>
      </c>
      <c r="B134" s="406"/>
      <c r="C134" s="407"/>
      <c r="D134" s="406"/>
      <c r="E134" s="407"/>
      <c r="F134" s="409"/>
      <c r="G134" s="409"/>
      <c r="H134" s="406"/>
      <c r="I134" s="407"/>
      <c r="J134" s="409"/>
      <c r="K134" s="409"/>
      <c r="L134" s="406"/>
      <c r="M134" s="407"/>
      <c r="N134" s="409"/>
      <c r="O134" s="409"/>
      <c r="P134" s="406"/>
      <c r="Q134" s="407"/>
      <c r="R134" s="409"/>
      <c r="S134" s="409"/>
      <c r="T134" s="406"/>
      <c r="U134" s="407"/>
      <c r="V134" s="409"/>
      <c r="W134" s="409"/>
      <c r="X134" s="406"/>
      <c r="Y134" s="407"/>
      <c r="Z134" s="409"/>
      <c r="AA134" s="409"/>
      <c r="AB134" s="406"/>
      <c r="AC134" s="407"/>
      <c r="AD134" s="409"/>
      <c r="AE134" s="409"/>
      <c r="AF134" s="406"/>
      <c r="AG134" s="202"/>
      <c r="AH134" s="406"/>
      <c r="AI134" s="415"/>
      <c r="AJ134" s="202"/>
      <c r="AK134" s="407"/>
      <c r="AL134" s="409"/>
      <c r="AM134" s="409"/>
      <c r="AN134" s="406"/>
      <c r="AO134" s="407"/>
      <c r="AP134" s="408">
        <f>AP75/SUM(AP75:AQ75)</f>
        <v>0.15789473684210525</v>
      </c>
      <c r="AQ134" s="408">
        <f>AQ75/SUM(AP75:AQ75)</f>
        <v>0.84210526315789469</v>
      </c>
      <c r="AR134" s="406"/>
      <c r="AS134" s="407"/>
      <c r="AT134" s="409"/>
      <c r="AU134" s="409"/>
      <c r="AV134" s="406"/>
      <c r="AW134" s="407"/>
      <c r="AX134" s="409"/>
      <c r="AY134" s="409"/>
      <c r="AZ134" s="410">
        <f t="shared" si="71"/>
        <v>0</v>
      </c>
      <c r="BA134" s="411">
        <f>BA75/SUM(AZ75:BA75)</f>
        <v>1</v>
      </c>
      <c r="BB134" s="406"/>
      <c r="BC134" s="407"/>
      <c r="BD134" s="197"/>
      <c r="BE134" s="198"/>
      <c r="BF134" s="410">
        <f>BF75/SUM($BF75:$BK75)</f>
        <v>0</v>
      </c>
      <c r="BG134" s="420">
        <f t="shared" si="110"/>
        <v>0</v>
      </c>
      <c r="BH134" s="420">
        <f t="shared" si="110"/>
        <v>0</v>
      </c>
      <c r="BI134" s="420">
        <f t="shared" si="110"/>
        <v>0.95348837209302328</v>
      </c>
      <c r="BJ134" s="420">
        <f t="shared" si="110"/>
        <v>4.6511627906976744E-2</v>
      </c>
      <c r="BK134" s="420">
        <f t="shared" si="110"/>
        <v>0</v>
      </c>
      <c r="BL134" s="410">
        <f t="shared" ref="BL134:BQ134" si="114">BL75/SUM($BL75:$BQ75)</f>
        <v>9.0909090909090912E-2</v>
      </c>
      <c r="BM134" s="420">
        <f t="shared" si="114"/>
        <v>0</v>
      </c>
      <c r="BN134" s="420">
        <f t="shared" si="114"/>
        <v>0</v>
      </c>
      <c r="BO134" s="420">
        <f t="shared" si="114"/>
        <v>0.81818181818181823</v>
      </c>
      <c r="BP134" s="420">
        <f t="shared" si="114"/>
        <v>9.0909090909090912E-2</v>
      </c>
      <c r="BQ134" s="411">
        <f t="shared" si="114"/>
        <v>0</v>
      </c>
      <c r="BR134" s="410">
        <f t="shared" ref="BR134:BW134" si="115">BR75/SUM($BR75:$BW75)</f>
        <v>0</v>
      </c>
      <c r="BS134" s="420">
        <f t="shared" si="115"/>
        <v>0</v>
      </c>
      <c r="BT134" s="420">
        <f t="shared" si="115"/>
        <v>0</v>
      </c>
      <c r="BU134" s="420">
        <f t="shared" si="115"/>
        <v>1</v>
      </c>
      <c r="BV134" s="420">
        <f t="shared" si="115"/>
        <v>0</v>
      </c>
      <c r="BW134" s="411">
        <f t="shared" si="115"/>
        <v>0</v>
      </c>
      <c r="BX134" s="410">
        <f t="shared" si="101"/>
        <v>0</v>
      </c>
      <c r="BY134" s="420">
        <f t="shared" ref="BY134:CC134" si="116">BY75/SUM($BX75:$CC75)</f>
        <v>0</v>
      </c>
      <c r="BZ134" s="420">
        <f t="shared" si="116"/>
        <v>0</v>
      </c>
      <c r="CA134" s="420">
        <f t="shared" si="116"/>
        <v>0.8571428571428571</v>
      </c>
      <c r="CB134" s="420">
        <f t="shared" si="116"/>
        <v>0.14285714285714285</v>
      </c>
      <c r="CC134" s="411">
        <f t="shared" si="116"/>
        <v>0</v>
      </c>
      <c r="CD134" s="406">
        <f t="shared" ref="CD134:CI134" si="117">IFERROR(CD75/SUM($CD75:$CI75),"")</f>
        <v>0</v>
      </c>
      <c r="CE134" s="202">
        <f t="shared" si="117"/>
        <v>0</v>
      </c>
      <c r="CF134" s="202">
        <f t="shared" si="117"/>
        <v>0</v>
      </c>
      <c r="CG134" s="202">
        <f t="shared" si="117"/>
        <v>1</v>
      </c>
      <c r="CH134" s="202">
        <f t="shared" si="117"/>
        <v>0</v>
      </c>
      <c r="CI134" s="407">
        <f t="shared" si="117"/>
        <v>0</v>
      </c>
      <c r="CJ134" s="406"/>
      <c r="CK134" s="202"/>
      <c r="CL134" s="202"/>
      <c r="CM134" s="202"/>
      <c r="CN134" s="202"/>
      <c r="CO134" s="407"/>
      <c r="CP134" s="406"/>
      <c r="CQ134" s="202"/>
      <c r="CR134" s="202"/>
      <c r="CS134" s="202"/>
      <c r="CT134" s="202"/>
      <c r="CU134" s="407"/>
      <c r="CV134" s="406"/>
      <c r="CW134" s="202"/>
      <c r="CX134" s="202"/>
      <c r="CY134" s="202"/>
      <c r="CZ134" s="202"/>
      <c r="DA134" s="407"/>
      <c r="DB134" s="406"/>
      <c r="DC134" s="202"/>
      <c r="DD134" s="202"/>
      <c r="DE134" s="202"/>
      <c r="DF134" s="202"/>
      <c r="DG134" s="407"/>
      <c r="DH134" s="406"/>
      <c r="DI134" s="202"/>
      <c r="DJ134" s="202"/>
      <c r="DK134" s="202"/>
      <c r="DL134" s="202"/>
      <c r="DM134" s="407"/>
      <c r="DN134" s="406"/>
      <c r="DO134" s="202"/>
      <c r="DP134" s="202"/>
      <c r="DQ134" s="202"/>
      <c r="DR134" s="202"/>
      <c r="DS134" s="407"/>
      <c r="DT134" s="406"/>
      <c r="DU134" s="202"/>
      <c r="DV134" s="202"/>
      <c r="DW134" s="202"/>
      <c r="DX134" s="202"/>
      <c r="DY134" s="407"/>
      <c r="DZ134" s="406"/>
      <c r="EA134" s="202"/>
      <c r="EB134" s="202"/>
      <c r="EC134" s="202"/>
      <c r="ED134" s="202"/>
      <c r="EE134" s="407"/>
      <c r="EF134" s="196">
        <f t="shared" si="49"/>
        <v>13</v>
      </c>
      <c r="EG134" s="202"/>
      <c r="EH134" s="579">
        <v>13</v>
      </c>
      <c r="EI134" s="603">
        <f t="shared" si="65"/>
        <v>7.8947368421052627E-2</v>
      </c>
      <c r="EJ134" s="603">
        <f t="shared" si="66"/>
        <v>0.92105263157894735</v>
      </c>
      <c r="EK134" s="579">
        <v>13</v>
      </c>
      <c r="EL134" s="603">
        <f t="shared" si="67"/>
        <v>7.8947368421052627E-2</v>
      </c>
      <c r="EM134" s="603">
        <f t="shared" si="68"/>
        <v>0.92105263157894735</v>
      </c>
      <c r="EN134" s="579">
        <v>13</v>
      </c>
      <c r="EO134" s="603">
        <v>0</v>
      </c>
      <c r="EP134" s="603">
        <v>0</v>
      </c>
      <c r="EQ134" s="580"/>
      <c r="ER134" s="580"/>
      <c r="ES134" s="519"/>
      <c r="ET134" s="519"/>
      <c r="EU134" s="580"/>
      <c r="EV134" s="580"/>
      <c r="EW134" s="580"/>
      <c r="EX134" s="580"/>
      <c r="EY134" s="580"/>
      <c r="EZ134" s="580"/>
      <c r="FA134" s="580"/>
      <c r="FB134" s="580"/>
      <c r="FC134" s="580"/>
      <c r="FD134" s="580"/>
      <c r="FE134" s="580"/>
      <c r="FF134" s="580"/>
      <c r="FG134" s="580"/>
      <c r="FH134" s="580"/>
    </row>
    <row r="135" spans="1:164" x14ac:dyDescent="0.2">
      <c r="A135" s="180">
        <v>14</v>
      </c>
      <c r="B135" s="406"/>
      <c r="C135" s="407"/>
      <c r="D135" s="406"/>
      <c r="E135" s="407"/>
      <c r="F135" s="409"/>
      <c r="G135" s="409"/>
      <c r="H135" s="406"/>
      <c r="I135" s="407"/>
      <c r="J135" s="409"/>
      <c r="K135" s="409"/>
      <c r="L135" s="406"/>
      <c r="M135" s="407"/>
      <c r="N135" s="409"/>
      <c r="O135" s="409"/>
      <c r="P135" s="406"/>
      <c r="Q135" s="407"/>
      <c r="R135" s="409"/>
      <c r="S135" s="409"/>
      <c r="T135" s="406"/>
      <c r="U135" s="407"/>
      <c r="V135" s="409"/>
      <c r="W135" s="409"/>
      <c r="X135" s="406"/>
      <c r="Y135" s="407"/>
      <c r="Z135" s="409"/>
      <c r="AA135" s="409"/>
      <c r="AB135" s="406"/>
      <c r="AC135" s="407"/>
      <c r="AD135" s="409"/>
      <c r="AE135" s="409"/>
      <c r="AF135" s="406"/>
      <c r="AG135" s="202"/>
      <c r="AH135" s="406"/>
      <c r="AI135" s="415"/>
      <c r="AJ135" s="202"/>
      <c r="AK135" s="407"/>
      <c r="AL135" s="409"/>
      <c r="AM135" s="409"/>
      <c r="AN135" s="406"/>
      <c r="AO135" s="407"/>
      <c r="AP135" s="408">
        <f>AP76/SUM(AP76:AQ76)</f>
        <v>0</v>
      </c>
      <c r="AQ135" s="408">
        <f>AQ76/SUM(AP76:AQ76)</f>
        <v>1</v>
      </c>
      <c r="AR135" s="406"/>
      <c r="AS135" s="407"/>
      <c r="AT135" s="409"/>
      <c r="AU135" s="409"/>
      <c r="AV135" s="410">
        <f>AV76/SUM(AV76:AW76)</f>
        <v>0</v>
      </c>
      <c r="AW135" s="411">
        <f>AW76/SUM(AV76:AW76)</f>
        <v>1</v>
      </c>
      <c r="AX135" s="409"/>
      <c r="AY135" s="409"/>
      <c r="AZ135" s="410">
        <f t="shared" si="71"/>
        <v>0</v>
      </c>
      <c r="BA135" s="411">
        <f>BA76/SUM(AZ76:BA76)</f>
        <v>1</v>
      </c>
      <c r="BB135" s="406"/>
      <c r="BC135" s="407"/>
      <c r="BD135" s="197"/>
      <c r="BE135" s="198"/>
      <c r="BF135" s="406"/>
      <c r="BG135" s="202"/>
      <c r="BH135" s="202"/>
      <c r="BI135" s="202"/>
      <c r="BJ135" s="202"/>
      <c r="BK135" s="202"/>
      <c r="BL135" s="410">
        <f t="shared" ref="BL135:BQ135" si="118">BL76/SUM($BL76:$BQ76)</f>
        <v>0</v>
      </c>
      <c r="BM135" s="420">
        <f t="shared" si="118"/>
        <v>0</v>
      </c>
      <c r="BN135" s="420">
        <f t="shared" si="118"/>
        <v>0</v>
      </c>
      <c r="BO135" s="420">
        <f t="shared" si="118"/>
        <v>1</v>
      </c>
      <c r="BP135" s="420">
        <f t="shared" si="118"/>
        <v>0</v>
      </c>
      <c r="BQ135" s="411">
        <f t="shared" si="118"/>
        <v>0</v>
      </c>
      <c r="BR135" s="410">
        <f t="shared" ref="BR135:BW135" si="119">BR76/SUM($BR76:$BW76)</f>
        <v>0</v>
      </c>
      <c r="BS135" s="420">
        <f t="shared" si="119"/>
        <v>0</v>
      </c>
      <c r="BT135" s="420">
        <f t="shared" si="119"/>
        <v>0</v>
      </c>
      <c r="BU135" s="420">
        <f t="shared" si="119"/>
        <v>0.95238095238095233</v>
      </c>
      <c r="BV135" s="420">
        <f t="shared" si="119"/>
        <v>4.7619047619047616E-2</v>
      </c>
      <c r="BW135" s="411">
        <f t="shared" si="119"/>
        <v>0</v>
      </c>
      <c r="BX135" s="410">
        <f t="shared" si="101"/>
        <v>0</v>
      </c>
      <c r="BY135" s="420">
        <f t="shared" ref="BY135:CC135" si="120">BY76/SUM($BX76:$CC76)</f>
        <v>0</v>
      </c>
      <c r="BZ135" s="420">
        <f t="shared" si="120"/>
        <v>0</v>
      </c>
      <c r="CA135" s="420">
        <f t="shared" si="120"/>
        <v>0.83333333333333337</v>
      </c>
      <c r="CB135" s="420">
        <f t="shared" si="120"/>
        <v>0.16666666666666666</v>
      </c>
      <c r="CC135" s="411">
        <f t="shared" si="120"/>
        <v>0</v>
      </c>
      <c r="CD135" s="406">
        <f t="shared" ref="CD135:CI135" si="121">IFERROR(CD76/SUM($CD76:$CI76),"")</f>
        <v>0</v>
      </c>
      <c r="CE135" s="202">
        <f t="shared" si="121"/>
        <v>0</v>
      </c>
      <c r="CF135" s="202">
        <f t="shared" si="121"/>
        <v>0</v>
      </c>
      <c r="CG135" s="202">
        <f t="shared" si="121"/>
        <v>1</v>
      </c>
      <c r="CH135" s="202">
        <f t="shared" si="121"/>
        <v>0</v>
      </c>
      <c r="CI135" s="407">
        <f t="shared" si="121"/>
        <v>0</v>
      </c>
      <c r="CJ135" s="406"/>
      <c r="CK135" s="202"/>
      <c r="CL135" s="202"/>
      <c r="CM135" s="202"/>
      <c r="CN135" s="202"/>
      <c r="CO135" s="407"/>
      <c r="CP135" s="406"/>
      <c r="CQ135" s="202"/>
      <c r="CR135" s="202"/>
      <c r="CS135" s="202"/>
      <c r="CT135" s="202"/>
      <c r="CU135" s="407"/>
      <c r="CV135" s="406"/>
      <c r="CW135" s="202"/>
      <c r="CX135" s="202"/>
      <c r="CY135" s="202"/>
      <c r="CZ135" s="202"/>
      <c r="DA135" s="407"/>
      <c r="DB135" s="406"/>
      <c r="DC135" s="202"/>
      <c r="DD135" s="202"/>
      <c r="DE135" s="202"/>
      <c r="DF135" s="202"/>
      <c r="DG135" s="407"/>
      <c r="DH135" s="406"/>
      <c r="DI135" s="202"/>
      <c r="DJ135" s="202"/>
      <c r="DK135" s="202"/>
      <c r="DL135" s="202"/>
      <c r="DM135" s="407"/>
      <c r="DN135" s="406"/>
      <c r="DO135" s="202"/>
      <c r="DP135" s="202"/>
      <c r="DQ135" s="202"/>
      <c r="DR135" s="202"/>
      <c r="DS135" s="407"/>
      <c r="DT135" s="406"/>
      <c r="DU135" s="202"/>
      <c r="DV135" s="202"/>
      <c r="DW135" s="202"/>
      <c r="DX135" s="202"/>
      <c r="DY135" s="407"/>
      <c r="DZ135" s="406"/>
      <c r="EA135" s="202"/>
      <c r="EB135" s="202"/>
      <c r="EC135" s="202"/>
      <c r="ED135" s="202"/>
      <c r="EE135" s="407"/>
      <c r="EF135" s="196">
        <f t="shared" si="49"/>
        <v>14</v>
      </c>
      <c r="EG135" s="202"/>
      <c r="EH135" s="579">
        <v>14</v>
      </c>
      <c r="EI135" s="603">
        <f t="shared" si="65"/>
        <v>0</v>
      </c>
      <c r="EJ135" s="603">
        <f t="shared" si="66"/>
        <v>1</v>
      </c>
      <c r="EK135" s="579">
        <v>14</v>
      </c>
      <c r="EL135" s="603">
        <f t="shared" si="67"/>
        <v>0</v>
      </c>
      <c r="EM135" s="603">
        <f t="shared" si="68"/>
        <v>1</v>
      </c>
      <c r="EN135" s="579">
        <v>14</v>
      </c>
      <c r="EO135" s="603">
        <v>0</v>
      </c>
      <c r="EP135" s="603">
        <v>0</v>
      </c>
      <c r="EQ135" s="580"/>
      <c r="ER135" s="580"/>
      <c r="ES135" s="519"/>
      <c r="ET135" s="519"/>
      <c r="EU135" s="580"/>
      <c r="EV135" s="580"/>
      <c r="EW135" s="580"/>
      <c r="EX135" s="580"/>
      <c r="EY135" s="580"/>
      <c r="EZ135" s="580"/>
      <c r="FA135" s="580"/>
      <c r="FB135" s="580"/>
      <c r="FC135" s="580"/>
      <c r="FD135" s="580"/>
      <c r="FE135" s="580"/>
      <c r="FF135" s="580"/>
      <c r="FG135" s="580"/>
      <c r="FH135" s="580"/>
    </row>
    <row r="136" spans="1:164" x14ac:dyDescent="0.2">
      <c r="A136" s="180">
        <v>15</v>
      </c>
      <c r="B136" s="406"/>
      <c r="C136" s="407"/>
      <c r="D136" s="406"/>
      <c r="E136" s="407"/>
      <c r="F136" s="409"/>
      <c r="G136" s="409"/>
      <c r="H136" s="406"/>
      <c r="I136" s="407"/>
      <c r="J136" s="409"/>
      <c r="K136" s="409"/>
      <c r="L136" s="406"/>
      <c r="M136" s="407"/>
      <c r="N136" s="409"/>
      <c r="O136" s="409"/>
      <c r="P136" s="406"/>
      <c r="Q136" s="407"/>
      <c r="R136" s="409"/>
      <c r="S136" s="409"/>
      <c r="T136" s="406"/>
      <c r="U136" s="407"/>
      <c r="V136" s="409"/>
      <c r="W136" s="409"/>
      <c r="X136" s="406"/>
      <c r="Y136" s="407"/>
      <c r="Z136" s="409"/>
      <c r="AA136" s="409"/>
      <c r="AB136" s="406"/>
      <c r="AC136" s="407"/>
      <c r="AD136" s="409"/>
      <c r="AE136" s="409"/>
      <c r="AF136" s="406"/>
      <c r="AG136" s="202"/>
      <c r="AH136" s="406"/>
      <c r="AI136" s="415"/>
      <c r="AJ136" s="202"/>
      <c r="AK136" s="407"/>
      <c r="AL136" s="409"/>
      <c r="AM136" s="409"/>
      <c r="AN136" s="406"/>
      <c r="AO136" s="407"/>
      <c r="AP136" s="409"/>
      <c r="AQ136" s="409"/>
      <c r="AR136" s="406"/>
      <c r="AS136" s="407"/>
      <c r="AT136" s="408">
        <f>AT77/SUM(AT77:AU77)</f>
        <v>0</v>
      </c>
      <c r="AU136" s="408">
        <f t="shared" si="58"/>
        <v>1</v>
      </c>
      <c r="AV136" s="410">
        <f>AV77/SUM(AV77:AW77)</f>
        <v>3.7037037037037035E-2</v>
      </c>
      <c r="AW136" s="411">
        <f>AW77/SUM(AV77:AW77)</f>
        <v>0.96296296296296291</v>
      </c>
      <c r="AX136" s="409"/>
      <c r="AY136" s="409"/>
      <c r="AZ136" s="410">
        <f t="shared" si="71"/>
        <v>7.6923076923076927E-2</v>
      </c>
      <c r="BA136" s="411">
        <f>BA77/SUM(AZ77:BA77)</f>
        <v>0.92307692307692313</v>
      </c>
      <c r="BB136" s="406"/>
      <c r="BC136" s="407"/>
      <c r="BD136" s="197"/>
      <c r="BE136" s="198"/>
      <c r="BF136" s="406"/>
      <c r="BG136" s="202"/>
      <c r="BH136" s="202"/>
      <c r="BI136" s="202"/>
      <c r="BJ136" s="202"/>
      <c r="BK136" s="202"/>
      <c r="BL136" s="410">
        <f t="shared" ref="BL136:BQ136" si="122">BL77/SUM($BL77:$BQ77)</f>
        <v>0</v>
      </c>
      <c r="BM136" s="420">
        <f t="shared" si="122"/>
        <v>0</v>
      </c>
      <c r="BN136" s="420">
        <f t="shared" si="122"/>
        <v>0</v>
      </c>
      <c r="BO136" s="420">
        <f t="shared" si="122"/>
        <v>1</v>
      </c>
      <c r="BP136" s="420">
        <f t="shared" si="122"/>
        <v>0</v>
      </c>
      <c r="BQ136" s="411">
        <f t="shared" si="122"/>
        <v>0</v>
      </c>
      <c r="BR136" s="410">
        <f t="shared" ref="BR136:BW136" si="123">BR77/SUM($BR77:$BW77)</f>
        <v>0</v>
      </c>
      <c r="BS136" s="420">
        <f t="shared" si="123"/>
        <v>0</v>
      </c>
      <c r="BT136" s="420">
        <f t="shared" si="123"/>
        <v>0</v>
      </c>
      <c r="BU136" s="420">
        <f t="shared" si="123"/>
        <v>0.8666666666666667</v>
      </c>
      <c r="BV136" s="420">
        <f t="shared" si="123"/>
        <v>0.13333333333333333</v>
      </c>
      <c r="BW136" s="411">
        <f t="shared" si="123"/>
        <v>0</v>
      </c>
      <c r="BX136" s="410">
        <f t="shared" si="101"/>
        <v>0</v>
      </c>
      <c r="BY136" s="420">
        <f t="shared" ref="BY136:CC136" si="124">BY77/SUM($BX77:$CC77)</f>
        <v>0</v>
      </c>
      <c r="BZ136" s="420">
        <f t="shared" si="124"/>
        <v>0</v>
      </c>
      <c r="CA136" s="420">
        <f t="shared" si="124"/>
        <v>0.90909090909090906</v>
      </c>
      <c r="CB136" s="420">
        <f t="shared" si="124"/>
        <v>9.0909090909090912E-2</v>
      </c>
      <c r="CC136" s="411">
        <f t="shared" si="124"/>
        <v>0</v>
      </c>
      <c r="CD136" s="406">
        <f t="shared" ref="CD136:CI136" si="125">IFERROR(CD77/SUM($CD77:$CI77),"")</f>
        <v>0</v>
      </c>
      <c r="CE136" s="202">
        <f t="shared" si="125"/>
        <v>0</v>
      </c>
      <c r="CF136" s="202">
        <f t="shared" si="125"/>
        <v>0</v>
      </c>
      <c r="CG136" s="202">
        <f t="shared" si="125"/>
        <v>0.78787878787878785</v>
      </c>
      <c r="CH136" s="202">
        <f t="shared" si="125"/>
        <v>0.21212121212121213</v>
      </c>
      <c r="CI136" s="407">
        <f t="shared" si="125"/>
        <v>0</v>
      </c>
      <c r="CJ136" s="406"/>
      <c r="CK136" s="202"/>
      <c r="CL136" s="202"/>
      <c r="CM136" s="202"/>
      <c r="CN136" s="202"/>
      <c r="CO136" s="407"/>
      <c r="CP136" s="406"/>
      <c r="CQ136" s="202"/>
      <c r="CR136" s="202"/>
      <c r="CS136" s="202"/>
      <c r="CT136" s="202"/>
      <c r="CU136" s="407"/>
      <c r="CV136" s="406"/>
      <c r="CW136" s="202"/>
      <c r="CX136" s="202"/>
      <c r="CY136" s="202"/>
      <c r="CZ136" s="202"/>
      <c r="DA136" s="407"/>
      <c r="DB136" s="406"/>
      <c r="DC136" s="202"/>
      <c r="DD136" s="202"/>
      <c r="DE136" s="202"/>
      <c r="DF136" s="202"/>
      <c r="DG136" s="407"/>
      <c r="DH136" s="406"/>
      <c r="DI136" s="202"/>
      <c r="DJ136" s="202"/>
      <c r="DK136" s="202"/>
      <c r="DL136" s="202"/>
      <c r="DM136" s="407"/>
      <c r="DN136" s="406"/>
      <c r="DO136" s="202"/>
      <c r="DP136" s="202"/>
      <c r="DQ136" s="202"/>
      <c r="DR136" s="202"/>
      <c r="DS136" s="407"/>
      <c r="DT136" s="406"/>
      <c r="DU136" s="202"/>
      <c r="DV136" s="202"/>
      <c r="DW136" s="202"/>
      <c r="DX136" s="202"/>
      <c r="DY136" s="407"/>
      <c r="DZ136" s="406"/>
      <c r="EA136" s="202"/>
      <c r="EB136" s="202"/>
      <c r="EC136" s="202"/>
      <c r="ED136" s="202"/>
      <c r="EE136" s="407"/>
      <c r="EF136" s="196">
        <f t="shared" si="49"/>
        <v>15</v>
      </c>
      <c r="EG136" s="202"/>
      <c r="EH136" s="579">
        <v>15</v>
      </c>
      <c r="EI136" s="603">
        <f t="shared" si="65"/>
        <v>3.7986704653371318E-2</v>
      </c>
      <c r="EJ136" s="603">
        <f t="shared" si="66"/>
        <v>0.96201329534662872</v>
      </c>
      <c r="EK136" s="579">
        <v>15</v>
      </c>
      <c r="EL136" s="603">
        <f t="shared" si="67"/>
        <v>3.7986704653371318E-2</v>
      </c>
      <c r="EM136" s="603">
        <f t="shared" si="68"/>
        <v>0.96201329534662872</v>
      </c>
      <c r="EN136" s="579">
        <v>15</v>
      </c>
      <c r="EO136" s="603">
        <v>0</v>
      </c>
      <c r="EP136" s="603">
        <v>0</v>
      </c>
      <c r="EQ136" s="580"/>
      <c r="ER136" s="580"/>
      <c r="ES136" s="519"/>
      <c r="ET136" s="519"/>
      <c r="EU136" s="580"/>
      <c r="EV136" s="580"/>
      <c r="EW136" s="580"/>
      <c r="EX136" s="580"/>
      <c r="EY136" s="580"/>
      <c r="EZ136" s="580"/>
      <c r="FA136" s="580"/>
      <c r="FB136" s="580"/>
      <c r="FC136" s="580"/>
      <c r="FD136" s="580"/>
      <c r="FE136" s="580"/>
      <c r="FF136" s="580"/>
      <c r="FG136" s="580"/>
      <c r="FH136" s="580"/>
    </row>
    <row r="137" spans="1:164" x14ac:dyDescent="0.2">
      <c r="A137" s="180">
        <v>16</v>
      </c>
      <c r="B137" s="406"/>
      <c r="C137" s="407"/>
      <c r="D137" s="406"/>
      <c r="E137" s="407"/>
      <c r="F137" s="409"/>
      <c r="G137" s="409"/>
      <c r="H137" s="406"/>
      <c r="I137" s="407"/>
      <c r="J137" s="409"/>
      <c r="K137" s="409"/>
      <c r="L137" s="406"/>
      <c r="M137" s="407"/>
      <c r="N137" s="409"/>
      <c r="O137" s="409"/>
      <c r="P137" s="406"/>
      <c r="Q137" s="407"/>
      <c r="R137" s="409"/>
      <c r="S137" s="409"/>
      <c r="T137" s="410">
        <f>T78/SUM(T78:U78)</f>
        <v>0</v>
      </c>
      <c r="U137" s="411">
        <f>U78/SUM(T78:U78)</f>
        <v>1</v>
      </c>
      <c r="V137" s="409"/>
      <c r="W137" s="409"/>
      <c r="X137" s="406"/>
      <c r="Y137" s="407"/>
      <c r="Z137" s="409"/>
      <c r="AA137" s="409"/>
      <c r="AB137" s="406"/>
      <c r="AC137" s="407"/>
      <c r="AD137" s="409"/>
      <c r="AE137" s="409"/>
      <c r="AF137" s="406"/>
      <c r="AG137" s="202"/>
      <c r="AH137" s="406"/>
      <c r="AI137" s="415"/>
      <c r="AJ137" s="202"/>
      <c r="AK137" s="407"/>
      <c r="AL137" s="409"/>
      <c r="AM137" s="409"/>
      <c r="AN137" s="406"/>
      <c r="AO137" s="407"/>
      <c r="AP137" s="409"/>
      <c r="AQ137" s="409"/>
      <c r="AR137" s="410">
        <f>AR78/SUM(AR78:AS78)</f>
        <v>0</v>
      </c>
      <c r="AS137" s="411">
        <f>AS78/SUM(AR78:AS78)</f>
        <v>1</v>
      </c>
      <c r="AT137" s="409"/>
      <c r="AU137" s="409"/>
      <c r="AV137" s="406"/>
      <c r="AW137" s="407"/>
      <c r="AX137" s="409"/>
      <c r="AY137" s="409"/>
      <c r="AZ137" s="410">
        <f t="shared" si="71"/>
        <v>0</v>
      </c>
      <c r="BA137" s="411">
        <f>BA78/SUM(AZ78:BA78)</f>
        <v>1</v>
      </c>
      <c r="BB137" s="406"/>
      <c r="BC137" s="407"/>
      <c r="BD137" s="410">
        <f>BD78/SUM(BD78:BE78)</f>
        <v>0</v>
      </c>
      <c r="BE137" s="411">
        <f>BE78/SUM(BD78:BE78)</f>
        <v>1</v>
      </c>
      <c r="BF137" s="406"/>
      <c r="BG137" s="202"/>
      <c r="BH137" s="202"/>
      <c r="BI137" s="202"/>
      <c r="BJ137" s="202"/>
      <c r="BK137" s="202"/>
      <c r="BL137" s="410">
        <f t="shared" ref="BL137:BQ137" si="126">BL78/SUM($BL78:$BQ78)</f>
        <v>0</v>
      </c>
      <c r="BM137" s="420">
        <f t="shared" si="126"/>
        <v>0</v>
      </c>
      <c r="BN137" s="420">
        <f t="shared" si="126"/>
        <v>0</v>
      </c>
      <c r="BO137" s="420">
        <f t="shared" si="126"/>
        <v>0.8666666666666667</v>
      </c>
      <c r="BP137" s="420">
        <f t="shared" si="126"/>
        <v>0</v>
      </c>
      <c r="BQ137" s="411">
        <f t="shared" si="126"/>
        <v>0.13333333333333333</v>
      </c>
      <c r="BR137" s="410">
        <f t="shared" ref="BR137:BW137" si="127">BR78/SUM($BR78:$BW78)</f>
        <v>0</v>
      </c>
      <c r="BS137" s="420">
        <f t="shared" si="127"/>
        <v>0</v>
      </c>
      <c r="BT137" s="420">
        <f t="shared" si="127"/>
        <v>0</v>
      </c>
      <c r="BU137" s="420">
        <f t="shared" si="127"/>
        <v>0.92307692307692313</v>
      </c>
      <c r="BV137" s="420">
        <f t="shared" si="127"/>
        <v>7.6923076923076927E-2</v>
      </c>
      <c r="BW137" s="411">
        <f t="shared" si="127"/>
        <v>0</v>
      </c>
      <c r="BX137" s="410">
        <f t="shared" si="101"/>
        <v>0</v>
      </c>
      <c r="BY137" s="420">
        <f t="shared" ref="BY137:CC137" si="128">BY78/SUM($BX78:$CC78)</f>
        <v>0</v>
      </c>
      <c r="BZ137" s="420">
        <f t="shared" si="128"/>
        <v>0</v>
      </c>
      <c r="CA137" s="420">
        <f t="shared" si="128"/>
        <v>0.88888888888888884</v>
      </c>
      <c r="CB137" s="420">
        <f t="shared" si="128"/>
        <v>0.1111111111111111</v>
      </c>
      <c r="CC137" s="411">
        <f t="shared" si="128"/>
        <v>0</v>
      </c>
      <c r="CD137" s="406">
        <f t="shared" ref="CD137:CI137" si="129">IFERROR(CD78/SUM($CD78:$CI78),"")</f>
        <v>0</v>
      </c>
      <c r="CE137" s="202">
        <f t="shared" si="129"/>
        <v>0</v>
      </c>
      <c r="CF137" s="202">
        <f t="shared" si="129"/>
        <v>0</v>
      </c>
      <c r="CG137" s="202">
        <f t="shared" si="129"/>
        <v>0.92307692307692313</v>
      </c>
      <c r="CH137" s="202">
        <f t="shared" si="129"/>
        <v>7.6923076923076927E-2</v>
      </c>
      <c r="CI137" s="407">
        <f t="shared" si="129"/>
        <v>0</v>
      </c>
      <c r="CJ137" s="406"/>
      <c r="CK137" s="202"/>
      <c r="CL137" s="202"/>
      <c r="CM137" s="202"/>
      <c r="CN137" s="202"/>
      <c r="CO137" s="407"/>
      <c r="CP137" s="406"/>
      <c r="CQ137" s="202"/>
      <c r="CR137" s="202"/>
      <c r="CS137" s="202"/>
      <c r="CT137" s="202"/>
      <c r="CU137" s="407"/>
      <c r="CV137" s="406"/>
      <c r="CW137" s="202"/>
      <c r="CX137" s="202"/>
      <c r="CY137" s="202"/>
      <c r="CZ137" s="202"/>
      <c r="DA137" s="407"/>
      <c r="DB137" s="406"/>
      <c r="DC137" s="202"/>
      <c r="DD137" s="202"/>
      <c r="DE137" s="202"/>
      <c r="DF137" s="202"/>
      <c r="DG137" s="407"/>
      <c r="DH137" s="406"/>
      <c r="DI137" s="202"/>
      <c r="DJ137" s="202"/>
      <c r="DK137" s="202"/>
      <c r="DL137" s="202"/>
      <c r="DM137" s="407"/>
      <c r="DN137" s="406"/>
      <c r="DO137" s="202"/>
      <c r="DP137" s="202"/>
      <c r="DQ137" s="202"/>
      <c r="DR137" s="202"/>
      <c r="DS137" s="407"/>
      <c r="DT137" s="406"/>
      <c r="DU137" s="202"/>
      <c r="DV137" s="202"/>
      <c r="DW137" s="202"/>
      <c r="DX137" s="202"/>
      <c r="DY137" s="407"/>
      <c r="DZ137" s="406"/>
      <c r="EA137" s="202"/>
      <c r="EB137" s="202"/>
      <c r="EC137" s="202"/>
      <c r="ED137" s="202"/>
      <c r="EE137" s="407"/>
      <c r="EF137" s="196">
        <f t="shared" si="49"/>
        <v>16</v>
      </c>
      <c r="EG137" s="202"/>
      <c r="EH137" s="579">
        <v>16</v>
      </c>
      <c r="EI137" s="603">
        <f t="shared" si="65"/>
        <v>0</v>
      </c>
      <c r="EJ137" s="603">
        <f t="shared" si="66"/>
        <v>1</v>
      </c>
      <c r="EK137" s="579">
        <v>16</v>
      </c>
      <c r="EL137" s="603">
        <f t="shared" si="67"/>
        <v>0</v>
      </c>
      <c r="EM137" s="603">
        <f t="shared" si="68"/>
        <v>1</v>
      </c>
      <c r="EN137" s="579">
        <v>16</v>
      </c>
      <c r="EO137" s="603">
        <f>AVERAGE(D137,F137,H137,J137,L137,N137,P137,R137,T137,V137,X137,Z137,AB137,AD137,AF137,AH137)</f>
        <v>0</v>
      </c>
      <c r="EP137" s="603">
        <f>AVERAGE(E137,G137,I137,K137,M137,O137,Q137,S137,U137,W137,Y137,AA137,AC137,AE137,AG137,AI137)</f>
        <v>1</v>
      </c>
      <c r="EQ137" s="580"/>
      <c r="ER137" s="580"/>
      <c r="ES137" s="519"/>
      <c r="ET137" s="519"/>
      <c r="EU137" s="580"/>
      <c r="EV137" s="580"/>
      <c r="EW137" s="580"/>
      <c r="EX137" s="580"/>
      <c r="EY137" s="580"/>
      <c r="EZ137" s="580"/>
      <c r="FA137" s="580"/>
      <c r="FB137" s="580"/>
      <c r="FC137" s="580"/>
      <c r="FD137" s="580"/>
      <c r="FE137" s="580"/>
      <c r="FF137" s="580"/>
      <c r="FG137" s="580"/>
      <c r="FH137" s="580"/>
    </row>
    <row r="138" spans="1:164" x14ac:dyDescent="0.2">
      <c r="A138" s="187">
        <v>17</v>
      </c>
      <c r="B138" s="416"/>
      <c r="C138" s="417"/>
      <c r="D138" s="416"/>
      <c r="E138" s="417"/>
      <c r="F138" s="418"/>
      <c r="G138" s="418"/>
      <c r="H138" s="416"/>
      <c r="I138" s="417"/>
      <c r="J138" s="418"/>
      <c r="K138" s="418"/>
      <c r="L138" s="416"/>
      <c r="M138" s="417"/>
      <c r="N138" s="418"/>
      <c r="O138" s="418"/>
      <c r="P138" s="416"/>
      <c r="Q138" s="417"/>
      <c r="R138" s="418"/>
      <c r="S138" s="418"/>
      <c r="T138" s="416"/>
      <c r="U138" s="417"/>
      <c r="V138" s="418"/>
      <c r="W138" s="418"/>
      <c r="X138" s="416"/>
      <c r="Y138" s="417"/>
      <c r="Z138" s="418"/>
      <c r="AA138" s="418"/>
      <c r="AB138" s="416"/>
      <c r="AC138" s="417"/>
      <c r="AD138" s="418"/>
      <c r="AE138" s="418"/>
      <c r="AF138" s="416"/>
      <c r="AG138" s="418"/>
      <c r="AH138" s="416"/>
      <c r="AI138" s="419"/>
      <c r="AJ138" s="418"/>
      <c r="AK138" s="417"/>
      <c r="AL138" s="418"/>
      <c r="AM138" s="418"/>
      <c r="AN138" s="416"/>
      <c r="AO138" s="417"/>
      <c r="AP138" s="418"/>
      <c r="AQ138" s="418"/>
      <c r="AR138" s="416"/>
      <c r="AS138" s="417"/>
      <c r="AT138" s="418"/>
      <c r="AU138" s="418"/>
      <c r="AV138" s="416"/>
      <c r="AW138" s="417"/>
      <c r="AX138" s="418"/>
      <c r="AY138" s="418"/>
      <c r="AZ138" s="416"/>
      <c r="BA138" s="417"/>
      <c r="BB138" s="416"/>
      <c r="BC138" s="417"/>
      <c r="BD138" s="197"/>
      <c r="BE138" s="198"/>
      <c r="BF138" s="416"/>
      <c r="BG138" s="418"/>
      <c r="BH138" s="418"/>
      <c r="BI138" s="418"/>
      <c r="BJ138" s="418"/>
      <c r="BK138" s="418"/>
      <c r="BL138" s="410">
        <f t="shared" ref="BL138:BQ138" si="130">BL79/SUM($BL79:$BQ79)</f>
        <v>0</v>
      </c>
      <c r="BM138" s="420">
        <f t="shared" si="130"/>
        <v>0</v>
      </c>
      <c r="BN138" s="420">
        <f t="shared" si="130"/>
        <v>0</v>
      </c>
      <c r="BO138" s="420">
        <f t="shared" si="130"/>
        <v>0.83333333333333337</v>
      </c>
      <c r="BP138" s="420">
        <f t="shared" si="130"/>
        <v>0.16666666666666666</v>
      </c>
      <c r="BQ138" s="411">
        <f t="shared" si="130"/>
        <v>0</v>
      </c>
      <c r="BR138" s="410">
        <f t="shared" ref="BR138:BW138" si="131">BR79/SUM($BR79:$BW79)</f>
        <v>0.2</v>
      </c>
      <c r="BS138" s="420">
        <f t="shared" si="131"/>
        <v>0</v>
      </c>
      <c r="BT138" s="420">
        <f t="shared" si="131"/>
        <v>0</v>
      </c>
      <c r="BU138" s="420">
        <f t="shared" si="131"/>
        <v>0.6</v>
      </c>
      <c r="BV138" s="420">
        <f t="shared" si="131"/>
        <v>0</v>
      </c>
      <c r="BW138" s="411">
        <f t="shared" si="131"/>
        <v>0.2</v>
      </c>
      <c r="BX138" s="426">
        <f t="shared" si="101"/>
        <v>0</v>
      </c>
      <c r="BY138" s="420">
        <f t="shared" ref="BY138:CC138" si="132">BY79/SUM($BX79:$CC79)</f>
        <v>0</v>
      </c>
      <c r="BZ138" s="420">
        <f t="shared" si="132"/>
        <v>0</v>
      </c>
      <c r="CA138" s="420">
        <f t="shared" si="132"/>
        <v>0.5714285714285714</v>
      </c>
      <c r="CB138" s="420">
        <f t="shared" si="132"/>
        <v>0.42857142857142855</v>
      </c>
      <c r="CC138" s="411">
        <f t="shared" si="132"/>
        <v>0</v>
      </c>
      <c r="CD138" s="406">
        <f t="shared" ref="CD138:CI138" si="133">IFERROR(CD79/SUM($CD79:$CI79),"")</f>
        <v>0</v>
      </c>
      <c r="CE138" s="202">
        <f t="shared" si="133"/>
        <v>0</v>
      </c>
      <c r="CF138" s="202">
        <f t="shared" si="133"/>
        <v>0</v>
      </c>
      <c r="CG138" s="202">
        <f t="shared" si="133"/>
        <v>0.54545454545454541</v>
      </c>
      <c r="CH138" s="202">
        <f t="shared" si="133"/>
        <v>0.45454545454545453</v>
      </c>
      <c r="CI138" s="407">
        <f t="shared" si="133"/>
        <v>0</v>
      </c>
      <c r="CJ138" s="406"/>
      <c r="CK138" s="202"/>
      <c r="CL138" s="202"/>
      <c r="CM138" s="202"/>
      <c r="CN138" s="202"/>
      <c r="CO138" s="407"/>
      <c r="CP138" s="406"/>
      <c r="CQ138" s="202"/>
      <c r="CR138" s="202"/>
      <c r="CS138" s="202"/>
      <c r="CT138" s="202"/>
      <c r="CU138" s="407"/>
      <c r="CV138" s="406"/>
      <c r="CW138" s="202"/>
      <c r="CX138" s="202"/>
      <c r="CY138" s="202"/>
      <c r="CZ138" s="202"/>
      <c r="DA138" s="407"/>
      <c r="DB138" s="406"/>
      <c r="DC138" s="202"/>
      <c r="DD138" s="202"/>
      <c r="DE138" s="202"/>
      <c r="DF138" s="202"/>
      <c r="DG138" s="407"/>
      <c r="DH138" s="406"/>
      <c r="DI138" s="202"/>
      <c r="DJ138" s="202"/>
      <c r="DK138" s="202"/>
      <c r="DL138" s="202"/>
      <c r="DM138" s="407"/>
      <c r="DN138" s="406"/>
      <c r="DO138" s="202"/>
      <c r="DP138" s="202"/>
      <c r="DQ138" s="202"/>
      <c r="DR138" s="202"/>
      <c r="DS138" s="407"/>
      <c r="DT138" s="406"/>
      <c r="DU138" s="202"/>
      <c r="DV138" s="202"/>
      <c r="DW138" s="202"/>
      <c r="DX138" s="202"/>
      <c r="DY138" s="407"/>
      <c r="DZ138" s="406"/>
      <c r="EA138" s="202"/>
      <c r="EB138" s="202"/>
      <c r="EC138" s="202"/>
      <c r="ED138" s="202"/>
      <c r="EE138" s="407"/>
      <c r="EF138" s="196">
        <f t="shared" si="49"/>
        <v>17</v>
      </c>
      <c r="EG138" s="202"/>
      <c r="EH138" s="579">
        <v>17</v>
      </c>
      <c r="EI138" s="603">
        <v>0</v>
      </c>
      <c r="EJ138" s="603">
        <v>0</v>
      </c>
      <c r="EK138" s="579">
        <v>17</v>
      </c>
      <c r="EL138" s="603">
        <v>0</v>
      </c>
      <c r="EM138" s="603">
        <v>0</v>
      </c>
      <c r="EN138" s="579">
        <v>17</v>
      </c>
      <c r="EO138" s="603">
        <v>0</v>
      </c>
      <c r="EP138" s="603">
        <v>0</v>
      </c>
      <c r="EQ138" s="580"/>
      <c r="ER138" s="580"/>
      <c r="ES138" s="519"/>
      <c r="ET138" s="519"/>
      <c r="EU138" s="580"/>
      <c r="EV138" s="580"/>
      <c r="EW138" s="580"/>
      <c r="EX138" s="580"/>
      <c r="EY138" s="580"/>
      <c r="EZ138" s="580"/>
      <c r="FA138" s="580"/>
      <c r="FB138" s="580"/>
      <c r="FC138" s="580"/>
      <c r="FD138" s="580"/>
      <c r="FE138" s="580"/>
      <c r="FF138" s="580"/>
      <c r="FG138" s="580"/>
      <c r="FH138" s="580"/>
    </row>
    <row r="139" spans="1:164" x14ac:dyDescent="0.2">
      <c r="A139" s="156">
        <v>18</v>
      </c>
      <c r="B139" s="406"/>
      <c r="C139" s="407"/>
      <c r="D139" s="406"/>
      <c r="E139" s="407"/>
      <c r="F139" s="409"/>
      <c r="G139" s="409"/>
      <c r="H139" s="406"/>
      <c r="I139" s="407"/>
      <c r="J139" s="409"/>
      <c r="K139" s="409"/>
      <c r="L139" s="410">
        <f t="shared" ref="L139:L145" si="134">L80/SUM(L80:M80)</f>
        <v>0</v>
      </c>
      <c r="M139" s="411">
        <f t="shared" ref="M139:M145" si="135">M80/SUM(L80:M80)</f>
        <v>1</v>
      </c>
      <c r="N139" s="409"/>
      <c r="O139" s="409"/>
      <c r="P139" s="406"/>
      <c r="Q139" s="407"/>
      <c r="R139" s="409"/>
      <c r="S139" s="409"/>
      <c r="T139" s="406"/>
      <c r="U139" s="407"/>
      <c r="V139" s="409"/>
      <c r="W139" s="409"/>
      <c r="X139" s="410">
        <f>X80/SUM(X80:Y80)</f>
        <v>0</v>
      </c>
      <c r="Y139" s="411">
        <f>Y80/SUM(X80:Y80)</f>
        <v>1</v>
      </c>
      <c r="Z139" s="409"/>
      <c r="AA139" s="409"/>
      <c r="AB139" s="406"/>
      <c r="AC139" s="407"/>
      <c r="AD139" s="409"/>
      <c r="AE139" s="409"/>
      <c r="AF139" s="406"/>
      <c r="AG139" s="202"/>
      <c r="AH139" s="406"/>
      <c r="AI139" s="415"/>
      <c r="AJ139" s="420">
        <f>AJ80/SUM(AJ80:AK80)</f>
        <v>0.25</v>
      </c>
      <c r="AK139" s="411">
        <f>AK80/SUM(AJ80:AK80)</f>
        <v>0.75</v>
      </c>
      <c r="AL139" s="409"/>
      <c r="AM139" s="409"/>
      <c r="AN139" s="406"/>
      <c r="AO139" s="407"/>
      <c r="AP139" s="409"/>
      <c r="AQ139" s="409"/>
      <c r="AR139" s="406"/>
      <c r="AS139" s="407"/>
      <c r="AT139" s="409"/>
      <c r="AU139" s="409"/>
      <c r="AV139" s="406"/>
      <c r="AW139" s="407"/>
      <c r="AX139" s="409"/>
      <c r="AY139" s="409"/>
      <c r="AZ139" s="406"/>
      <c r="BA139" s="407"/>
      <c r="BB139" s="406"/>
      <c r="BC139" s="202"/>
      <c r="BD139" s="200"/>
      <c r="BE139" s="201"/>
      <c r="BF139" s="412"/>
      <c r="BG139" s="680"/>
      <c r="BH139" s="680"/>
      <c r="BI139" s="680"/>
      <c r="BJ139" s="680"/>
      <c r="BK139" s="414"/>
      <c r="BL139" s="678">
        <f t="shared" ref="BL139:BQ139" si="136">BL80/SUM($BL80:$BQ80)</f>
        <v>0</v>
      </c>
      <c r="BM139" s="679">
        <f t="shared" si="136"/>
        <v>0</v>
      </c>
      <c r="BN139" s="679">
        <f t="shared" si="136"/>
        <v>0</v>
      </c>
      <c r="BO139" s="679">
        <f t="shared" si="136"/>
        <v>0.55555555555555558</v>
      </c>
      <c r="BP139" s="679">
        <f t="shared" si="136"/>
        <v>0.44444444444444442</v>
      </c>
      <c r="BQ139" s="681">
        <f t="shared" si="136"/>
        <v>0</v>
      </c>
      <c r="BR139" s="412"/>
      <c r="BS139" s="680"/>
      <c r="BT139" s="680"/>
      <c r="BU139" s="680"/>
      <c r="BV139" s="680"/>
      <c r="BW139" s="414"/>
      <c r="BX139" s="410">
        <f t="shared" si="101"/>
        <v>0</v>
      </c>
      <c r="BY139" s="679">
        <f t="shared" ref="BY139:CC142" si="137">BY80/SUM($BX80:$CC80)</f>
        <v>0</v>
      </c>
      <c r="BZ139" s="679">
        <f t="shared" si="137"/>
        <v>0</v>
      </c>
      <c r="CA139" s="679">
        <f t="shared" si="137"/>
        <v>0.44444444444444442</v>
      </c>
      <c r="CB139" s="679">
        <f t="shared" si="137"/>
        <v>0.55555555555555558</v>
      </c>
      <c r="CC139" s="681">
        <f t="shared" si="137"/>
        <v>0</v>
      </c>
      <c r="CD139" s="412">
        <f t="shared" ref="CD139:CI139" si="138">IFERROR(CD80/SUM($CD80:$CI80),"")</f>
        <v>0</v>
      </c>
      <c r="CE139" s="680">
        <f t="shared" si="138"/>
        <v>0</v>
      </c>
      <c r="CF139" s="680">
        <f t="shared" si="138"/>
        <v>0</v>
      </c>
      <c r="CG139" s="680">
        <f t="shared" si="138"/>
        <v>0</v>
      </c>
      <c r="CH139" s="680">
        <f t="shared" si="138"/>
        <v>1</v>
      </c>
      <c r="CI139" s="414">
        <f t="shared" si="138"/>
        <v>0</v>
      </c>
      <c r="CJ139" s="412"/>
      <c r="CK139" s="680"/>
      <c r="CL139" s="680"/>
      <c r="CM139" s="680"/>
      <c r="CN139" s="680"/>
      <c r="CO139" s="414"/>
      <c r="CP139" s="412"/>
      <c r="CQ139" s="680"/>
      <c r="CR139" s="680"/>
      <c r="CS139" s="680"/>
      <c r="CT139" s="680"/>
      <c r="CU139" s="414"/>
      <c r="CV139" s="412"/>
      <c r="CW139" s="680"/>
      <c r="CX139" s="680"/>
      <c r="CY139" s="680"/>
      <c r="CZ139" s="680"/>
      <c r="DA139" s="414"/>
      <c r="DB139" s="412"/>
      <c r="DC139" s="680"/>
      <c r="DD139" s="680"/>
      <c r="DE139" s="680"/>
      <c r="DF139" s="680"/>
      <c r="DG139" s="414"/>
      <c r="DH139" s="412"/>
      <c r="DI139" s="680"/>
      <c r="DJ139" s="680"/>
      <c r="DK139" s="680"/>
      <c r="DL139" s="680"/>
      <c r="DM139" s="414"/>
      <c r="DN139" s="412"/>
      <c r="DO139" s="680"/>
      <c r="DP139" s="680"/>
      <c r="DQ139" s="680"/>
      <c r="DR139" s="680"/>
      <c r="DS139" s="414"/>
      <c r="DT139" s="412"/>
      <c r="DU139" s="680"/>
      <c r="DV139" s="680"/>
      <c r="DW139" s="680"/>
      <c r="DX139" s="680"/>
      <c r="DY139" s="414"/>
      <c r="DZ139" s="412"/>
      <c r="EA139" s="680"/>
      <c r="EB139" s="680"/>
      <c r="EC139" s="680"/>
      <c r="ED139" s="680"/>
      <c r="EE139" s="414"/>
      <c r="EF139" s="196">
        <f t="shared" si="49"/>
        <v>18</v>
      </c>
      <c r="EG139" s="202"/>
      <c r="EH139" s="579">
        <v>18</v>
      </c>
      <c r="EI139" s="603">
        <f t="shared" ref="EI139:EI153" si="139">AVERAGE(D139,F139,H139,J139,L139,N139,P139,R139,T139,V139,X139,Z139,AB139,AD139,AF139,AH139,AJ139,AL139,AN139,AP139,AR139,AT139,AV139,AX139,AZ139,BB139,BD139)</f>
        <v>8.3333333333333329E-2</v>
      </c>
      <c r="EJ139" s="603">
        <f t="shared" ref="EJ139:EJ153" si="140">AVERAGE(BA139,AY139,AW139,AU139,AS139,AQ139,AO139,AM139,AK139,AI139,AG139,AE139,AC139,AA139,Y139,W139,U139,S139,Q139,O139,M139,K139,I139,G139,E139,BC139,BE139)</f>
        <v>0.91666666666666663</v>
      </c>
      <c r="EK139" s="579">
        <v>18</v>
      </c>
      <c r="EL139" s="603">
        <f t="shared" ref="EL139:EL153" si="141">AVERAGE(BB139,AZ139,AX139,AV139,AT139,AR139,AP139,AN139,AL139,AJ139,BD139)</f>
        <v>0.25</v>
      </c>
      <c r="EM139" s="603">
        <f t="shared" ref="EM139:EM153" si="142">AVERAGE(BC139,BA139,AY139,AW139,AU139,AS139,AQ139,AO139,AM139,AK139,BE139)</f>
        <v>0.75</v>
      </c>
      <c r="EN139" s="579">
        <v>18</v>
      </c>
      <c r="EO139" s="603">
        <f t="shared" ref="EO139:EO149" si="143">AVERAGE(D139,F139,H139,J139,L139,N139,P139,R139,T139,V139,X139,Z139,AB139,AD139,AF139,AH139)</f>
        <v>0</v>
      </c>
      <c r="EP139" s="603">
        <f t="shared" ref="EP139:EP149" si="144">AVERAGE(E139,G139,I139,K139,M139,O139,Q139,S139,U139,W139,Y139,AA139,AC139,AE139,AG139,AI139)</f>
        <v>1</v>
      </c>
      <c r="EQ139" s="580"/>
      <c r="ER139" s="580"/>
      <c r="ES139" s="519"/>
      <c r="ET139" s="519"/>
      <c r="EU139" s="580"/>
      <c r="EV139" s="580"/>
      <c r="EW139" s="580"/>
      <c r="EX139" s="580"/>
      <c r="EY139" s="580"/>
      <c r="EZ139" s="580"/>
      <c r="FA139" s="580"/>
      <c r="FB139" s="580"/>
      <c r="FC139" s="580"/>
      <c r="FD139" s="580"/>
      <c r="FE139" s="580"/>
      <c r="FF139" s="580"/>
      <c r="FG139" s="580"/>
      <c r="FH139" s="580"/>
    </row>
    <row r="140" spans="1:164" x14ac:dyDescent="0.2">
      <c r="A140" s="159">
        <v>19</v>
      </c>
      <c r="B140" s="406"/>
      <c r="C140" s="407"/>
      <c r="D140" s="406"/>
      <c r="E140" s="407"/>
      <c r="F140" s="409"/>
      <c r="G140" s="409"/>
      <c r="H140" s="406"/>
      <c r="I140" s="407"/>
      <c r="J140" s="409"/>
      <c r="K140" s="409"/>
      <c r="L140" s="421">
        <f t="shared" si="134"/>
        <v>0.22222222222222221</v>
      </c>
      <c r="M140" s="411">
        <f t="shared" si="135"/>
        <v>0.77777777777777779</v>
      </c>
      <c r="N140" s="409"/>
      <c r="O140" s="409"/>
      <c r="P140" s="406"/>
      <c r="Q140" s="407"/>
      <c r="R140" s="408">
        <f>R81/SUM(R81:S81)</f>
        <v>1</v>
      </c>
      <c r="S140" s="408">
        <f>S81/SUM(R81:S81)</f>
        <v>0</v>
      </c>
      <c r="T140" s="410">
        <f>T81/SUM(T81:U81)</f>
        <v>0</v>
      </c>
      <c r="U140" s="411">
        <f>U81/SUM(T81:U81)</f>
        <v>1</v>
      </c>
      <c r="V140" s="408">
        <f>V81/SUM(V81:W81)</f>
        <v>0</v>
      </c>
      <c r="W140" s="408">
        <f>W81/SUM(V81:W81)</f>
        <v>1</v>
      </c>
      <c r="X140" s="410">
        <f>X81/SUM(X81:Y81)</f>
        <v>0</v>
      </c>
      <c r="Y140" s="411">
        <f>Y81/SUM(X81:Y81)</f>
        <v>1</v>
      </c>
      <c r="Z140" s="409"/>
      <c r="AA140" s="409"/>
      <c r="AB140" s="410">
        <f>AB81/SUM(AB81:AC81)</f>
        <v>0</v>
      </c>
      <c r="AC140" s="411">
        <f>AC81/SUM(AB81:AC81)</f>
        <v>1</v>
      </c>
      <c r="AD140" s="409"/>
      <c r="AE140" s="409"/>
      <c r="AF140" s="406"/>
      <c r="AG140" s="202"/>
      <c r="AH140" s="406"/>
      <c r="AI140" s="415"/>
      <c r="AJ140" s="420">
        <f>AJ81/SUM(AJ81:AK81)</f>
        <v>0</v>
      </c>
      <c r="AK140" s="411">
        <f>AK81/SUM(AJ81:AK81)</f>
        <v>1</v>
      </c>
      <c r="AL140" s="408">
        <f>AL81/SUM(AL81:AM81)</f>
        <v>0</v>
      </c>
      <c r="AM140" s="408">
        <f>AM81/SUM(AL81:AM81)</f>
        <v>1</v>
      </c>
      <c r="AN140" s="406"/>
      <c r="AO140" s="407"/>
      <c r="AP140" s="408">
        <f>AP81/SUM(AP81:AQ81)</f>
        <v>0</v>
      </c>
      <c r="AQ140" s="408">
        <f>AQ81/SUM(AP81:AQ81)</f>
        <v>1</v>
      </c>
      <c r="AR140" s="410">
        <f>AR81/SUM(AR81:AS81)</f>
        <v>0</v>
      </c>
      <c r="AS140" s="411">
        <f>AS81/SUM(AR81:AS81)</f>
        <v>1</v>
      </c>
      <c r="AT140" s="408">
        <f>AT81/SUM(AT81:AU81)</f>
        <v>0</v>
      </c>
      <c r="AU140" s="408">
        <f t="shared" si="58"/>
        <v>1</v>
      </c>
      <c r="AV140" s="410">
        <f>AV81/SUM(AV81:AW81)</f>
        <v>0</v>
      </c>
      <c r="AW140" s="411">
        <f>AW81/SUM(AV81:AW81)</f>
        <v>1</v>
      </c>
      <c r="AX140" s="408">
        <f t="shared" si="86"/>
        <v>0.1276595744680851</v>
      </c>
      <c r="AY140" s="408">
        <f t="shared" si="87"/>
        <v>0.87234042553191493</v>
      </c>
      <c r="AZ140" s="410">
        <f>AZ81/SUM(AZ81:BA81)</f>
        <v>6.3444108761329304E-2</v>
      </c>
      <c r="BA140" s="411">
        <f>BA81/SUM(AZ81:BA81)</f>
        <v>0.93655589123867067</v>
      </c>
      <c r="BB140" s="410">
        <f>BB81/SUM(BB81:BC81)</f>
        <v>0</v>
      </c>
      <c r="BC140" s="420">
        <f>BC81/SUM(BB81:BC81)</f>
        <v>1</v>
      </c>
      <c r="BD140" s="410">
        <f>BD81/SUM(BD81:BE81)</f>
        <v>0</v>
      </c>
      <c r="BE140" s="411">
        <f>BE81/SUM(BD81:BE81)</f>
        <v>1</v>
      </c>
      <c r="BF140" s="410">
        <f>BF81/SUM($BF81:$BK81)</f>
        <v>0</v>
      </c>
      <c r="BG140" s="420">
        <f t="shared" ref="BG140:BK140" si="145">BG81/SUM($BF81:$BK81)</f>
        <v>0</v>
      </c>
      <c r="BH140" s="420">
        <f t="shared" si="145"/>
        <v>0</v>
      </c>
      <c r="BI140" s="420">
        <f t="shared" si="145"/>
        <v>0.6875</v>
      </c>
      <c r="BJ140" s="420">
        <f t="shared" si="145"/>
        <v>0.3125</v>
      </c>
      <c r="BK140" s="420">
        <f t="shared" si="145"/>
        <v>0</v>
      </c>
      <c r="BL140" s="410">
        <f t="shared" ref="BL140:BQ140" si="146">BL81/SUM($BL81:$BQ81)</f>
        <v>0</v>
      </c>
      <c r="BM140" s="420">
        <f t="shared" si="146"/>
        <v>0</v>
      </c>
      <c r="BN140" s="420">
        <f t="shared" si="146"/>
        <v>0</v>
      </c>
      <c r="BO140" s="420">
        <f t="shared" si="146"/>
        <v>0.44</v>
      </c>
      <c r="BP140" s="420">
        <f t="shared" si="146"/>
        <v>0.56000000000000005</v>
      </c>
      <c r="BQ140" s="411">
        <f t="shared" si="146"/>
        <v>0</v>
      </c>
      <c r="BR140" s="410">
        <f t="shared" ref="BR140:BW140" si="147">BR81/SUM($BR81:$BW81)</f>
        <v>0</v>
      </c>
      <c r="BS140" s="420">
        <f t="shared" si="147"/>
        <v>0</v>
      </c>
      <c r="BT140" s="420">
        <f t="shared" si="147"/>
        <v>0</v>
      </c>
      <c r="BU140" s="420">
        <f t="shared" si="147"/>
        <v>0.77777777777777779</v>
      </c>
      <c r="BV140" s="420">
        <f t="shared" si="147"/>
        <v>0.22222222222222221</v>
      </c>
      <c r="BW140" s="411">
        <f t="shared" si="147"/>
        <v>0</v>
      </c>
      <c r="BX140" s="410">
        <f t="shared" si="101"/>
        <v>0</v>
      </c>
      <c r="BY140" s="420">
        <f t="shared" si="137"/>
        <v>0</v>
      </c>
      <c r="BZ140" s="420">
        <f t="shared" si="137"/>
        <v>0</v>
      </c>
      <c r="CA140" s="420">
        <f t="shared" si="137"/>
        <v>0.46153846153846156</v>
      </c>
      <c r="CB140" s="420">
        <f t="shared" si="137"/>
        <v>0.53846153846153844</v>
      </c>
      <c r="CC140" s="411">
        <f t="shared" si="137"/>
        <v>0</v>
      </c>
      <c r="CD140" s="406">
        <f t="shared" ref="CD140:CI140" si="148">IFERROR(CD81/SUM($CD81:$CI81),"")</f>
        <v>0</v>
      </c>
      <c r="CE140" s="202">
        <f t="shared" si="148"/>
        <v>0</v>
      </c>
      <c r="CF140" s="202">
        <f t="shared" si="148"/>
        <v>0</v>
      </c>
      <c r="CG140" s="202">
        <f t="shared" si="148"/>
        <v>1</v>
      </c>
      <c r="CH140" s="202">
        <f t="shared" si="148"/>
        <v>0</v>
      </c>
      <c r="CI140" s="407">
        <f t="shared" si="148"/>
        <v>0</v>
      </c>
      <c r="CJ140" s="146"/>
      <c r="CK140" s="202"/>
      <c r="CL140" s="202"/>
      <c r="CM140" s="202"/>
      <c r="CN140" s="202"/>
      <c r="CO140" s="407"/>
      <c r="CP140" s="406"/>
      <c r="CQ140" s="202"/>
      <c r="CR140" s="202"/>
      <c r="CS140" s="202"/>
      <c r="CT140" s="202"/>
      <c r="CU140" s="407"/>
      <c r="CV140" s="406"/>
      <c r="CW140" s="202"/>
      <c r="CX140" s="202"/>
      <c r="CY140" s="202"/>
      <c r="CZ140" s="202"/>
      <c r="DA140" s="407"/>
      <c r="DB140" s="406"/>
      <c r="DC140" s="202"/>
      <c r="DD140" s="202"/>
      <c r="DE140" s="202"/>
      <c r="DF140" s="202"/>
      <c r="DG140" s="407"/>
      <c r="DH140" s="406"/>
      <c r="DI140" s="202"/>
      <c r="DJ140" s="202"/>
      <c r="DK140" s="202"/>
      <c r="DL140" s="202"/>
      <c r="DM140" s="407"/>
      <c r="DN140" s="406"/>
      <c r="DO140" s="202"/>
      <c r="DP140" s="202"/>
      <c r="DQ140" s="202"/>
      <c r="DR140" s="202"/>
      <c r="DS140" s="407"/>
      <c r="DT140" s="406"/>
      <c r="DU140" s="202"/>
      <c r="DV140" s="202"/>
      <c r="DW140" s="202"/>
      <c r="DX140" s="202"/>
      <c r="DY140" s="407"/>
      <c r="DZ140" s="406"/>
      <c r="EA140" s="202"/>
      <c r="EB140" s="202"/>
      <c r="EC140" s="202"/>
      <c r="ED140" s="202"/>
      <c r="EE140" s="407"/>
      <c r="EF140" s="196">
        <f t="shared" si="49"/>
        <v>19</v>
      </c>
      <c r="EG140" s="202"/>
      <c r="EH140" s="579">
        <v>19</v>
      </c>
      <c r="EI140" s="603">
        <f t="shared" si="139"/>
        <v>8.8332869090727295E-2</v>
      </c>
      <c r="EJ140" s="603">
        <f t="shared" si="140"/>
        <v>0.91166713090927276</v>
      </c>
      <c r="EK140" s="579">
        <v>19</v>
      </c>
      <c r="EL140" s="603">
        <f t="shared" si="141"/>
        <v>1.911036832294144E-2</v>
      </c>
      <c r="EM140" s="603">
        <f t="shared" si="142"/>
        <v>0.98088963167705856</v>
      </c>
      <c r="EN140" s="579">
        <v>19</v>
      </c>
      <c r="EO140" s="603">
        <f t="shared" si="143"/>
        <v>0.20370370370370372</v>
      </c>
      <c r="EP140" s="603">
        <f t="shared" si="144"/>
        <v>0.79629629629629628</v>
      </c>
      <c r="EQ140" s="580"/>
      <c r="ER140" s="580"/>
      <c r="ES140" s="519"/>
      <c r="ET140" s="519"/>
      <c r="EU140" s="580"/>
      <c r="EV140" s="580"/>
      <c r="EW140" s="580"/>
      <c r="EX140" s="580"/>
      <c r="EY140" s="580"/>
      <c r="EZ140" s="580"/>
      <c r="FA140" s="580"/>
      <c r="FB140" s="580"/>
      <c r="FC140" s="580"/>
      <c r="FD140" s="580"/>
      <c r="FE140" s="580"/>
      <c r="FF140" s="580"/>
      <c r="FG140" s="580"/>
      <c r="FH140" s="580"/>
    </row>
    <row r="141" spans="1:164" x14ac:dyDescent="0.2">
      <c r="A141" s="159">
        <v>20</v>
      </c>
      <c r="B141" s="406"/>
      <c r="C141" s="407"/>
      <c r="D141" s="406"/>
      <c r="E141" s="407"/>
      <c r="F141" s="409"/>
      <c r="G141" s="409"/>
      <c r="H141" s="406"/>
      <c r="I141" s="407"/>
      <c r="J141" s="409"/>
      <c r="K141" s="409"/>
      <c r="L141" s="410">
        <f t="shared" si="134"/>
        <v>0</v>
      </c>
      <c r="M141" s="411">
        <f t="shared" si="135"/>
        <v>1</v>
      </c>
      <c r="N141" s="409"/>
      <c r="O141" s="409"/>
      <c r="P141" s="406"/>
      <c r="Q141" s="407"/>
      <c r="R141" s="409"/>
      <c r="S141" s="409"/>
      <c r="T141" s="406"/>
      <c r="U141" s="407"/>
      <c r="V141" s="408">
        <f>V82/SUM(V82:W82)</f>
        <v>0</v>
      </c>
      <c r="W141" s="408">
        <f>W82/SUM(V82:W82)</f>
        <v>1</v>
      </c>
      <c r="X141" s="410">
        <f>X82/SUM(X82:Y82)</f>
        <v>0</v>
      </c>
      <c r="Y141" s="411">
        <f>Y82/SUM(X82:Y82)</f>
        <v>1</v>
      </c>
      <c r="Z141" s="408">
        <f>Z82/SUM(Z82:AA82)</f>
        <v>0</v>
      </c>
      <c r="AA141" s="408">
        <f>AA82/SUM(Z82:AA82)</f>
        <v>1</v>
      </c>
      <c r="AB141" s="406"/>
      <c r="AC141" s="407"/>
      <c r="AD141" s="408">
        <f>AD82/SUM(AD82:AE82)</f>
        <v>0</v>
      </c>
      <c r="AE141" s="408">
        <f>AE82/SUM(AD82:AE82)</f>
        <v>1</v>
      </c>
      <c r="AF141" s="406"/>
      <c r="AG141" s="202"/>
      <c r="AH141" s="406"/>
      <c r="AI141" s="415"/>
      <c r="AJ141" s="202"/>
      <c r="AK141" s="407"/>
      <c r="AL141" s="408">
        <f>AL82/SUM(AL82:AM82)</f>
        <v>0</v>
      </c>
      <c r="AM141" s="408">
        <f>AM82/SUM(AL82:AM82)</f>
        <v>1</v>
      </c>
      <c r="AN141" s="406"/>
      <c r="AO141" s="407"/>
      <c r="AP141" s="408">
        <f>AP82/SUM(AP82:AQ82)</f>
        <v>0</v>
      </c>
      <c r="AQ141" s="408">
        <f>AQ82/SUM(AP82:AQ82)</f>
        <v>1</v>
      </c>
      <c r="AR141" s="406"/>
      <c r="AS141" s="407"/>
      <c r="AT141" s="409"/>
      <c r="AU141" s="409"/>
      <c r="AV141" s="410">
        <f>AV82/SUM(AV82:AW82)</f>
        <v>0</v>
      </c>
      <c r="AW141" s="411">
        <f>AW82/SUM(AV82:AW82)</f>
        <v>1</v>
      </c>
      <c r="AX141" s="408">
        <f t="shared" si="86"/>
        <v>0</v>
      </c>
      <c r="AY141" s="408">
        <f t="shared" si="87"/>
        <v>1</v>
      </c>
      <c r="AZ141" s="410">
        <f>AZ82/SUM(AZ82:BA82)</f>
        <v>4.4000000000000004E-2</v>
      </c>
      <c r="BA141" s="411">
        <f>BA82/SUM(AZ82:BA82)</f>
        <v>0.95599999999999996</v>
      </c>
      <c r="BB141" s="410">
        <f>BB82/SUM(BB82:BC82)</f>
        <v>0</v>
      </c>
      <c r="BC141" s="420">
        <f>BC82/SUM(BB82:BC82)</f>
        <v>1</v>
      </c>
      <c r="BD141" s="410">
        <f>BD82/SUM(BD82:BE82)</f>
        <v>6.0606060606060608E-2</v>
      </c>
      <c r="BE141" s="411">
        <f>BE82/SUM(BD82:BE82)</f>
        <v>0.93939393939393945</v>
      </c>
      <c r="BF141" s="410">
        <f t="shared" ref="BF141:BK141" si="149">BF82/SUM($BF82:$BK82)</f>
        <v>1.8181818181818181E-2</v>
      </c>
      <c r="BG141" s="420">
        <f t="shared" si="149"/>
        <v>1.8181818181818181E-2</v>
      </c>
      <c r="BH141" s="420">
        <f t="shared" si="149"/>
        <v>0</v>
      </c>
      <c r="BI141" s="420">
        <f t="shared" si="149"/>
        <v>0.30909090909090908</v>
      </c>
      <c r="BJ141" s="420">
        <f t="shared" si="149"/>
        <v>0.65454545454545454</v>
      </c>
      <c r="BK141" s="420">
        <f t="shared" si="149"/>
        <v>0</v>
      </c>
      <c r="BL141" s="410">
        <f t="shared" ref="BL141:BQ141" si="150">BL82/SUM($BL82:$BQ82)</f>
        <v>2.247191011235955E-2</v>
      </c>
      <c r="BM141" s="420">
        <f t="shared" si="150"/>
        <v>0</v>
      </c>
      <c r="BN141" s="420">
        <f t="shared" si="150"/>
        <v>0</v>
      </c>
      <c r="BO141" s="420">
        <f t="shared" si="150"/>
        <v>0.30337078651685395</v>
      </c>
      <c r="BP141" s="420">
        <f t="shared" si="150"/>
        <v>0.651685393258427</v>
      </c>
      <c r="BQ141" s="411">
        <f t="shared" si="150"/>
        <v>2.247191011235955E-2</v>
      </c>
      <c r="BR141" s="410">
        <f t="shared" ref="BR141:BW141" si="151">BR82/SUM($BR82:$BW82)</f>
        <v>0</v>
      </c>
      <c r="BS141" s="420">
        <f t="shared" si="151"/>
        <v>0</v>
      </c>
      <c r="BT141" s="420">
        <f t="shared" si="151"/>
        <v>0</v>
      </c>
      <c r="BU141" s="420">
        <f t="shared" si="151"/>
        <v>0.38095238095238093</v>
      </c>
      <c r="BV141" s="420">
        <f t="shared" si="151"/>
        <v>0.61904761904761907</v>
      </c>
      <c r="BW141" s="411">
        <f t="shared" si="151"/>
        <v>0</v>
      </c>
      <c r="BX141" s="408"/>
      <c r="BY141" s="408"/>
      <c r="BZ141" s="408"/>
      <c r="CA141" s="408"/>
      <c r="CB141" s="408"/>
      <c r="CC141" s="408"/>
      <c r="CD141" s="406">
        <f t="shared" ref="CD141:CI141" si="152">IFERROR(CD82/SUM($CD82:$CI82),"")</f>
        <v>0</v>
      </c>
      <c r="CE141" s="202">
        <f t="shared" si="152"/>
        <v>0</v>
      </c>
      <c r="CF141" s="202">
        <f t="shared" si="152"/>
        <v>0</v>
      </c>
      <c r="CG141" s="202">
        <f t="shared" si="152"/>
        <v>0.5</v>
      </c>
      <c r="CH141" s="202">
        <f t="shared" si="152"/>
        <v>0.5</v>
      </c>
      <c r="CI141" s="407">
        <f t="shared" si="152"/>
        <v>0</v>
      </c>
      <c r="CJ141" s="406"/>
      <c r="CK141" s="202"/>
      <c r="CL141" s="202"/>
      <c r="CM141" s="202"/>
      <c r="CN141" s="202"/>
      <c r="CO141" s="407"/>
      <c r="CP141" s="406"/>
      <c r="CQ141" s="202"/>
      <c r="CR141" s="202"/>
      <c r="CS141" s="202"/>
      <c r="CT141" s="202"/>
      <c r="CU141" s="407"/>
      <c r="CV141" s="406"/>
      <c r="CW141" s="202"/>
      <c r="CX141" s="202"/>
      <c r="CY141" s="202"/>
      <c r="CZ141" s="202"/>
      <c r="DA141" s="407"/>
      <c r="DB141" s="406"/>
      <c r="DC141" s="202"/>
      <c r="DD141" s="202"/>
      <c r="DE141" s="202"/>
      <c r="DF141" s="202"/>
      <c r="DG141" s="407"/>
      <c r="DH141" s="406"/>
      <c r="DI141" s="202"/>
      <c r="DJ141" s="202"/>
      <c r="DK141" s="202"/>
      <c r="DL141" s="202"/>
      <c r="DM141" s="407"/>
      <c r="DN141" s="406"/>
      <c r="DO141" s="202"/>
      <c r="DP141" s="202"/>
      <c r="DQ141" s="202"/>
      <c r="DR141" s="202"/>
      <c r="DS141" s="407"/>
      <c r="DT141" s="406"/>
      <c r="DU141" s="202"/>
      <c r="DV141" s="202"/>
      <c r="DW141" s="202"/>
      <c r="DX141" s="202"/>
      <c r="DY141" s="407"/>
      <c r="DZ141" s="406"/>
      <c r="EA141" s="202"/>
      <c r="EB141" s="202"/>
      <c r="EC141" s="202"/>
      <c r="ED141" s="202"/>
      <c r="EE141" s="407"/>
      <c r="EF141" s="196">
        <f t="shared" si="49"/>
        <v>20</v>
      </c>
      <c r="EG141" s="202"/>
      <c r="EH141" s="579">
        <v>20</v>
      </c>
      <c r="EI141" s="603">
        <f t="shared" si="139"/>
        <v>8.7171717171717188E-3</v>
      </c>
      <c r="EJ141" s="603">
        <f t="shared" si="140"/>
        <v>0.99128282828282821</v>
      </c>
      <c r="EK141" s="579">
        <v>20</v>
      </c>
      <c r="EL141" s="603">
        <f t="shared" si="141"/>
        <v>1.4943722943722945E-2</v>
      </c>
      <c r="EM141" s="603">
        <f t="shared" si="142"/>
        <v>0.98505627705627696</v>
      </c>
      <c r="EN141" s="579">
        <v>20</v>
      </c>
      <c r="EO141" s="603">
        <f t="shared" si="143"/>
        <v>0</v>
      </c>
      <c r="EP141" s="603">
        <f t="shared" si="144"/>
        <v>1</v>
      </c>
      <c r="EQ141" s="580"/>
      <c r="ER141" s="580"/>
      <c r="ES141" s="519"/>
      <c r="ET141" s="519"/>
      <c r="EU141" s="580"/>
      <c r="EV141" s="580"/>
      <c r="EW141" s="580"/>
      <c r="EX141" s="580"/>
      <c r="EY141" s="580"/>
      <c r="EZ141" s="580"/>
      <c r="FA141" s="580"/>
      <c r="FB141" s="580"/>
      <c r="FC141" s="580"/>
      <c r="FD141" s="580"/>
      <c r="FE141" s="580"/>
      <c r="FF141" s="580"/>
      <c r="FG141" s="580"/>
      <c r="FH141" s="580"/>
    </row>
    <row r="142" spans="1:164" x14ac:dyDescent="0.2">
      <c r="A142" s="159">
        <v>21</v>
      </c>
      <c r="B142" s="406"/>
      <c r="C142" s="407"/>
      <c r="D142" s="406"/>
      <c r="E142" s="407"/>
      <c r="F142" s="409"/>
      <c r="G142" s="409"/>
      <c r="H142" s="406"/>
      <c r="I142" s="407"/>
      <c r="J142" s="409"/>
      <c r="K142" s="409"/>
      <c r="L142" s="410">
        <f t="shared" si="134"/>
        <v>6.5217391304347824E-2</v>
      </c>
      <c r="M142" s="411">
        <f t="shared" si="135"/>
        <v>0.93478260869565222</v>
      </c>
      <c r="N142" s="409"/>
      <c r="O142" s="409"/>
      <c r="P142" s="406"/>
      <c r="Q142" s="407"/>
      <c r="R142" s="408">
        <f>R83/SUM(R83:S83)</f>
        <v>1</v>
      </c>
      <c r="S142" s="408">
        <f>S83/SUM(R83:S83)</f>
        <v>0</v>
      </c>
      <c r="T142" s="410">
        <f>T83/SUM(T83:U83)</f>
        <v>0</v>
      </c>
      <c r="U142" s="411">
        <f>U83/SUM(T83:U83)</f>
        <v>1</v>
      </c>
      <c r="V142" s="408">
        <f>V83/SUM(V83:W83)</f>
        <v>0</v>
      </c>
      <c r="W142" s="408">
        <f>W83/SUM(V83:W83)</f>
        <v>1</v>
      </c>
      <c r="X142" s="406"/>
      <c r="Y142" s="407"/>
      <c r="Z142" s="408">
        <f>Z83/SUM(Z83:AA83)</f>
        <v>0</v>
      </c>
      <c r="AA142" s="408">
        <f>AA83/SUM(Z83:AA83)</f>
        <v>1</v>
      </c>
      <c r="AB142" s="406"/>
      <c r="AC142" s="407"/>
      <c r="AD142" s="408">
        <f>AD83/SUM(AD83:AE83)</f>
        <v>0</v>
      </c>
      <c r="AE142" s="408">
        <f>AE83/SUM(AD83:AE83)</f>
        <v>1</v>
      </c>
      <c r="AF142" s="406"/>
      <c r="AG142" s="202"/>
      <c r="AH142" s="406"/>
      <c r="AI142" s="415"/>
      <c r="AJ142" s="202"/>
      <c r="AK142" s="407"/>
      <c r="AL142" s="408">
        <f>AL83/SUM(AL83:AM83)</f>
        <v>0</v>
      </c>
      <c r="AM142" s="408">
        <f>AM83/SUM(AL83:AM83)</f>
        <v>1</v>
      </c>
      <c r="AN142" s="406"/>
      <c r="AO142" s="407"/>
      <c r="AP142" s="408">
        <f>AP83/SUM(AP83:AQ83)</f>
        <v>0</v>
      </c>
      <c r="AQ142" s="408">
        <f>AQ83/SUM(AP83:AQ83)</f>
        <v>1</v>
      </c>
      <c r="AR142" s="406"/>
      <c r="AS142" s="407"/>
      <c r="AT142" s="408">
        <f>AT83/SUM(AT83:AU83)</f>
        <v>0</v>
      </c>
      <c r="AU142" s="408">
        <f t="shared" si="58"/>
        <v>1</v>
      </c>
      <c r="AV142" s="406"/>
      <c r="AW142" s="407"/>
      <c r="AX142" s="409"/>
      <c r="AY142" s="409"/>
      <c r="AZ142" s="410">
        <f>AZ83/SUM(AZ83:BA83)</f>
        <v>0.12222222222222223</v>
      </c>
      <c r="BA142" s="411">
        <f>BA83/SUM(AZ83:BA83)</f>
        <v>0.87777777777777777</v>
      </c>
      <c r="BB142" s="410">
        <f>BB83/SUM(BB83:BC83)</f>
        <v>0</v>
      </c>
      <c r="BC142" s="420">
        <f>BC83/SUM(BB83:BC83)</f>
        <v>1</v>
      </c>
      <c r="BD142" s="410">
        <f>BD83/SUM(BD83:BE83)</f>
        <v>3.8461538461538464E-2</v>
      </c>
      <c r="BE142" s="411">
        <f>BE83/SUM(BD83:BE83)</f>
        <v>0.96153846153846156</v>
      </c>
      <c r="BF142" s="410">
        <f t="shared" ref="BF142:BK142" si="153">BF83/SUM($BF83:$BK83)</f>
        <v>0</v>
      </c>
      <c r="BG142" s="420">
        <f t="shared" si="153"/>
        <v>0</v>
      </c>
      <c r="BH142" s="420">
        <f t="shared" si="153"/>
        <v>0</v>
      </c>
      <c r="BI142" s="420">
        <f t="shared" si="153"/>
        <v>0.125</v>
      </c>
      <c r="BJ142" s="420">
        <f t="shared" si="153"/>
        <v>0.875</v>
      </c>
      <c r="BK142" s="420">
        <f t="shared" si="153"/>
        <v>0</v>
      </c>
      <c r="BL142" s="410">
        <f t="shared" ref="BL142:BQ142" si="154">BL83/SUM($BL83:$BQ83)</f>
        <v>2.0408163265306121E-2</v>
      </c>
      <c r="BM142" s="420">
        <f t="shared" si="154"/>
        <v>0</v>
      </c>
      <c r="BN142" s="420">
        <f t="shared" si="154"/>
        <v>0</v>
      </c>
      <c r="BO142" s="420">
        <f t="shared" si="154"/>
        <v>0.2857142857142857</v>
      </c>
      <c r="BP142" s="420">
        <f t="shared" si="154"/>
        <v>0.69387755102040816</v>
      </c>
      <c r="BQ142" s="411">
        <f t="shared" si="154"/>
        <v>0</v>
      </c>
      <c r="BR142" s="410">
        <f t="shared" ref="BR142:BW142" si="155">BR83/SUM($BR83:$BW83)</f>
        <v>0</v>
      </c>
      <c r="BS142" s="420">
        <f t="shared" si="155"/>
        <v>0</v>
      </c>
      <c r="BT142" s="420">
        <f t="shared" si="155"/>
        <v>0</v>
      </c>
      <c r="BU142" s="420">
        <f t="shared" si="155"/>
        <v>0.41304347826086957</v>
      </c>
      <c r="BV142" s="420">
        <f t="shared" si="155"/>
        <v>0.58695652173913049</v>
      </c>
      <c r="BW142" s="411">
        <f t="shared" si="155"/>
        <v>0</v>
      </c>
      <c r="BX142" s="410">
        <f t="shared" si="101"/>
        <v>0</v>
      </c>
      <c r="BY142" s="420">
        <f t="shared" si="137"/>
        <v>0</v>
      </c>
      <c r="BZ142" s="420">
        <f t="shared" si="137"/>
        <v>0</v>
      </c>
      <c r="CA142" s="420">
        <f t="shared" si="137"/>
        <v>0</v>
      </c>
      <c r="CB142" s="420">
        <f t="shared" si="137"/>
        <v>1</v>
      </c>
      <c r="CC142" s="411">
        <f t="shared" si="137"/>
        <v>0</v>
      </c>
      <c r="CD142" s="406">
        <f t="shared" ref="CD142:CI142" si="156">IFERROR(CD83/SUM($CD83:$CI83),"")</f>
        <v>0</v>
      </c>
      <c r="CE142" s="202">
        <f t="shared" si="156"/>
        <v>0</v>
      </c>
      <c r="CF142" s="202">
        <f t="shared" si="156"/>
        <v>0</v>
      </c>
      <c r="CG142" s="202">
        <f t="shared" si="156"/>
        <v>0.5</v>
      </c>
      <c r="CH142" s="202">
        <f t="shared" si="156"/>
        <v>0.5</v>
      </c>
      <c r="CI142" s="407">
        <f t="shared" si="156"/>
        <v>0</v>
      </c>
      <c r="CJ142" s="406"/>
      <c r="CK142" s="202"/>
      <c r="CL142" s="202"/>
      <c r="CM142" s="202"/>
      <c r="CN142" s="202"/>
      <c r="CO142" s="407"/>
      <c r="CP142" s="406"/>
      <c r="CQ142" s="202"/>
      <c r="CR142" s="202"/>
      <c r="CS142" s="202"/>
      <c r="CT142" s="202"/>
      <c r="CU142" s="407"/>
      <c r="CV142" s="406"/>
      <c r="CW142" s="202"/>
      <c r="CX142" s="202"/>
      <c r="CY142" s="202"/>
      <c r="CZ142" s="202"/>
      <c r="DA142" s="407"/>
      <c r="DB142" s="406"/>
      <c r="DC142" s="202"/>
      <c r="DD142" s="202"/>
      <c r="DE142" s="202"/>
      <c r="DF142" s="202"/>
      <c r="DG142" s="407"/>
      <c r="DH142" s="406"/>
      <c r="DI142" s="202"/>
      <c r="DJ142" s="202"/>
      <c r="DK142" s="202"/>
      <c r="DL142" s="202"/>
      <c r="DM142" s="407"/>
      <c r="DN142" s="406"/>
      <c r="DO142" s="202"/>
      <c r="DP142" s="202"/>
      <c r="DQ142" s="202"/>
      <c r="DR142" s="202"/>
      <c r="DS142" s="407"/>
      <c r="DT142" s="406"/>
      <c r="DU142" s="202"/>
      <c r="DV142" s="202"/>
      <c r="DW142" s="202"/>
      <c r="DX142" s="202"/>
      <c r="DY142" s="407"/>
      <c r="DZ142" s="406"/>
      <c r="EA142" s="202"/>
      <c r="EB142" s="202"/>
      <c r="EC142" s="202"/>
      <c r="ED142" s="202"/>
      <c r="EE142" s="407"/>
      <c r="EF142" s="196">
        <f t="shared" si="49"/>
        <v>21</v>
      </c>
      <c r="EG142" s="202"/>
      <c r="EH142" s="579">
        <v>21</v>
      </c>
      <c r="EI142" s="603">
        <f t="shared" si="139"/>
        <v>0.10215842933234238</v>
      </c>
      <c r="EJ142" s="603">
        <f t="shared" si="140"/>
        <v>0.89784157066765768</v>
      </c>
      <c r="EK142" s="579">
        <v>21</v>
      </c>
      <c r="EL142" s="603">
        <f t="shared" si="141"/>
        <v>2.6780626780626784E-2</v>
      </c>
      <c r="EM142" s="603">
        <f t="shared" si="142"/>
        <v>0.97321937321937335</v>
      </c>
      <c r="EN142" s="579">
        <v>21</v>
      </c>
      <c r="EO142" s="603">
        <f t="shared" si="143"/>
        <v>0.17753623188405798</v>
      </c>
      <c r="EP142" s="603">
        <f t="shared" si="144"/>
        <v>0.82246376811594202</v>
      </c>
      <c r="EQ142" s="580"/>
      <c r="ER142" s="580"/>
      <c r="ES142" s="519"/>
      <c r="ET142" s="519"/>
      <c r="EU142" s="580"/>
      <c r="EV142" s="580"/>
      <c r="EW142" s="580"/>
      <c r="EX142" s="580"/>
      <c r="EY142" s="580"/>
      <c r="EZ142" s="580"/>
      <c r="FA142" s="580"/>
      <c r="FB142" s="580"/>
      <c r="FC142" s="580"/>
      <c r="FD142" s="580"/>
      <c r="FE142" s="580"/>
      <c r="FF142" s="580"/>
      <c r="FG142" s="580"/>
      <c r="FH142" s="580"/>
    </row>
    <row r="143" spans="1:164" ht="12.75" customHeight="1" x14ac:dyDescent="0.2">
      <c r="A143" s="159">
        <v>22</v>
      </c>
      <c r="B143" s="406"/>
      <c r="C143" s="407"/>
      <c r="D143" s="406"/>
      <c r="E143" s="407"/>
      <c r="F143" s="409"/>
      <c r="G143" s="409"/>
      <c r="H143" s="406"/>
      <c r="I143" s="407"/>
      <c r="J143" s="409"/>
      <c r="K143" s="409"/>
      <c r="L143" s="410">
        <f t="shared" si="134"/>
        <v>7.6923076923076927E-2</v>
      </c>
      <c r="M143" s="411">
        <f t="shared" si="135"/>
        <v>0.92307692307692313</v>
      </c>
      <c r="N143" s="409"/>
      <c r="O143" s="409"/>
      <c r="P143" s="406"/>
      <c r="Q143" s="407"/>
      <c r="R143" s="409"/>
      <c r="S143" s="409"/>
      <c r="T143" s="410">
        <f>T84/SUM(T84:U84)</f>
        <v>0</v>
      </c>
      <c r="U143" s="411">
        <f>U84/SUM(T84:U84)</f>
        <v>1</v>
      </c>
      <c r="V143" s="408">
        <f>V84/SUM(V84:W84)</f>
        <v>0</v>
      </c>
      <c r="W143" s="408">
        <f>W84/SUM(V84:W84)</f>
        <v>1</v>
      </c>
      <c r="X143" s="410">
        <f>X84/SUM(X84:Y84)</f>
        <v>0</v>
      </c>
      <c r="Y143" s="411">
        <f>Y84/SUM(X84:Y84)</f>
        <v>1</v>
      </c>
      <c r="Z143" s="409"/>
      <c r="AA143" s="409"/>
      <c r="AB143" s="410">
        <f>AB84/SUM(AB84:AC84)</f>
        <v>0</v>
      </c>
      <c r="AC143" s="411">
        <f>AC84/SUM(AB84:AC84)</f>
        <v>1</v>
      </c>
      <c r="AD143" s="408">
        <f>AD84/SUM(AD84:AE84)</f>
        <v>0</v>
      </c>
      <c r="AE143" s="408">
        <f>AE84/SUM(AD84:AE84)</f>
        <v>1</v>
      </c>
      <c r="AF143" s="406"/>
      <c r="AG143" s="202"/>
      <c r="AH143" s="406"/>
      <c r="AI143" s="415"/>
      <c r="AJ143" s="202"/>
      <c r="AK143" s="407"/>
      <c r="AL143" s="408">
        <f>AL84/SUM(AL84:AM84)</f>
        <v>0</v>
      </c>
      <c r="AM143" s="408">
        <f>AM84/SUM(AL84:AM84)</f>
        <v>1</v>
      </c>
      <c r="AN143" s="406"/>
      <c r="AO143" s="407"/>
      <c r="AP143" s="409"/>
      <c r="AQ143" s="409"/>
      <c r="AR143" s="406"/>
      <c r="AS143" s="407"/>
      <c r="AT143" s="409"/>
      <c r="AU143" s="409"/>
      <c r="AV143" s="410">
        <f>AV84/SUM(AV84:AW84)</f>
        <v>0</v>
      </c>
      <c r="AW143" s="411">
        <f>AW84/SUM(AV84:AW84)</f>
        <v>1</v>
      </c>
      <c r="AX143" s="408">
        <f t="shared" si="86"/>
        <v>0</v>
      </c>
      <c r="AY143" s="408">
        <f>AY84/SUM(AX84:AY84)</f>
        <v>1</v>
      </c>
      <c r="AZ143" s="406"/>
      <c r="BA143" s="407"/>
      <c r="BB143" s="406"/>
      <c r="BC143" s="202"/>
      <c r="BD143" s="569"/>
      <c r="BE143" s="570"/>
      <c r="BF143" s="410">
        <f t="shared" ref="BF143:BK143" si="157">BF84/SUM($BF84:$BK84)</f>
        <v>0</v>
      </c>
      <c r="BG143" s="420">
        <f t="shared" si="157"/>
        <v>1.6949152542372881E-2</v>
      </c>
      <c r="BH143" s="420">
        <f t="shared" si="157"/>
        <v>0</v>
      </c>
      <c r="BI143" s="420">
        <f t="shared" si="157"/>
        <v>0.22033898305084745</v>
      </c>
      <c r="BJ143" s="420">
        <f t="shared" si="157"/>
        <v>0.76271186440677963</v>
      </c>
      <c r="BK143" s="420">
        <f t="shared" si="157"/>
        <v>0</v>
      </c>
      <c r="BL143" s="406"/>
      <c r="BM143" s="202"/>
      <c r="BN143" s="202"/>
      <c r="BO143" s="202"/>
      <c r="BP143" s="202"/>
      <c r="BQ143" s="407"/>
      <c r="BR143" s="410">
        <f t="shared" ref="BR143:BW143" si="158">BR84/SUM($BR84:$BW84)</f>
        <v>6.6666666666666666E-2</v>
      </c>
      <c r="BS143" s="420">
        <f t="shared" si="158"/>
        <v>0</v>
      </c>
      <c r="BT143" s="420">
        <f t="shared" si="158"/>
        <v>0</v>
      </c>
      <c r="BU143" s="420">
        <f t="shared" si="158"/>
        <v>0.13333333333333333</v>
      </c>
      <c r="BV143" s="420">
        <f t="shared" si="158"/>
        <v>0.8</v>
      </c>
      <c r="BW143" s="411">
        <f t="shared" si="158"/>
        <v>0</v>
      </c>
      <c r="BX143" s="409"/>
      <c r="BY143" s="409"/>
      <c r="BZ143" s="409"/>
      <c r="CA143" s="409"/>
      <c r="CB143" s="409"/>
      <c r="CC143" s="409"/>
      <c r="CD143" s="406" t="str">
        <f t="shared" ref="CD143:CI143" si="159">IFERROR(CD84/SUM($CD84:$CI84),"")</f>
        <v/>
      </c>
      <c r="CE143" s="202" t="str">
        <f t="shared" si="159"/>
        <v/>
      </c>
      <c r="CF143" s="202" t="str">
        <f t="shared" si="159"/>
        <v/>
      </c>
      <c r="CG143" s="202" t="str">
        <f t="shared" si="159"/>
        <v/>
      </c>
      <c r="CH143" s="202" t="str">
        <f t="shared" si="159"/>
        <v/>
      </c>
      <c r="CI143" s="407" t="str">
        <f t="shared" si="159"/>
        <v/>
      </c>
      <c r="CJ143" s="406"/>
      <c r="CK143" s="202"/>
      <c r="CL143" s="202"/>
      <c r="CM143" s="202"/>
      <c r="CN143" s="202"/>
      <c r="CO143" s="407"/>
      <c r="CP143" s="406"/>
      <c r="CQ143" s="202"/>
      <c r="CR143" s="202"/>
      <c r="CS143" s="202"/>
      <c r="CT143" s="202"/>
      <c r="CU143" s="407"/>
      <c r="CV143" s="406"/>
      <c r="CW143" s="202"/>
      <c r="CX143" s="202"/>
      <c r="CY143" s="202"/>
      <c r="CZ143" s="202"/>
      <c r="DA143" s="407"/>
      <c r="DB143" s="406"/>
      <c r="DC143" s="202"/>
      <c r="DD143" s="202"/>
      <c r="DE143" s="202"/>
      <c r="DF143" s="202"/>
      <c r="DG143" s="407"/>
      <c r="DH143" s="406"/>
      <c r="DI143" s="202"/>
      <c r="DJ143" s="202"/>
      <c r="DK143" s="202"/>
      <c r="DL143" s="202"/>
      <c r="DM143" s="407"/>
      <c r="DN143" s="406"/>
      <c r="DO143" s="202"/>
      <c r="DP143" s="202"/>
      <c r="DQ143" s="202"/>
      <c r="DR143" s="202"/>
      <c r="DS143" s="407"/>
      <c r="DT143" s="406"/>
      <c r="DU143" s="202"/>
      <c r="DV143" s="202"/>
      <c r="DW143" s="202"/>
      <c r="DX143" s="202"/>
      <c r="DY143" s="407"/>
      <c r="DZ143" s="406"/>
      <c r="EA143" s="202"/>
      <c r="EB143" s="202"/>
      <c r="EC143" s="202"/>
      <c r="ED143" s="202"/>
      <c r="EE143" s="407"/>
      <c r="EF143" s="196">
        <f t="shared" si="49"/>
        <v>22</v>
      </c>
      <c r="EG143" s="202"/>
      <c r="EH143" s="579">
        <v>22</v>
      </c>
      <c r="EI143" s="603">
        <f t="shared" si="139"/>
        <v>8.5470085470085479E-3</v>
      </c>
      <c r="EJ143" s="603">
        <f t="shared" si="140"/>
        <v>0.99145299145299148</v>
      </c>
      <c r="EK143" s="579">
        <v>22</v>
      </c>
      <c r="EL143" s="603">
        <f t="shared" si="141"/>
        <v>0</v>
      </c>
      <c r="EM143" s="603">
        <f t="shared" si="142"/>
        <v>1</v>
      </c>
      <c r="EN143" s="579">
        <v>22</v>
      </c>
      <c r="EO143" s="603">
        <f t="shared" si="143"/>
        <v>1.2820512820512822E-2</v>
      </c>
      <c r="EP143" s="603">
        <f t="shared" si="144"/>
        <v>0.98717948717948723</v>
      </c>
      <c r="EQ143" s="580"/>
      <c r="ER143" s="580"/>
      <c r="ES143" s="519"/>
      <c r="ET143" s="519"/>
      <c r="EU143" s="580"/>
      <c r="EV143" s="580"/>
      <c r="EW143" s="580"/>
      <c r="EX143" s="580"/>
      <c r="EY143" s="580"/>
      <c r="EZ143" s="580"/>
      <c r="FA143" s="580"/>
      <c r="FB143" s="580"/>
      <c r="FC143" s="580"/>
      <c r="FD143" s="580"/>
      <c r="FE143" s="580"/>
      <c r="FF143" s="580"/>
      <c r="FG143" s="580"/>
      <c r="FH143" s="580"/>
    </row>
    <row r="144" spans="1:164" x14ac:dyDescent="0.2">
      <c r="A144" s="159">
        <v>23</v>
      </c>
      <c r="B144" s="406"/>
      <c r="C144" s="407"/>
      <c r="D144" s="406"/>
      <c r="E144" s="407"/>
      <c r="F144" s="409"/>
      <c r="G144" s="409"/>
      <c r="H144" s="406"/>
      <c r="I144" s="407"/>
      <c r="J144" s="409"/>
      <c r="K144" s="409"/>
      <c r="L144" s="410">
        <f t="shared" si="134"/>
        <v>0</v>
      </c>
      <c r="M144" s="411">
        <f t="shared" si="135"/>
        <v>1</v>
      </c>
      <c r="N144" s="408">
        <f>N85/SUM(N85:O85)</f>
        <v>1</v>
      </c>
      <c r="O144" s="408">
        <f>O85/SUM(N85:O85)</f>
        <v>0</v>
      </c>
      <c r="P144" s="406"/>
      <c r="Q144" s="407"/>
      <c r="R144" s="408">
        <f>R85/SUM(R85:S85)</f>
        <v>1</v>
      </c>
      <c r="S144" s="408">
        <f>S85/SUM(R85:S85)</f>
        <v>0</v>
      </c>
      <c r="T144" s="410">
        <f>T85/SUM(T85:U85)</f>
        <v>0</v>
      </c>
      <c r="U144" s="411">
        <f>U85/SUM(T85:U85)</f>
        <v>1</v>
      </c>
      <c r="V144" s="408">
        <f>V85/SUM(V85:W85)</f>
        <v>0</v>
      </c>
      <c r="W144" s="408">
        <f>W85/SUM(V85:W85)</f>
        <v>1</v>
      </c>
      <c r="X144" s="410">
        <f>X85/SUM(X85:Y85)</f>
        <v>0</v>
      </c>
      <c r="Y144" s="411">
        <f>Y85/SUM(X85:Y85)</f>
        <v>1</v>
      </c>
      <c r="Z144" s="409"/>
      <c r="AA144" s="409"/>
      <c r="AB144" s="406"/>
      <c r="AC144" s="407"/>
      <c r="AD144" s="409"/>
      <c r="AE144" s="409"/>
      <c r="AF144" s="406"/>
      <c r="AG144" s="202"/>
      <c r="AH144" s="406"/>
      <c r="AI144" s="415"/>
      <c r="AJ144" s="202"/>
      <c r="AK144" s="407"/>
      <c r="AL144" s="409"/>
      <c r="AM144" s="409"/>
      <c r="AN144" s="406"/>
      <c r="AO144" s="407"/>
      <c r="AP144" s="409"/>
      <c r="AQ144" s="409"/>
      <c r="AR144" s="410">
        <f>AR85/SUM(AR85:AS85)</f>
        <v>0</v>
      </c>
      <c r="AS144" s="411">
        <f>AS85/SUM(AR85:AS85)</f>
        <v>1</v>
      </c>
      <c r="AT144" s="408">
        <f>AT85/SUM(AT85:AU85)</f>
        <v>0</v>
      </c>
      <c r="AU144" s="408">
        <f t="shared" si="58"/>
        <v>1</v>
      </c>
      <c r="AV144" s="406"/>
      <c r="AW144" s="407"/>
      <c r="AX144" s="409"/>
      <c r="AY144" s="409"/>
      <c r="AZ144" s="406"/>
      <c r="BA144" s="407"/>
      <c r="BB144" s="406"/>
      <c r="BC144" s="202"/>
      <c r="BD144" s="569"/>
      <c r="BE144" s="570"/>
      <c r="BF144" s="410">
        <f t="shared" ref="BF144:BK144" si="160">BF85/SUM($BF85:$BK85)</f>
        <v>0</v>
      </c>
      <c r="BG144" s="420">
        <f t="shared" si="160"/>
        <v>0</v>
      </c>
      <c r="BH144" s="420">
        <f t="shared" si="160"/>
        <v>0</v>
      </c>
      <c r="BI144" s="420">
        <f t="shared" si="160"/>
        <v>1</v>
      </c>
      <c r="BJ144" s="420">
        <f t="shared" si="160"/>
        <v>0</v>
      </c>
      <c r="BK144" s="420">
        <f t="shared" si="160"/>
        <v>0</v>
      </c>
      <c r="BL144" s="406"/>
      <c r="BM144" s="202"/>
      <c r="BN144" s="202"/>
      <c r="BO144" s="202"/>
      <c r="BP144" s="202"/>
      <c r="BQ144" s="407"/>
      <c r="BR144" s="406"/>
      <c r="BS144" s="202"/>
      <c r="BT144" s="202"/>
      <c r="BU144" s="202"/>
      <c r="BV144" s="202"/>
      <c r="BW144" s="407"/>
      <c r="BX144" s="406"/>
      <c r="BY144" s="202"/>
      <c r="BZ144" s="202"/>
      <c r="CA144" s="202"/>
      <c r="CB144" s="202"/>
      <c r="CC144" s="407"/>
      <c r="CD144" s="202" t="str">
        <f t="shared" ref="CD144:CI144" si="161">IFERROR(CD85/SUM($CD85:$CI85),"")</f>
        <v/>
      </c>
      <c r="CE144" s="202" t="str">
        <f t="shared" si="161"/>
        <v/>
      </c>
      <c r="CF144" s="202" t="str">
        <f t="shared" si="161"/>
        <v/>
      </c>
      <c r="CG144" s="202" t="str">
        <f t="shared" si="161"/>
        <v/>
      </c>
      <c r="CH144" s="202" t="str">
        <f t="shared" si="161"/>
        <v/>
      </c>
      <c r="CI144" s="407" t="str">
        <f t="shared" si="161"/>
        <v/>
      </c>
      <c r="CJ144" s="202"/>
      <c r="CK144" s="202"/>
      <c r="CL144" s="202"/>
      <c r="CM144" s="202"/>
      <c r="CN144" s="202"/>
      <c r="CO144" s="407"/>
      <c r="CP144" s="202"/>
      <c r="CQ144" s="202"/>
      <c r="CR144" s="202"/>
      <c r="CS144" s="202"/>
      <c r="CT144" s="202"/>
      <c r="CU144" s="407"/>
      <c r="CV144" s="202"/>
      <c r="CW144" s="202"/>
      <c r="CX144" s="202"/>
      <c r="CY144" s="202"/>
      <c r="CZ144" s="202"/>
      <c r="DA144" s="407"/>
      <c r="DB144" s="202"/>
      <c r="DC144" s="202"/>
      <c r="DD144" s="202"/>
      <c r="DE144" s="202"/>
      <c r="DF144" s="202"/>
      <c r="DG144" s="407"/>
      <c r="DH144" s="202"/>
      <c r="DI144" s="202"/>
      <c r="DJ144" s="202"/>
      <c r="DK144" s="202"/>
      <c r="DL144" s="202"/>
      <c r="DM144" s="407"/>
      <c r="DN144" s="202"/>
      <c r="DO144" s="202"/>
      <c r="DP144" s="202"/>
      <c r="DQ144" s="202"/>
      <c r="DR144" s="202"/>
      <c r="DS144" s="407"/>
      <c r="DT144" s="202"/>
      <c r="DU144" s="202"/>
      <c r="DV144" s="202"/>
      <c r="DW144" s="202"/>
      <c r="DX144" s="202"/>
      <c r="DY144" s="407"/>
      <c r="DZ144" s="202"/>
      <c r="EA144" s="202"/>
      <c r="EB144" s="202"/>
      <c r="EC144" s="202"/>
      <c r="ED144" s="202"/>
      <c r="EE144" s="407"/>
      <c r="EF144" s="196">
        <f t="shared" si="49"/>
        <v>23</v>
      </c>
      <c r="EG144" s="202"/>
      <c r="EH144" s="579">
        <v>23</v>
      </c>
      <c r="EI144" s="603">
        <f t="shared" si="139"/>
        <v>0.25</v>
      </c>
      <c r="EJ144" s="603">
        <f t="shared" si="140"/>
        <v>0.75</v>
      </c>
      <c r="EK144" s="579">
        <v>23</v>
      </c>
      <c r="EL144" s="603">
        <f t="shared" si="141"/>
        <v>0</v>
      </c>
      <c r="EM144" s="603">
        <f t="shared" si="142"/>
        <v>1</v>
      </c>
      <c r="EN144" s="579">
        <v>23</v>
      </c>
      <c r="EO144" s="603">
        <f t="shared" si="143"/>
        <v>0.33333333333333331</v>
      </c>
      <c r="EP144" s="603">
        <f t="shared" si="144"/>
        <v>0.66666666666666663</v>
      </c>
      <c r="EQ144" s="580"/>
      <c r="ER144" s="580"/>
      <c r="ES144" s="519"/>
      <c r="ET144" s="519"/>
      <c r="EU144" s="580"/>
      <c r="EV144" s="580"/>
      <c r="EW144" s="580"/>
      <c r="EX144" s="580"/>
      <c r="EY144" s="580"/>
      <c r="EZ144" s="580"/>
      <c r="FA144" s="580"/>
      <c r="FB144" s="580"/>
      <c r="FC144" s="580"/>
      <c r="FD144" s="580"/>
      <c r="FE144" s="580"/>
      <c r="FF144" s="580"/>
      <c r="FG144" s="580"/>
      <c r="FH144" s="580"/>
    </row>
    <row r="145" spans="1:164" x14ac:dyDescent="0.2">
      <c r="A145" s="161">
        <v>24</v>
      </c>
      <c r="B145" s="202"/>
      <c r="C145" s="407"/>
      <c r="D145" s="202"/>
      <c r="E145" s="407"/>
      <c r="F145" s="202"/>
      <c r="G145" s="407"/>
      <c r="H145" s="202"/>
      <c r="I145" s="407"/>
      <c r="J145" s="202"/>
      <c r="K145" s="407"/>
      <c r="L145" s="420">
        <f t="shared" si="134"/>
        <v>0</v>
      </c>
      <c r="M145" s="411">
        <f t="shared" si="135"/>
        <v>1</v>
      </c>
      <c r="N145" s="202"/>
      <c r="O145" s="407"/>
      <c r="P145" s="202"/>
      <c r="Q145" s="407"/>
      <c r="R145" s="202"/>
      <c r="S145" s="407"/>
      <c r="T145" s="420">
        <f>T86/SUM(T86:U86)</f>
        <v>0</v>
      </c>
      <c r="U145" s="411">
        <f>U86/SUM(T86:U86)</f>
        <v>1</v>
      </c>
      <c r="V145" s="202"/>
      <c r="W145" s="411"/>
      <c r="X145" s="202"/>
      <c r="Y145" s="407"/>
      <c r="Z145" s="202"/>
      <c r="AA145" s="407"/>
      <c r="AB145" s="202"/>
      <c r="AC145" s="407"/>
      <c r="AD145" s="420">
        <f>AD86/SUM(AD86:AE86)</f>
        <v>0</v>
      </c>
      <c r="AE145" s="411">
        <f>AE86/SUM(AD86:AE86)</f>
        <v>1</v>
      </c>
      <c r="AF145" s="202"/>
      <c r="AG145" s="407"/>
      <c r="AH145" s="202"/>
      <c r="AI145" s="415"/>
      <c r="AJ145" s="202"/>
      <c r="AK145" s="407"/>
      <c r="AL145" s="202"/>
      <c r="AM145" s="407"/>
      <c r="AN145" s="202"/>
      <c r="AO145" s="407"/>
      <c r="AP145" s="202"/>
      <c r="AQ145" s="407"/>
      <c r="AR145" s="202"/>
      <c r="AS145" s="407"/>
      <c r="AT145" s="202"/>
      <c r="AU145" s="407"/>
      <c r="AV145" s="420">
        <f>AV86/SUM(AV86:AW86)</f>
        <v>0</v>
      </c>
      <c r="AW145" s="411">
        <f>AW86/SUM(AV86:AW86)</f>
        <v>1</v>
      </c>
      <c r="AX145" s="420">
        <f t="shared" si="86"/>
        <v>0</v>
      </c>
      <c r="AY145" s="411">
        <f>AY86/SUM(AX86:AY86)</f>
        <v>1</v>
      </c>
      <c r="AZ145" s="202"/>
      <c r="BA145" s="407"/>
      <c r="BB145" s="202"/>
      <c r="BC145" s="202"/>
      <c r="BD145" s="569"/>
      <c r="BE145" s="570"/>
      <c r="BF145" s="410">
        <f t="shared" ref="BF145:BK145" si="162">BF86/SUM($BF86:$BK86)</f>
        <v>0.1111111111111111</v>
      </c>
      <c r="BG145" s="420">
        <f t="shared" si="162"/>
        <v>0.1111111111111111</v>
      </c>
      <c r="BH145" s="420">
        <f t="shared" si="162"/>
        <v>0</v>
      </c>
      <c r="BI145" s="420">
        <f t="shared" si="162"/>
        <v>0.1111111111111111</v>
      </c>
      <c r="BJ145" s="420">
        <f t="shared" si="162"/>
        <v>0.66666666666666663</v>
      </c>
      <c r="BK145" s="420">
        <f t="shared" si="162"/>
        <v>0</v>
      </c>
      <c r="BL145" s="406"/>
      <c r="BM145" s="202"/>
      <c r="BN145" s="202"/>
      <c r="BO145" s="202"/>
      <c r="BP145" s="202"/>
      <c r="BQ145" s="407"/>
      <c r="BR145" s="406"/>
      <c r="BS145" s="202"/>
      <c r="BT145" s="202"/>
      <c r="BU145" s="202"/>
      <c r="BV145" s="202"/>
      <c r="BW145" s="407"/>
      <c r="BX145" s="410">
        <f t="shared" ref="BX145:CC145" si="163">BX86/SUM($BX86:$CC86)</f>
        <v>0</v>
      </c>
      <c r="BY145" s="420">
        <f t="shared" si="163"/>
        <v>0</v>
      </c>
      <c r="BZ145" s="420">
        <f t="shared" si="163"/>
        <v>0</v>
      </c>
      <c r="CA145" s="420">
        <f t="shared" si="163"/>
        <v>0</v>
      </c>
      <c r="CB145" s="420">
        <f t="shared" si="163"/>
        <v>0.5</v>
      </c>
      <c r="CC145" s="411">
        <f t="shared" si="163"/>
        <v>0.5</v>
      </c>
      <c r="CD145" s="202" t="str">
        <f t="shared" ref="CD145:CI145" si="164">IFERROR(CD86/SUM($CD86:$CI86),"")</f>
        <v/>
      </c>
      <c r="CE145" s="202" t="str">
        <f t="shared" si="164"/>
        <v/>
      </c>
      <c r="CF145" s="202" t="str">
        <f t="shared" si="164"/>
        <v/>
      </c>
      <c r="CG145" s="202" t="str">
        <f t="shared" si="164"/>
        <v/>
      </c>
      <c r="CH145" s="202" t="str">
        <f t="shared" si="164"/>
        <v/>
      </c>
      <c r="CI145" s="407" t="str">
        <f t="shared" si="164"/>
        <v/>
      </c>
      <c r="CJ145" s="202"/>
      <c r="CK145" s="202"/>
      <c r="CL145" s="202"/>
      <c r="CM145" s="202"/>
      <c r="CN145" s="202"/>
      <c r="CO145" s="407"/>
      <c r="CP145" s="202"/>
      <c r="CQ145" s="202"/>
      <c r="CR145" s="202"/>
      <c r="CS145" s="202"/>
      <c r="CT145" s="202"/>
      <c r="CU145" s="407"/>
      <c r="CV145" s="202"/>
      <c r="CW145" s="202"/>
      <c r="CX145" s="202"/>
      <c r="CY145" s="202"/>
      <c r="CZ145" s="202"/>
      <c r="DA145" s="407"/>
      <c r="DB145" s="202"/>
      <c r="DC145" s="202"/>
      <c r="DD145" s="202"/>
      <c r="DE145" s="202"/>
      <c r="DF145" s="202"/>
      <c r="DG145" s="407"/>
      <c r="DH145" s="202"/>
      <c r="DI145" s="202"/>
      <c r="DJ145" s="202"/>
      <c r="DK145" s="202"/>
      <c r="DL145" s="202"/>
      <c r="DM145" s="407"/>
      <c r="DN145" s="202"/>
      <c r="DO145" s="202"/>
      <c r="DP145" s="202"/>
      <c r="DQ145" s="202"/>
      <c r="DR145" s="202"/>
      <c r="DS145" s="407"/>
      <c r="DT145" s="202"/>
      <c r="DU145" s="202"/>
      <c r="DV145" s="202"/>
      <c r="DW145" s="202"/>
      <c r="DX145" s="202"/>
      <c r="DY145" s="407"/>
      <c r="DZ145" s="202"/>
      <c r="EA145" s="202"/>
      <c r="EB145" s="202"/>
      <c r="EC145" s="202"/>
      <c r="ED145" s="202"/>
      <c r="EE145" s="407"/>
      <c r="EF145" s="196">
        <f t="shared" si="49"/>
        <v>24</v>
      </c>
      <c r="EG145" s="202"/>
      <c r="EH145" s="579">
        <v>24</v>
      </c>
      <c r="EI145" s="603">
        <f t="shared" si="139"/>
        <v>0</v>
      </c>
      <c r="EJ145" s="603">
        <f t="shared" si="140"/>
        <v>1</v>
      </c>
      <c r="EK145" s="579">
        <v>24</v>
      </c>
      <c r="EL145" s="603">
        <f t="shared" si="141"/>
        <v>0</v>
      </c>
      <c r="EM145" s="603">
        <f t="shared" si="142"/>
        <v>1</v>
      </c>
      <c r="EN145" s="579">
        <v>24</v>
      </c>
      <c r="EO145" s="603">
        <f t="shared" si="143"/>
        <v>0</v>
      </c>
      <c r="EP145" s="603">
        <f t="shared" si="144"/>
        <v>1</v>
      </c>
      <c r="EQ145" s="580"/>
      <c r="ER145" s="580"/>
      <c r="ES145" s="519"/>
      <c r="ET145" s="519"/>
      <c r="EU145" s="580"/>
      <c r="EV145" s="580"/>
      <c r="EW145" s="580"/>
      <c r="EX145" s="580"/>
      <c r="EY145" s="580"/>
      <c r="EZ145" s="580"/>
      <c r="FA145" s="580"/>
      <c r="FB145" s="580"/>
      <c r="FC145" s="580"/>
      <c r="FD145" s="580"/>
      <c r="FE145" s="580"/>
      <c r="FF145" s="580"/>
      <c r="FG145" s="580"/>
      <c r="FH145" s="580"/>
    </row>
    <row r="146" spans="1:164" x14ac:dyDescent="0.2">
      <c r="A146" s="159">
        <v>25</v>
      </c>
      <c r="B146" s="202"/>
      <c r="C146" s="407"/>
      <c r="D146" s="202"/>
      <c r="E146" s="407"/>
      <c r="F146" s="202"/>
      <c r="G146" s="407"/>
      <c r="H146" s="202"/>
      <c r="I146" s="407"/>
      <c r="J146" s="202"/>
      <c r="K146" s="407"/>
      <c r="L146" s="202"/>
      <c r="M146" s="407"/>
      <c r="N146" s="202"/>
      <c r="O146" s="407"/>
      <c r="P146" s="202"/>
      <c r="Q146" s="407"/>
      <c r="R146" s="202"/>
      <c r="S146" s="407"/>
      <c r="T146" s="202"/>
      <c r="U146" s="407"/>
      <c r="V146" s="420">
        <f>V87/SUM(V87:W87)</f>
        <v>1</v>
      </c>
      <c r="W146" s="411">
        <f>W87/SUM(V87:W87)</f>
        <v>0</v>
      </c>
      <c r="X146" s="420">
        <f>X87/SUM(X87:Y87)</f>
        <v>0</v>
      </c>
      <c r="Y146" s="411">
        <f>Y87/SUM(X87:Y87)</f>
        <v>1</v>
      </c>
      <c r="Z146" s="202"/>
      <c r="AA146" s="407"/>
      <c r="AB146" s="202"/>
      <c r="AC146" s="407"/>
      <c r="AD146" s="202"/>
      <c r="AE146" s="407"/>
      <c r="AF146" s="202"/>
      <c r="AG146" s="407"/>
      <c r="AH146" s="202"/>
      <c r="AI146" s="415"/>
      <c r="AJ146" s="202"/>
      <c r="AK146" s="407"/>
      <c r="AL146" s="202"/>
      <c r="AM146" s="407"/>
      <c r="AN146" s="202"/>
      <c r="AO146" s="407"/>
      <c r="AP146" s="202"/>
      <c r="AQ146" s="407"/>
      <c r="AR146" s="420">
        <f>AR87/SUM(AR87:AS87)</f>
        <v>0</v>
      </c>
      <c r="AS146" s="411">
        <f>AS87/SUM(AR87:AS87)</f>
        <v>1</v>
      </c>
      <c r="AT146" s="420">
        <f>AT87/SUM(AT87:AU87)</f>
        <v>0</v>
      </c>
      <c r="AU146" s="411">
        <f t="shared" si="58"/>
        <v>1</v>
      </c>
      <c r="AV146" s="202"/>
      <c r="AW146" s="407"/>
      <c r="AX146" s="202"/>
      <c r="AY146" s="407"/>
      <c r="AZ146" s="202"/>
      <c r="BA146" s="407"/>
      <c r="BB146" s="406"/>
      <c r="BC146" s="202"/>
      <c r="BD146" s="569"/>
      <c r="BE146" s="571"/>
      <c r="BF146" s="410">
        <f t="shared" ref="BF146:BK146" si="165">BF87/SUM($BF87:$BK87)</f>
        <v>0.13333333333333333</v>
      </c>
      <c r="BG146" s="420">
        <f t="shared" si="165"/>
        <v>0</v>
      </c>
      <c r="BH146" s="420">
        <f t="shared" si="165"/>
        <v>0</v>
      </c>
      <c r="BI146" s="420">
        <f t="shared" si="165"/>
        <v>6.6666666666666666E-2</v>
      </c>
      <c r="BJ146" s="420">
        <f t="shared" si="165"/>
        <v>0.8</v>
      </c>
      <c r="BK146" s="420">
        <f t="shared" si="165"/>
        <v>0</v>
      </c>
      <c r="BL146" s="410">
        <f t="shared" ref="BL146:BQ146" si="166">BL87/SUM($BL87:$BQ87)</f>
        <v>0</v>
      </c>
      <c r="BM146" s="420">
        <f t="shared" si="166"/>
        <v>0</v>
      </c>
      <c r="BN146" s="420">
        <f t="shared" si="166"/>
        <v>0</v>
      </c>
      <c r="BO146" s="420">
        <f t="shared" si="166"/>
        <v>0</v>
      </c>
      <c r="BP146" s="420">
        <f t="shared" si="166"/>
        <v>1</v>
      </c>
      <c r="BQ146" s="411">
        <f t="shared" si="166"/>
        <v>0</v>
      </c>
      <c r="BR146" s="406"/>
      <c r="BS146" s="202"/>
      <c r="BT146" s="202"/>
      <c r="BU146" s="202"/>
      <c r="BV146" s="202"/>
      <c r="BW146" s="407"/>
      <c r="BX146" s="406"/>
      <c r="BY146" s="202"/>
      <c r="BZ146" s="202"/>
      <c r="CA146" s="202"/>
      <c r="CB146" s="202"/>
      <c r="CC146" s="407"/>
      <c r="CD146" s="406" t="str">
        <f t="shared" ref="CD146:CI146" si="167">IFERROR(CD87/SUM($CD87:$CI87),"")</f>
        <v/>
      </c>
      <c r="CE146" s="202" t="str">
        <f t="shared" si="167"/>
        <v/>
      </c>
      <c r="CF146" s="202" t="str">
        <f t="shared" si="167"/>
        <v/>
      </c>
      <c r="CG146" s="202" t="str">
        <f t="shared" si="167"/>
        <v/>
      </c>
      <c r="CH146" s="202" t="str">
        <f t="shared" si="167"/>
        <v/>
      </c>
      <c r="CI146" s="407" t="str">
        <f t="shared" si="167"/>
        <v/>
      </c>
      <c r="CJ146" s="406"/>
      <c r="CK146" s="202"/>
      <c r="CL146" s="202"/>
      <c r="CM146" s="202"/>
      <c r="CN146" s="202"/>
      <c r="CO146" s="407"/>
      <c r="CP146" s="406"/>
      <c r="CQ146" s="202"/>
      <c r="CR146" s="202"/>
      <c r="CS146" s="202"/>
      <c r="CT146" s="202"/>
      <c r="CU146" s="407"/>
      <c r="CV146" s="406"/>
      <c r="CW146" s="202"/>
      <c r="CX146" s="202"/>
      <c r="CY146" s="202"/>
      <c r="CZ146" s="202"/>
      <c r="DA146" s="407"/>
      <c r="DB146" s="406"/>
      <c r="DC146" s="202"/>
      <c r="DD146" s="202"/>
      <c r="DE146" s="202"/>
      <c r="DF146" s="202"/>
      <c r="DG146" s="407"/>
      <c r="DH146" s="406"/>
      <c r="DI146" s="202"/>
      <c r="DJ146" s="202"/>
      <c r="DK146" s="202"/>
      <c r="DL146" s="202"/>
      <c r="DM146" s="407"/>
      <c r="DN146" s="406"/>
      <c r="DO146" s="202"/>
      <c r="DP146" s="202"/>
      <c r="DQ146" s="202"/>
      <c r="DR146" s="202"/>
      <c r="DS146" s="407"/>
      <c r="DT146" s="406"/>
      <c r="DU146" s="202"/>
      <c r="DV146" s="202"/>
      <c r="DW146" s="202"/>
      <c r="DX146" s="202"/>
      <c r="DY146" s="407"/>
      <c r="DZ146" s="406"/>
      <c r="EA146" s="202"/>
      <c r="EB146" s="202"/>
      <c r="EC146" s="202"/>
      <c r="ED146" s="202"/>
      <c r="EE146" s="407"/>
      <c r="EF146" s="196">
        <f t="shared" si="49"/>
        <v>25</v>
      </c>
      <c r="EG146" s="202"/>
      <c r="EH146" s="579">
        <v>25</v>
      </c>
      <c r="EI146" s="603">
        <f t="shared" si="139"/>
        <v>0.25</v>
      </c>
      <c r="EJ146" s="603">
        <f t="shared" si="140"/>
        <v>0.75</v>
      </c>
      <c r="EK146" s="579">
        <v>25</v>
      </c>
      <c r="EL146" s="603">
        <f t="shared" si="141"/>
        <v>0</v>
      </c>
      <c r="EM146" s="603">
        <f t="shared" si="142"/>
        <v>1</v>
      </c>
      <c r="EN146" s="579">
        <v>25</v>
      </c>
      <c r="EO146" s="603">
        <f t="shared" si="143"/>
        <v>0.5</v>
      </c>
      <c r="EP146" s="603">
        <f t="shared" si="144"/>
        <v>0.5</v>
      </c>
      <c r="EQ146" s="580"/>
      <c r="ER146" s="580"/>
      <c r="ES146" s="519"/>
      <c r="ET146" s="519"/>
      <c r="EU146" s="580"/>
      <c r="EV146" s="580"/>
      <c r="EW146" s="580"/>
      <c r="EX146" s="580"/>
      <c r="EY146" s="580"/>
      <c r="EZ146" s="580"/>
      <c r="FA146" s="580"/>
      <c r="FB146" s="580"/>
      <c r="FC146" s="580"/>
      <c r="FD146" s="580"/>
      <c r="FE146" s="580"/>
      <c r="FF146" s="580"/>
      <c r="FG146" s="580"/>
      <c r="FH146" s="580"/>
    </row>
    <row r="147" spans="1:164" x14ac:dyDescent="0.2">
      <c r="A147" s="159">
        <v>26</v>
      </c>
      <c r="B147" s="416"/>
      <c r="C147" s="417"/>
      <c r="D147" s="416"/>
      <c r="E147" s="417"/>
      <c r="F147" s="418"/>
      <c r="G147" s="418"/>
      <c r="H147" s="416"/>
      <c r="I147" s="417"/>
      <c r="J147" s="418"/>
      <c r="K147" s="418"/>
      <c r="L147" s="416"/>
      <c r="M147" s="417"/>
      <c r="N147" s="418"/>
      <c r="O147" s="418"/>
      <c r="P147" s="416"/>
      <c r="Q147" s="417"/>
      <c r="R147" s="418"/>
      <c r="S147" s="418"/>
      <c r="T147" s="426">
        <f>T88/SUM(T88:U88)</f>
        <v>0</v>
      </c>
      <c r="U147" s="422">
        <f>U88/SUM(T88:U88)</f>
        <v>1</v>
      </c>
      <c r="V147" s="423">
        <f>V88/SUM(V88:W88)</f>
        <v>0</v>
      </c>
      <c r="W147" s="423">
        <f>W88/SUM(V88:W88)</f>
        <v>1</v>
      </c>
      <c r="X147" s="416"/>
      <c r="Y147" s="417"/>
      <c r="Z147" s="418"/>
      <c r="AA147" s="418"/>
      <c r="AB147" s="416"/>
      <c r="AC147" s="417"/>
      <c r="AD147" s="418"/>
      <c r="AE147" s="418"/>
      <c r="AF147" s="416"/>
      <c r="AG147" s="418"/>
      <c r="AH147" s="416"/>
      <c r="AI147" s="419"/>
      <c r="AJ147" s="418"/>
      <c r="AK147" s="417"/>
      <c r="AL147" s="418"/>
      <c r="AM147" s="418"/>
      <c r="AN147" s="416"/>
      <c r="AO147" s="417"/>
      <c r="AP147" s="418"/>
      <c r="AQ147" s="418"/>
      <c r="AR147" s="416"/>
      <c r="AS147" s="417"/>
      <c r="AT147" s="418"/>
      <c r="AU147" s="418"/>
      <c r="AV147" s="416"/>
      <c r="AW147" s="417"/>
      <c r="AX147" s="423">
        <f t="shared" si="86"/>
        <v>0.5</v>
      </c>
      <c r="AY147" s="423">
        <f t="shared" ref="AY147:AY153" si="168">AY88/SUM(AX88:AY88)</f>
        <v>0.5</v>
      </c>
      <c r="AZ147" s="416"/>
      <c r="BA147" s="417"/>
      <c r="BB147" s="424">
        <f t="shared" ref="BB147:BB163" si="169">BB88/SUM(BB88:BC88)</f>
        <v>0.66666666666666663</v>
      </c>
      <c r="BC147" s="423">
        <f t="shared" ref="BC147:BC156" si="170">BC88/SUM(BB88:BC88)</f>
        <v>0.33333333333333331</v>
      </c>
      <c r="BD147" s="500">
        <f>BD88/SUM(BD88:BE88)</f>
        <v>0.25</v>
      </c>
      <c r="BE147" s="501">
        <f>BE88/SUM(BD88:BE88)</f>
        <v>0.75</v>
      </c>
      <c r="BF147" s="426">
        <f t="shared" ref="BF147:BK147" si="171">BF88/SUM($BF88:$BK88)</f>
        <v>1</v>
      </c>
      <c r="BG147" s="423">
        <f t="shared" si="171"/>
        <v>0</v>
      </c>
      <c r="BH147" s="423">
        <f t="shared" si="171"/>
        <v>0</v>
      </c>
      <c r="BI147" s="423">
        <f t="shared" si="171"/>
        <v>0</v>
      </c>
      <c r="BJ147" s="423">
        <f t="shared" si="171"/>
        <v>0</v>
      </c>
      <c r="BK147" s="423">
        <f t="shared" si="171"/>
        <v>0</v>
      </c>
      <c r="BL147" s="426">
        <f t="shared" ref="BL147:BQ147" si="172">BL88/SUM($BL88:$BQ88)</f>
        <v>0</v>
      </c>
      <c r="BM147" s="423">
        <f t="shared" si="172"/>
        <v>0.25</v>
      </c>
      <c r="BN147" s="423">
        <f t="shared" si="172"/>
        <v>0</v>
      </c>
      <c r="BO147" s="423">
        <f t="shared" si="172"/>
        <v>0.25</v>
      </c>
      <c r="BP147" s="423">
        <f t="shared" si="172"/>
        <v>0.5</v>
      </c>
      <c r="BQ147" s="422">
        <f t="shared" si="172"/>
        <v>0</v>
      </c>
      <c r="BR147" s="426">
        <f t="shared" ref="BR147:BW148" si="173">BR88/SUM($BR88:$BW88)</f>
        <v>0</v>
      </c>
      <c r="BS147" s="423">
        <f t="shared" si="173"/>
        <v>0</v>
      </c>
      <c r="BT147" s="423">
        <f t="shared" si="173"/>
        <v>0</v>
      </c>
      <c r="BU147" s="423">
        <f t="shared" si="173"/>
        <v>1</v>
      </c>
      <c r="BV147" s="423">
        <f t="shared" si="173"/>
        <v>0</v>
      </c>
      <c r="BW147" s="422">
        <f t="shared" si="173"/>
        <v>0</v>
      </c>
      <c r="BX147" s="426">
        <f t="shared" ref="BX147:CC147" si="174">BX88/SUM($BX88:$CC88)</f>
        <v>0.5</v>
      </c>
      <c r="BY147" s="423">
        <f t="shared" si="174"/>
        <v>0</v>
      </c>
      <c r="BZ147" s="423">
        <f t="shared" si="174"/>
        <v>0</v>
      </c>
      <c r="CA147" s="423">
        <f t="shared" si="174"/>
        <v>0.5</v>
      </c>
      <c r="CB147" s="423">
        <f t="shared" si="174"/>
        <v>0</v>
      </c>
      <c r="CC147" s="422">
        <f t="shared" si="174"/>
        <v>0</v>
      </c>
      <c r="CD147" s="416">
        <f t="shared" ref="CD147:CI147" si="175">IFERROR(CD88/SUM($CD88:$CI88),"")</f>
        <v>1</v>
      </c>
      <c r="CE147" s="418">
        <f t="shared" si="175"/>
        <v>0</v>
      </c>
      <c r="CF147" s="418">
        <f t="shared" si="175"/>
        <v>0</v>
      </c>
      <c r="CG147" s="418">
        <f t="shared" si="175"/>
        <v>0</v>
      </c>
      <c r="CH147" s="418">
        <f t="shared" si="175"/>
        <v>0</v>
      </c>
      <c r="CI147" s="417">
        <f t="shared" si="175"/>
        <v>0</v>
      </c>
      <c r="CJ147" s="416"/>
      <c r="CK147" s="418"/>
      <c r="CL147" s="418"/>
      <c r="CM147" s="418"/>
      <c r="CN147" s="418"/>
      <c r="CO147" s="417"/>
      <c r="CP147" s="416"/>
      <c r="CQ147" s="418"/>
      <c r="CR147" s="418"/>
      <c r="CS147" s="418"/>
      <c r="CT147" s="418"/>
      <c r="CU147" s="417"/>
      <c r="CV147" s="416"/>
      <c r="CW147" s="418"/>
      <c r="CX147" s="418"/>
      <c r="CY147" s="418"/>
      <c r="CZ147" s="418"/>
      <c r="DA147" s="417"/>
      <c r="DB147" s="416"/>
      <c r="DC147" s="418"/>
      <c r="DD147" s="418"/>
      <c r="DE147" s="418"/>
      <c r="DF147" s="418"/>
      <c r="DG147" s="417"/>
      <c r="DH147" s="416"/>
      <c r="DI147" s="418"/>
      <c r="DJ147" s="418"/>
      <c r="DK147" s="418"/>
      <c r="DL147" s="418"/>
      <c r="DM147" s="417"/>
      <c r="DN147" s="416"/>
      <c r="DO147" s="418"/>
      <c r="DP147" s="418"/>
      <c r="DQ147" s="418"/>
      <c r="DR147" s="418"/>
      <c r="DS147" s="417"/>
      <c r="DT147" s="416"/>
      <c r="DU147" s="418"/>
      <c r="DV147" s="418"/>
      <c r="DW147" s="418"/>
      <c r="DX147" s="418"/>
      <c r="DY147" s="417"/>
      <c r="DZ147" s="416"/>
      <c r="EA147" s="418"/>
      <c r="EB147" s="418"/>
      <c r="EC147" s="418"/>
      <c r="ED147" s="418"/>
      <c r="EE147" s="417"/>
      <c r="EF147" s="196">
        <f t="shared" si="49"/>
        <v>26</v>
      </c>
      <c r="EG147" s="202"/>
      <c r="EH147" s="579">
        <v>26</v>
      </c>
      <c r="EI147" s="603">
        <f t="shared" si="139"/>
        <v>0.28333333333333333</v>
      </c>
      <c r="EJ147" s="603">
        <f t="shared" si="140"/>
        <v>0.71666666666666667</v>
      </c>
      <c r="EK147" s="579">
        <v>26</v>
      </c>
      <c r="EL147" s="603">
        <f t="shared" si="141"/>
        <v>0.47222222222222215</v>
      </c>
      <c r="EM147" s="603">
        <f t="shared" si="142"/>
        <v>0.52777777777777779</v>
      </c>
      <c r="EN147" s="579">
        <v>26</v>
      </c>
      <c r="EO147" s="603">
        <f t="shared" si="143"/>
        <v>0</v>
      </c>
      <c r="EP147" s="603">
        <f t="shared" si="144"/>
        <v>1</v>
      </c>
      <c r="EQ147" s="580"/>
      <c r="ER147" s="580"/>
      <c r="ES147" s="519"/>
      <c r="ET147" s="519"/>
      <c r="EU147" s="580"/>
      <c r="EV147" s="580"/>
      <c r="EW147" s="580"/>
      <c r="EX147" s="580"/>
      <c r="EY147" s="580"/>
      <c r="EZ147" s="580"/>
      <c r="FA147" s="580"/>
      <c r="FB147" s="580"/>
      <c r="FC147" s="580"/>
      <c r="FD147" s="580"/>
      <c r="FE147" s="580"/>
      <c r="FF147" s="580"/>
      <c r="FG147" s="580"/>
      <c r="FH147" s="580"/>
    </row>
    <row r="148" spans="1:164" x14ac:dyDescent="0.2">
      <c r="A148" s="166">
        <v>27</v>
      </c>
      <c r="B148" s="406"/>
      <c r="C148" s="407"/>
      <c r="D148" s="406"/>
      <c r="E148" s="407"/>
      <c r="F148" s="409"/>
      <c r="G148" s="409"/>
      <c r="H148" s="406"/>
      <c r="I148" s="407"/>
      <c r="J148" s="409"/>
      <c r="K148" s="409"/>
      <c r="L148" s="406"/>
      <c r="M148" s="407"/>
      <c r="N148" s="409"/>
      <c r="O148" s="409"/>
      <c r="P148" s="406"/>
      <c r="Q148" s="407"/>
      <c r="R148" s="409"/>
      <c r="S148" s="409"/>
      <c r="T148" s="410">
        <f>T89/SUM(T89:U89)</f>
        <v>0</v>
      </c>
      <c r="U148" s="411">
        <f>U89/SUM(T89:U89)</f>
        <v>1</v>
      </c>
      <c r="V148" s="409"/>
      <c r="W148" s="409"/>
      <c r="X148" s="406"/>
      <c r="Y148" s="407"/>
      <c r="Z148" s="409"/>
      <c r="AA148" s="409"/>
      <c r="AB148" s="406"/>
      <c r="AC148" s="407"/>
      <c r="AD148" s="409"/>
      <c r="AE148" s="409"/>
      <c r="AF148" s="406"/>
      <c r="AG148" s="202"/>
      <c r="AH148" s="406"/>
      <c r="AI148" s="415"/>
      <c r="AJ148" s="202"/>
      <c r="AK148" s="407"/>
      <c r="AL148" s="409"/>
      <c r="AM148" s="409"/>
      <c r="AN148" s="406"/>
      <c r="AO148" s="407"/>
      <c r="AP148" s="409"/>
      <c r="AQ148" s="409"/>
      <c r="AR148" s="406"/>
      <c r="AS148" s="407"/>
      <c r="AT148" s="409"/>
      <c r="AU148" s="409"/>
      <c r="AV148" s="406"/>
      <c r="AW148" s="407"/>
      <c r="AX148" s="408">
        <f t="shared" si="86"/>
        <v>1</v>
      </c>
      <c r="AY148" s="408">
        <f t="shared" si="168"/>
        <v>0</v>
      </c>
      <c r="AZ148" s="406"/>
      <c r="BA148" s="407"/>
      <c r="BB148" s="406"/>
      <c r="BC148" s="202"/>
      <c r="BD148" s="559">
        <f>BD89/SUM(BD89:BE89)</f>
        <v>0</v>
      </c>
      <c r="BE148" s="560">
        <f>BE89/SUM(BD89:BE89)</f>
        <v>1</v>
      </c>
      <c r="BF148" s="410">
        <f t="shared" ref="BF148:BK148" si="176">BF89/SUM($BF89:$BK89)</f>
        <v>0.42857142857142855</v>
      </c>
      <c r="BG148" s="420">
        <f t="shared" si="176"/>
        <v>0</v>
      </c>
      <c r="BH148" s="420">
        <f t="shared" si="176"/>
        <v>0</v>
      </c>
      <c r="BI148" s="420">
        <f t="shared" si="176"/>
        <v>0.14285714285714285</v>
      </c>
      <c r="BJ148" s="420">
        <f t="shared" si="176"/>
        <v>0.42857142857142855</v>
      </c>
      <c r="BK148" s="420">
        <f t="shared" si="176"/>
        <v>0</v>
      </c>
      <c r="BL148" s="678">
        <f t="shared" ref="BL148:BQ148" si="177">BL89/SUM($BL89:$BQ89)</f>
        <v>0.5</v>
      </c>
      <c r="BM148" s="679">
        <f t="shared" si="177"/>
        <v>0</v>
      </c>
      <c r="BN148" s="679">
        <f t="shared" si="177"/>
        <v>0</v>
      </c>
      <c r="BO148" s="679">
        <f t="shared" si="177"/>
        <v>0</v>
      </c>
      <c r="BP148" s="679">
        <f t="shared" si="177"/>
        <v>0.5</v>
      </c>
      <c r="BQ148" s="681">
        <f t="shared" si="177"/>
        <v>0</v>
      </c>
      <c r="BR148" s="410">
        <f t="shared" si="173"/>
        <v>0.4</v>
      </c>
      <c r="BS148" s="420">
        <f t="shared" si="173"/>
        <v>0</v>
      </c>
      <c r="BT148" s="420">
        <f t="shared" si="173"/>
        <v>0</v>
      </c>
      <c r="BU148" s="420">
        <f t="shared" si="173"/>
        <v>0</v>
      </c>
      <c r="BV148" s="420">
        <f t="shared" si="173"/>
        <v>0.6</v>
      </c>
      <c r="BW148" s="411">
        <f t="shared" si="173"/>
        <v>0</v>
      </c>
      <c r="BX148" s="678">
        <f t="shared" ref="BX148:CC148" si="178">BX89/SUM($BX89:$CC89)</f>
        <v>0.18181818181818182</v>
      </c>
      <c r="BY148" s="679">
        <f t="shared" si="178"/>
        <v>9.0909090909090912E-2</v>
      </c>
      <c r="BZ148" s="679">
        <f t="shared" si="178"/>
        <v>0</v>
      </c>
      <c r="CA148" s="679">
        <f t="shared" si="178"/>
        <v>0.36363636363636365</v>
      </c>
      <c r="CB148" s="679">
        <f t="shared" si="178"/>
        <v>0.36363636363636365</v>
      </c>
      <c r="CC148" s="681">
        <f t="shared" si="178"/>
        <v>0</v>
      </c>
      <c r="CD148" s="412" t="str">
        <f t="shared" ref="CD148:CI148" si="179">IFERROR(CD89/SUM($CD89:$CI89),"")</f>
        <v/>
      </c>
      <c r="CE148" s="680" t="str">
        <f t="shared" si="179"/>
        <v/>
      </c>
      <c r="CF148" s="680" t="str">
        <f t="shared" si="179"/>
        <v/>
      </c>
      <c r="CG148" s="680" t="str">
        <f t="shared" si="179"/>
        <v/>
      </c>
      <c r="CH148" s="680" t="str">
        <f t="shared" si="179"/>
        <v/>
      </c>
      <c r="CI148" s="414" t="str">
        <f t="shared" si="179"/>
        <v/>
      </c>
      <c r="CJ148" s="412"/>
      <c r="CK148" s="680"/>
      <c r="CL148" s="680"/>
      <c r="CM148" s="680"/>
      <c r="CN148" s="680"/>
      <c r="CO148" s="414"/>
      <c r="CP148" s="412"/>
      <c r="CQ148" s="680"/>
      <c r="CR148" s="680"/>
      <c r="CS148" s="680"/>
      <c r="CT148" s="680"/>
      <c r="CU148" s="414"/>
      <c r="CV148" s="412"/>
      <c r="CW148" s="680"/>
      <c r="CX148" s="680"/>
      <c r="CY148" s="680"/>
      <c r="CZ148" s="680"/>
      <c r="DA148" s="414"/>
      <c r="DB148" s="412"/>
      <c r="DC148" s="680"/>
      <c r="DD148" s="680"/>
      <c r="DE148" s="680"/>
      <c r="DF148" s="680"/>
      <c r="DG148" s="414"/>
      <c r="DH148" s="412"/>
      <c r="DI148" s="680"/>
      <c r="DJ148" s="680"/>
      <c r="DK148" s="680"/>
      <c r="DL148" s="680"/>
      <c r="DM148" s="414"/>
      <c r="DN148" s="412"/>
      <c r="DO148" s="680"/>
      <c r="DP148" s="680"/>
      <c r="DQ148" s="680"/>
      <c r="DR148" s="680"/>
      <c r="DS148" s="414"/>
      <c r="DT148" s="412"/>
      <c r="DU148" s="680"/>
      <c r="DV148" s="680"/>
      <c r="DW148" s="680"/>
      <c r="DX148" s="680"/>
      <c r="DY148" s="414"/>
      <c r="DZ148" s="412"/>
      <c r="EA148" s="680"/>
      <c r="EB148" s="680"/>
      <c r="EC148" s="680"/>
      <c r="ED148" s="680"/>
      <c r="EE148" s="414"/>
      <c r="EF148" s="196">
        <f t="shared" si="49"/>
        <v>27</v>
      </c>
      <c r="EG148" s="202"/>
      <c r="EH148" s="579">
        <v>27</v>
      </c>
      <c r="EI148" s="603">
        <f t="shared" si="139"/>
        <v>0.33333333333333331</v>
      </c>
      <c r="EJ148" s="603">
        <f t="shared" si="140"/>
        <v>0.66666666666666663</v>
      </c>
      <c r="EK148" s="579">
        <v>27</v>
      </c>
      <c r="EL148" s="603">
        <f t="shared" si="141"/>
        <v>0.5</v>
      </c>
      <c r="EM148" s="603">
        <f t="shared" si="142"/>
        <v>0.5</v>
      </c>
      <c r="EN148" s="579">
        <v>27</v>
      </c>
      <c r="EO148" s="603">
        <f t="shared" si="143"/>
        <v>0</v>
      </c>
      <c r="EP148" s="603">
        <f t="shared" si="144"/>
        <v>1</v>
      </c>
      <c r="EQ148" s="580"/>
      <c r="ER148" s="580"/>
      <c r="ES148" s="519"/>
      <c r="ET148" s="519"/>
      <c r="EU148" s="580"/>
      <c r="EV148" s="580"/>
      <c r="EW148" s="580"/>
      <c r="EX148" s="580"/>
      <c r="EY148" s="580"/>
      <c r="EZ148" s="580"/>
      <c r="FA148" s="580"/>
      <c r="FB148" s="580"/>
      <c r="FC148" s="580"/>
      <c r="FD148" s="580"/>
      <c r="FE148" s="580"/>
      <c r="FF148" s="580"/>
      <c r="FG148" s="580"/>
      <c r="FH148" s="580"/>
    </row>
    <row r="149" spans="1:164" x14ac:dyDescent="0.2">
      <c r="A149" s="159">
        <v>28</v>
      </c>
      <c r="B149" s="406"/>
      <c r="C149" s="407"/>
      <c r="D149" s="406"/>
      <c r="E149" s="407"/>
      <c r="F149" s="409"/>
      <c r="G149" s="409"/>
      <c r="H149" s="406"/>
      <c r="I149" s="407"/>
      <c r="J149" s="409"/>
      <c r="K149" s="409"/>
      <c r="L149" s="406"/>
      <c r="M149" s="407"/>
      <c r="N149" s="409"/>
      <c r="O149" s="409"/>
      <c r="P149" s="406"/>
      <c r="Q149" s="407"/>
      <c r="R149" s="409"/>
      <c r="S149" s="409"/>
      <c r="T149" s="406"/>
      <c r="U149" s="407"/>
      <c r="V149" s="408">
        <f>V90/SUM(V90:W90)</f>
        <v>1</v>
      </c>
      <c r="W149" s="408">
        <f>W90/SUM(V90:W90)</f>
        <v>0</v>
      </c>
      <c r="X149" s="406"/>
      <c r="Y149" s="407"/>
      <c r="Z149" s="409"/>
      <c r="AA149" s="409"/>
      <c r="AB149" s="406"/>
      <c r="AC149" s="407"/>
      <c r="AD149" s="409"/>
      <c r="AE149" s="409"/>
      <c r="AF149" s="406"/>
      <c r="AG149" s="202"/>
      <c r="AH149" s="406"/>
      <c r="AI149" s="415"/>
      <c r="AJ149" s="202"/>
      <c r="AK149" s="407"/>
      <c r="AL149" s="409"/>
      <c r="AM149" s="409"/>
      <c r="AN149" s="406"/>
      <c r="AO149" s="407"/>
      <c r="AP149" s="409"/>
      <c r="AQ149" s="409"/>
      <c r="AR149" s="406"/>
      <c r="AS149" s="407"/>
      <c r="AT149" s="409"/>
      <c r="AU149" s="409"/>
      <c r="AV149" s="406"/>
      <c r="AW149" s="407"/>
      <c r="AX149" s="408">
        <f t="shared" si="86"/>
        <v>0.41666666666666669</v>
      </c>
      <c r="AY149" s="408">
        <f t="shared" si="168"/>
        <v>0.58333333333333337</v>
      </c>
      <c r="AZ149" s="410">
        <f>AZ90/SUM(AZ90:BA90)</f>
        <v>1</v>
      </c>
      <c r="BA149" s="411">
        <f>BA90/SUM(AZ90:BA90)</f>
        <v>0</v>
      </c>
      <c r="BB149" s="410">
        <f t="shared" si="169"/>
        <v>0</v>
      </c>
      <c r="BC149" s="420">
        <f t="shared" si="170"/>
        <v>1</v>
      </c>
      <c r="BD149" s="562">
        <f t="shared" ref="BD149:BD150" si="180">BD90/SUM(BD90:BE90)</f>
        <v>1</v>
      </c>
      <c r="BE149" s="563">
        <f t="shared" ref="BE149:BE150" si="181">BE90/SUM(BD90:BE90)</f>
        <v>0</v>
      </c>
      <c r="BF149" s="410">
        <f t="shared" ref="BF149:BK149" si="182">BF90/SUM($BF90:$BK90)</f>
        <v>0</v>
      </c>
      <c r="BG149" s="420">
        <f t="shared" si="182"/>
        <v>0</v>
      </c>
      <c r="BH149" s="420">
        <f t="shared" si="182"/>
        <v>1</v>
      </c>
      <c r="BI149" s="420">
        <f t="shared" si="182"/>
        <v>0</v>
      </c>
      <c r="BJ149" s="420">
        <f t="shared" si="182"/>
        <v>0</v>
      </c>
      <c r="BK149" s="420">
        <f t="shared" si="182"/>
        <v>0</v>
      </c>
      <c r="BL149" s="410">
        <f t="shared" ref="BL149:BQ149" si="183">BL90/SUM($BL90:$BQ90)</f>
        <v>0</v>
      </c>
      <c r="BM149" s="420">
        <f t="shared" si="183"/>
        <v>0</v>
      </c>
      <c r="BN149" s="420">
        <f t="shared" si="183"/>
        <v>0</v>
      </c>
      <c r="BO149" s="420">
        <f t="shared" si="183"/>
        <v>0.5</v>
      </c>
      <c r="BP149" s="420">
        <f t="shared" si="183"/>
        <v>0.5</v>
      </c>
      <c r="BQ149" s="411">
        <f t="shared" si="183"/>
        <v>0</v>
      </c>
      <c r="BR149" s="410">
        <f t="shared" ref="BR149:BW149" si="184">BR90/SUM($BR90:$BW90)</f>
        <v>0</v>
      </c>
      <c r="BS149" s="420">
        <f t="shared" si="184"/>
        <v>0</v>
      </c>
      <c r="BT149" s="420">
        <f t="shared" si="184"/>
        <v>0</v>
      </c>
      <c r="BU149" s="420">
        <f t="shared" si="184"/>
        <v>0</v>
      </c>
      <c r="BV149" s="420">
        <f t="shared" si="184"/>
        <v>1</v>
      </c>
      <c r="BW149" s="411">
        <f t="shared" si="184"/>
        <v>0</v>
      </c>
      <c r="BX149" s="410">
        <f t="shared" ref="BX149:CC149" si="185">BX90/SUM($BX90:$CC90)</f>
        <v>0.4</v>
      </c>
      <c r="BY149" s="420">
        <f t="shared" si="185"/>
        <v>0</v>
      </c>
      <c r="BZ149" s="420">
        <f t="shared" si="185"/>
        <v>0</v>
      </c>
      <c r="CA149" s="420">
        <f t="shared" si="185"/>
        <v>0.4</v>
      </c>
      <c r="CB149" s="420">
        <f t="shared" si="185"/>
        <v>0.2</v>
      </c>
      <c r="CC149" s="411">
        <f t="shared" si="185"/>
        <v>0</v>
      </c>
      <c r="CD149" s="406">
        <f t="shared" ref="CD149:CI149" si="186">IFERROR(CD90/SUM($CD90:$CI90),"")</f>
        <v>0</v>
      </c>
      <c r="CE149" s="202">
        <f t="shared" si="186"/>
        <v>0</v>
      </c>
      <c r="CF149" s="202">
        <f t="shared" si="186"/>
        <v>0</v>
      </c>
      <c r="CG149" s="202">
        <f t="shared" si="186"/>
        <v>0</v>
      </c>
      <c r="CH149" s="202">
        <f t="shared" si="186"/>
        <v>1</v>
      </c>
      <c r="CI149" s="407">
        <f t="shared" si="186"/>
        <v>0</v>
      </c>
      <c r="CJ149" s="406"/>
      <c r="CK149" s="202"/>
      <c r="CL149" s="202"/>
      <c r="CM149" s="202"/>
      <c r="CN149" s="202"/>
      <c r="CO149" s="407"/>
      <c r="CP149" s="406"/>
      <c r="CQ149" s="202"/>
      <c r="CR149" s="202"/>
      <c r="CS149" s="202"/>
      <c r="CT149" s="202"/>
      <c r="CU149" s="407"/>
      <c r="CV149" s="406"/>
      <c r="CW149" s="202"/>
      <c r="CX149" s="202"/>
      <c r="CY149" s="202"/>
      <c r="CZ149" s="202"/>
      <c r="DA149" s="407"/>
      <c r="DB149" s="406"/>
      <c r="DC149" s="202"/>
      <c r="DD149" s="202"/>
      <c r="DE149" s="202"/>
      <c r="DF149" s="202"/>
      <c r="DG149" s="407"/>
      <c r="DH149" s="406"/>
      <c r="DI149" s="202"/>
      <c r="DJ149" s="202"/>
      <c r="DK149" s="202"/>
      <c r="DL149" s="202"/>
      <c r="DM149" s="407"/>
      <c r="DN149" s="406"/>
      <c r="DO149" s="202"/>
      <c r="DP149" s="202"/>
      <c r="DQ149" s="202"/>
      <c r="DR149" s="202"/>
      <c r="DS149" s="407"/>
      <c r="DT149" s="406"/>
      <c r="DU149" s="202"/>
      <c r="DV149" s="202"/>
      <c r="DW149" s="202"/>
      <c r="DX149" s="202"/>
      <c r="DY149" s="407"/>
      <c r="DZ149" s="406"/>
      <c r="EA149" s="202"/>
      <c r="EB149" s="202"/>
      <c r="EC149" s="202"/>
      <c r="ED149" s="202"/>
      <c r="EE149" s="407"/>
      <c r="EF149" s="196">
        <f t="shared" si="49"/>
        <v>28</v>
      </c>
      <c r="EG149" s="202"/>
      <c r="EH149" s="579">
        <v>28</v>
      </c>
      <c r="EI149" s="603">
        <f t="shared" si="139"/>
        <v>0.68333333333333335</v>
      </c>
      <c r="EJ149" s="603">
        <f t="shared" si="140"/>
        <v>0.31666666666666671</v>
      </c>
      <c r="EK149" s="579">
        <v>28</v>
      </c>
      <c r="EL149" s="603">
        <f t="shared" si="141"/>
        <v>0.60416666666666674</v>
      </c>
      <c r="EM149" s="603">
        <f t="shared" si="142"/>
        <v>0.39583333333333337</v>
      </c>
      <c r="EN149" s="579">
        <v>28</v>
      </c>
      <c r="EO149" s="603">
        <f t="shared" si="143"/>
        <v>1</v>
      </c>
      <c r="EP149" s="603">
        <f t="shared" si="144"/>
        <v>0</v>
      </c>
      <c r="EQ149" s="580"/>
      <c r="ER149" s="580"/>
      <c r="ES149" s="519"/>
      <c r="ET149" s="519"/>
      <c r="EU149" s="580"/>
      <c r="EV149" s="580"/>
      <c r="EW149" s="580"/>
      <c r="EX149" s="580"/>
      <c r="EY149" s="580"/>
      <c r="EZ149" s="580"/>
      <c r="FA149" s="580"/>
      <c r="FB149" s="580"/>
      <c r="FC149" s="580"/>
      <c r="FD149" s="580"/>
      <c r="FE149" s="580"/>
      <c r="FF149" s="580"/>
      <c r="FG149" s="580"/>
      <c r="FH149" s="580"/>
    </row>
    <row r="150" spans="1:164" x14ac:dyDescent="0.2">
      <c r="A150" s="159">
        <v>29</v>
      </c>
      <c r="B150" s="406"/>
      <c r="C150" s="407"/>
      <c r="D150" s="406"/>
      <c r="E150" s="407"/>
      <c r="F150" s="409"/>
      <c r="G150" s="409"/>
      <c r="H150" s="406"/>
      <c r="I150" s="407"/>
      <c r="J150" s="409"/>
      <c r="K150" s="409"/>
      <c r="L150" s="406"/>
      <c r="M150" s="407"/>
      <c r="N150" s="409"/>
      <c r="O150" s="409"/>
      <c r="P150" s="406"/>
      <c r="Q150" s="407"/>
      <c r="R150" s="409"/>
      <c r="S150" s="409"/>
      <c r="T150" s="406"/>
      <c r="U150" s="407"/>
      <c r="V150" s="409"/>
      <c r="W150" s="409"/>
      <c r="X150" s="406"/>
      <c r="Y150" s="407"/>
      <c r="Z150" s="409"/>
      <c r="AA150" s="409"/>
      <c r="AB150" s="406"/>
      <c r="AC150" s="407"/>
      <c r="AD150" s="409"/>
      <c r="AE150" s="409"/>
      <c r="AF150" s="406"/>
      <c r="AG150" s="202"/>
      <c r="AH150" s="406"/>
      <c r="AI150" s="415"/>
      <c r="AJ150" s="202"/>
      <c r="AK150" s="407"/>
      <c r="AL150" s="409"/>
      <c r="AM150" s="409"/>
      <c r="AN150" s="406"/>
      <c r="AO150" s="407"/>
      <c r="AP150" s="409"/>
      <c r="AQ150" s="409"/>
      <c r="AR150" s="406"/>
      <c r="AS150" s="407"/>
      <c r="AT150" s="409"/>
      <c r="AU150" s="409"/>
      <c r="AV150" s="406"/>
      <c r="AW150" s="407"/>
      <c r="AX150" s="408">
        <f t="shared" si="86"/>
        <v>0</v>
      </c>
      <c r="AY150" s="408">
        <f t="shared" si="168"/>
        <v>1</v>
      </c>
      <c r="AZ150" s="406"/>
      <c r="BA150" s="407"/>
      <c r="BB150" s="410">
        <f t="shared" si="169"/>
        <v>0.66666666666666663</v>
      </c>
      <c r="BC150" s="420">
        <f t="shared" si="170"/>
        <v>0.33333333333333331</v>
      </c>
      <c r="BD150" s="562">
        <f t="shared" si="180"/>
        <v>0</v>
      </c>
      <c r="BE150" s="564">
        <f t="shared" si="181"/>
        <v>1</v>
      </c>
      <c r="BF150" s="410">
        <f t="shared" ref="BF150:BK150" si="187">BF91/SUM($BF91:$BK91)</f>
        <v>0</v>
      </c>
      <c r="BG150" s="420">
        <f t="shared" si="187"/>
        <v>0</v>
      </c>
      <c r="BH150" s="420">
        <f t="shared" si="187"/>
        <v>0</v>
      </c>
      <c r="BI150" s="420">
        <f t="shared" si="187"/>
        <v>0</v>
      </c>
      <c r="BJ150" s="420">
        <f t="shared" si="187"/>
        <v>0</v>
      </c>
      <c r="BK150" s="420">
        <f t="shared" si="187"/>
        <v>1</v>
      </c>
      <c r="BL150" s="410">
        <f t="shared" ref="BL150:BQ150" si="188">BL91/SUM($BL91:$BQ91)</f>
        <v>0</v>
      </c>
      <c r="BM150" s="420">
        <f t="shared" si="188"/>
        <v>0</v>
      </c>
      <c r="BN150" s="420">
        <f t="shared" si="188"/>
        <v>0</v>
      </c>
      <c r="BO150" s="420">
        <f t="shared" si="188"/>
        <v>0</v>
      </c>
      <c r="BP150" s="420">
        <f t="shared" si="188"/>
        <v>1</v>
      </c>
      <c r="BQ150" s="411">
        <f t="shared" si="188"/>
        <v>0</v>
      </c>
      <c r="BR150" s="410">
        <f t="shared" ref="BR150:BW150" si="189">BR91/SUM($BR91:$BW91)</f>
        <v>0.5</v>
      </c>
      <c r="BS150" s="420">
        <f t="shared" si="189"/>
        <v>0</v>
      </c>
      <c r="BT150" s="420">
        <f t="shared" si="189"/>
        <v>0</v>
      </c>
      <c r="BU150" s="420">
        <f t="shared" si="189"/>
        <v>0</v>
      </c>
      <c r="BV150" s="420">
        <f t="shared" si="189"/>
        <v>0.5</v>
      </c>
      <c r="BW150" s="411">
        <f t="shared" si="189"/>
        <v>0</v>
      </c>
      <c r="BX150" s="406"/>
      <c r="BY150" s="202"/>
      <c r="BZ150" s="202"/>
      <c r="CA150" s="202"/>
      <c r="CB150" s="202"/>
      <c r="CC150" s="407"/>
      <c r="CD150" s="406">
        <f t="shared" ref="CD150:CI150" si="190">IFERROR(CD91/SUM($CD91:$CI91),"")</f>
        <v>0.66666666666666663</v>
      </c>
      <c r="CE150" s="202">
        <f t="shared" si="190"/>
        <v>0</v>
      </c>
      <c r="CF150" s="202">
        <f t="shared" si="190"/>
        <v>0</v>
      </c>
      <c r="CG150" s="202">
        <f t="shared" si="190"/>
        <v>0.33333333333333331</v>
      </c>
      <c r="CH150" s="202">
        <f t="shared" si="190"/>
        <v>0</v>
      </c>
      <c r="CI150" s="407">
        <f t="shared" si="190"/>
        <v>0</v>
      </c>
      <c r="CJ150" s="406"/>
      <c r="CK150" s="202"/>
      <c r="CL150" s="202"/>
      <c r="CM150" s="202"/>
      <c r="CN150" s="202"/>
      <c r="CO150" s="407"/>
      <c r="CP150" s="406"/>
      <c r="CQ150" s="202"/>
      <c r="CR150" s="202"/>
      <c r="CS150" s="202"/>
      <c r="CT150" s="202"/>
      <c r="CU150" s="407"/>
      <c r="CV150" s="406"/>
      <c r="CW150" s="202"/>
      <c r="CX150" s="202"/>
      <c r="CY150" s="202"/>
      <c r="CZ150" s="202"/>
      <c r="DA150" s="407"/>
      <c r="DB150" s="406"/>
      <c r="DC150" s="202"/>
      <c r="DD150" s="202"/>
      <c r="DE150" s="202"/>
      <c r="DF150" s="202"/>
      <c r="DG150" s="407"/>
      <c r="DH150" s="406"/>
      <c r="DI150" s="202"/>
      <c r="DJ150" s="202"/>
      <c r="DK150" s="202"/>
      <c r="DL150" s="202"/>
      <c r="DM150" s="407"/>
      <c r="DN150" s="406"/>
      <c r="DO150" s="202"/>
      <c r="DP150" s="202"/>
      <c r="DQ150" s="202"/>
      <c r="DR150" s="202"/>
      <c r="DS150" s="407"/>
      <c r="DT150" s="406"/>
      <c r="DU150" s="202"/>
      <c r="DV150" s="202"/>
      <c r="DW150" s="202"/>
      <c r="DX150" s="202"/>
      <c r="DY150" s="407"/>
      <c r="DZ150" s="406"/>
      <c r="EA150" s="202"/>
      <c r="EB150" s="202"/>
      <c r="EC150" s="202"/>
      <c r="ED150" s="202"/>
      <c r="EE150" s="407"/>
      <c r="EF150" s="196">
        <f t="shared" si="49"/>
        <v>29</v>
      </c>
      <c r="EG150" s="202"/>
      <c r="EH150" s="579">
        <v>29</v>
      </c>
      <c r="EI150" s="603">
        <f t="shared" si="139"/>
        <v>0.22222222222222221</v>
      </c>
      <c r="EJ150" s="603">
        <f t="shared" si="140"/>
        <v>0.77777777777777768</v>
      </c>
      <c r="EK150" s="579">
        <v>29</v>
      </c>
      <c r="EL150" s="603">
        <f t="shared" si="141"/>
        <v>0.22222222222222221</v>
      </c>
      <c r="EM150" s="603">
        <f t="shared" si="142"/>
        <v>0.77777777777777768</v>
      </c>
      <c r="EN150" s="579">
        <v>29</v>
      </c>
      <c r="EO150" s="603">
        <v>0</v>
      </c>
      <c r="EP150" s="603">
        <v>0</v>
      </c>
      <c r="EQ150" s="580"/>
      <c r="ER150" s="580"/>
      <c r="ES150" s="519"/>
      <c r="ET150" s="519"/>
      <c r="EU150" s="580"/>
      <c r="EV150" s="580"/>
      <c r="EW150" s="580"/>
      <c r="EX150" s="580"/>
      <c r="EY150" s="580"/>
      <c r="EZ150" s="580"/>
      <c r="FA150" s="580"/>
      <c r="FB150" s="580"/>
      <c r="FC150" s="580"/>
      <c r="FD150" s="580"/>
      <c r="FE150" s="580"/>
      <c r="FF150" s="580"/>
      <c r="FG150" s="580"/>
      <c r="FH150" s="580"/>
    </row>
    <row r="151" spans="1:164" x14ac:dyDescent="0.2">
      <c r="A151" s="159">
        <v>30</v>
      </c>
      <c r="B151" s="406"/>
      <c r="C151" s="407"/>
      <c r="D151" s="406"/>
      <c r="E151" s="407"/>
      <c r="F151" s="409"/>
      <c r="G151" s="409"/>
      <c r="H151" s="406"/>
      <c r="I151" s="407"/>
      <c r="J151" s="409"/>
      <c r="K151" s="409"/>
      <c r="L151" s="406"/>
      <c r="M151" s="407"/>
      <c r="N151" s="409"/>
      <c r="O151" s="409"/>
      <c r="P151" s="406"/>
      <c r="Q151" s="407"/>
      <c r="R151" s="409"/>
      <c r="S151" s="409"/>
      <c r="T151" s="406"/>
      <c r="U151" s="407"/>
      <c r="V151" s="409"/>
      <c r="W151" s="409"/>
      <c r="X151" s="406"/>
      <c r="Y151" s="407"/>
      <c r="Z151" s="409"/>
      <c r="AA151" s="409"/>
      <c r="AB151" s="406"/>
      <c r="AC151" s="407"/>
      <c r="AD151" s="409"/>
      <c r="AE151" s="409"/>
      <c r="AF151" s="406"/>
      <c r="AG151" s="202"/>
      <c r="AH151" s="406"/>
      <c r="AI151" s="415"/>
      <c r="AJ151" s="202"/>
      <c r="AK151" s="407"/>
      <c r="AL151" s="409"/>
      <c r="AM151" s="409"/>
      <c r="AN151" s="406"/>
      <c r="AO151" s="407"/>
      <c r="AP151" s="409"/>
      <c r="AQ151" s="409"/>
      <c r="AR151" s="406"/>
      <c r="AS151" s="407"/>
      <c r="AT151" s="409"/>
      <c r="AU151" s="409"/>
      <c r="AV151" s="406"/>
      <c r="AW151" s="407"/>
      <c r="AX151" s="408">
        <f t="shared" si="86"/>
        <v>0.5</v>
      </c>
      <c r="AY151" s="408">
        <f t="shared" si="168"/>
        <v>0.5</v>
      </c>
      <c r="AZ151" s="406"/>
      <c r="BA151" s="407"/>
      <c r="BB151" s="410">
        <f t="shared" si="169"/>
        <v>0.5</v>
      </c>
      <c r="BC151" s="420">
        <f t="shared" si="170"/>
        <v>0.5</v>
      </c>
      <c r="BD151" s="197"/>
      <c r="BE151" s="198"/>
      <c r="BF151" s="410">
        <f t="shared" ref="BF151:BK151" si="191">BF92/SUM($BF92:$BK92)</f>
        <v>0.5</v>
      </c>
      <c r="BG151" s="420">
        <f t="shared" si="191"/>
        <v>0</v>
      </c>
      <c r="BH151" s="420">
        <f t="shared" si="191"/>
        <v>0</v>
      </c>
      <c r="BI151" s="420">
        <f t="shared" si="191"/>
        <v>0</v>
      </c>
      <c r="BJ151" s="420">
        <f t="shared" si="191"/>
        <v>0</v>
      </c>
      <c r="BK151" s="420">
        <f t="shared" si="191"/>
        <v>0.5</v>
      </c>
      <c r="BL151" s="410">
        <f t="shared" ref="BL151:BQ151" si="192">BL92/SUM($BL92:$BQ92)</f>
        <v>0</v>
      </c>
      <c r="BM151" s="420">
        <f t="shared" si="192"/>
        <v>0</v>
      </c>
      <c r="BN151" s="420">
        <f t="shared" si="192"/>
        <v>0</v>
      </c>
      <c r="BO151" s="420">
        <f t="shared" si="192"/>
        <v>1</v>
      </c>
      <c r="BP151" s="420">
        <f t="shared" si="192"/>
        <v>0</v>
      </c>
      <c r="BQ151" s="411">
        <f t="shared" si="192"/>
        <v>0</v>
      </c>
      <c r="BR151" s="410">
        <f t="shared" ref="BR151:BW152" si="193">BR92/SUM($BR92:$BW92)</f>
        <v>0.5</v>
      </c>
      <c r="BS151" s="420">
        <f t="shared" si="193"/>
        <v>0.5</v>
      </c>
      <c r="BT151" s="420">
        <f t="shared" si="193"/>
        <v>0</v>
      </c>
      <c r="BU151" s="420">
        <f t="shared" si="193"/>
        <v>0</v>
      </c>
      <c r="BV151" s="420">
        <f t="shared" si="193"/>
        <v>0</v>
      </c>
      <c r="BW151" s="411">
        <f t="shared" si="193"/>
        <v>0</v>
      </c>
      <c r="BX151" s="406"/>
      <c r="BY151" s="202"/>
      <c r="BZ151" s="202"/>
      <c r="CA151" s="202"/>
      <c r="CB151" s="202"/>
      <c r="CC151" s="407"/>
      <c r="CD151" s="406" t="str">
        <f t="shared" ref="CD151:CI151" si="194">IFERROR(CD92/SUM($CD92:$CI92),"")</f>
        <v/>
      </c>
      <c r="CE151" s="202" t="str">
        <f t="shared" si="194"/>
        <v/>
      </c>
      <c r="CF151" s="202" t="str">
        <f t="shared" si="194"/>
        <v/>
      </c>
      <c r="CG151" s="202" t="str">
        <f t="shared" si="194"/>
        <v/>
      </c>
      <c r="CH151" s="202" t="str">
        <f t="shared" si="194"/>
        <v/>
      </c>
      <c r="CI151" s="407" t="str">
        <f t="shared" si="194"/>
        <v/>
      </c>
      <c r="CJ151" s="406"/>
      <c r="CK151" s="202"/>
      <c r="CL151" s="202"/>
      <c r="CM151" s="202"/>
      <c r="CN151" s="202"/>
      <c r="CO151" s="407"/>
      <c r="CP151" s="406"/>
      <c r="CQ151" s="202"/>
      <c r="CR151" s="202"/>
      <c r="CS151" s="202"/>
      <c r="CT151" s="202"/>
      <c r="CU151" s="407"/>
      <c r="CV151" s="406"/>
      <c r="CW151" s="202"/>
      <c r="CX151" s="202"/>
      <c r="CY151" s="202"/>
      <c r="CZ151" s="202"/>
      <c r="DA151" s="407"/>
      <c r="DB151" s="406"/>
      <c r="DC151" s="202"/>
      <c r="DD151" s="202"/>
      <c r="DE151" s="202"/>
      <c r="DF151" s="202"/>
      <c r="DG151" s="407"/>
      <c r="DH151" s="406"/>
      <c r="DI151" s="202"/>
      <c r="DJ151" s="202"/>
      <c r="DK151" s="202"/>
      <c r="DL151" s="202"/>
      <c r="DM151" s="407"/>
      <c r="DN151" s="406"/>
      <c r="DO151" s="202"/>
      <c r="DP151" s="202"/>
      <c r="DQ151" s="202"/>
      <c r="DR151" s="202"/>
      <c r="DS151" s="407"/>
      <c r="DT151" s="406"/>
      <c r="DU151" s="202"/>
      <c r="DV151" s="202"/>
      <c r="DW151" s="202"/>
      <c r="DX151" s="202"/>
      <c r="DY151" s="407"/>
      <c r="DZ151" s="406"/>
      <c r="EA151" s="202"/>
      <c r="EB151" s="202"/>
      <c r="EC151" s="202"/>
      <c r="ED151" s="202"/>
      <c r="EE151" s="407"/>
      <c r="EF151" s="196">
        <f t="shared" si="49"/>
        <v>30</v>
      </c>
      <c r="EG151" s="202"/>
      <c r="EH151" s="579">
        <v>30</v>
      </c>
      <c r="EI151" s="603">
        <f t="shared" si="139"/>
        <v>0.5</v>
      </c>
      <c r="EJ151" s="603">
        <f t="shared" si="140"/>
        <v>0.5</v>
      </c>
      <c r="EK151" s="579">
        <v>30</v>
      </c>
      <c r="EL151" s="603">
        <f t="shared" si="141"/>
        <v>0.5</v>
      </c>
      <c r="EM151" s="603">
        <f t="shared" si="142"/>
        <v>0.5</v>
      </c>
      <c r="EN151" s="579">
        <v>30</v>
      </c>
      <c r="EO151" s="603">
        <v>0</v>
      </c>
      <c r="EP151" s="603">
        <v>0</v>
      </c>
      <c r="EQ151" s="580"/>
      <c r="ER151" s="580"/>
      <c r="ES151" s="519"/>
      <c r="ET151" s="519"/>
      <c r="EU151" s="580"/>
      <c r="EV151" s="580"/>
      <c r="EW151" s="580"/>
      <c r="EX151" s="580"/>
      <c r="EY151" s="580"/>
      <c r="EZ151" s="580"/>
      <c r="FA151" s="580"/>
      <c r="FB151" s="580"/>
      <c r="FC151" s="580"/>
      <c r="FD151" s="580"/>
      <c r="FE151" s="580"/>
      <c r="FF151" s="580"/>
      <c r="FG151" s="580"/>
      <c r="FH151" s="580"/>
    </row>
    <row r="152" spans="1:164" x14ac:dyDescent="0.2">
      <c r="A152" s="159">
        <v>31</v>
      </c>
      <c r="B152" s="406"/>
      <c r="C152" s="407"/>
      <c r="D152" s="406"/>
      <c r="E152" s="407"/>
      <c r="F152" s="409"/>
      <c r="G152" s="409"/>
      <c r="H152" s="406"/>
      <c r="I152" s="407"/>
      <c r="J152" s="409"/>
      <c r="K152" s="409"/>
      <c r="L152" s="406"/>
      <c r="M152" s="407"/>
      <c r="N152" s="409"/>
      <c r="O152" s="409"/>
      <c r="P152" s="406"/>
      <c r="Q152" s="407"/>
      <c r="R152" s="409"/>
      <c r="S152" s="409"/>
      <c r="T152" s="406"/>
      <c r="U152" s="407"/>
      <c r="V152" s="409"/>
      <c r="W152" s="409"/>
      <c r="X152" s="406"/>
      <c r="Y152" s="407"/>
      <c r="Z152" s="409"/>
      <c r="AA152" s="409"/>
      <c r="AB152" s="406"/>
      <c r="AC152" s="407"/>
      <c r="AD152" s="409"/>
      <c r="AE152" s="409"/>
      <c r="AF152" s="406"/>
      <c r="AG152" s="202"/>
      <c r="AH152" s="406"/>
      <c r="AI152" s="415"/>
      <c r="AJ152" s="202"/>
      <c r="AK152" s="407"/>
      <c r="AL152" s="409"/>
      <c r="AM152" s="409"/>
      <c r="AN152" s="406"/>
      <c r="AO152" s="407"/>
      <c r="AP152" s="409"/>
      <c r="AQ152" s="409"/>
      <c r="AR152" s="406"/>
      <c r="AS152" s="407"/>
      <c r="AT152" s="409"/>
      <c r="AU152" s="409"/>
      <c r="AV152" s="406"/>
      <c r="AW152" s="407"/>
      <c r="AX152" s="408">
        <f t="shared" si="86"/>
        <v>0.66666666666666663</v>
      </c>
      <c r="AY152" s="408">
        <f t="shared" si="168"/>
        <v>0.33333333333333331</v>
      </c>
      <c r="AZ152" s="410">
        <f>AZ93/SUM(AZ93:BA93)</f>
        <v>1</v>
      </c>
      <c r="BA152" s="411">
        <f>BA93/SUM(AZ93:BA93)</f>
        <v>0</v>
      </c>
      <c r="BB152" s="410">
        <f t="shared" si="169"/>
        <v>1</v>
      </c>
      <c r="BC152" s="420">
        <f t="shared" si="170"/>
        <v>0</v>
      </c>
      <c r="BD152" s="197"/>
      <c r="BE152" s="198"/>
      <c r="BF152" s="406"/>
      <c r="BG152" s="202"/>
      <c r="BH152" s="202"/>
      <c r="BI152" s="202"/>
      <c r="BJ152" s="202"/>
      <c r="BK152" s="202"/>
      <c r="BL152" s="406"/>
      <c r="BM152" s="202"/>
      <c r="BN152" s="202"/>
      <c r="BO152" s="202"/>
      <c r="BP152" s="202"/>
      <c r="BQ152" s="407"/>
      <c r="BR152" s="410">
        <f t="shared" si="193"/>
        <v>1</v>
      </c>
      <c r="BS152" s="420">
        <f t="shared" si="193"/>
        <v>0</v>
      </c>
      <c r="BT152" s="420">
        <f t="shared" si="193"/>
        <v>0</v>
      </c>
      <c r="BU152" s="420">
        <f t="shared" si="193"/>
        <v>0</v>
      </c>
      <c r="BV152" s="420">
        <f t="shared" si="193"/>
        <v>0</v>
      </c>
      <c r="BW152" s="411">
        <f t="shared" si="193"/>
        <v>0</v>
      </c>
      <c r="BX152" s="406"/>
      <c r="BY152" s="202"/>
      <c r="BZ152" s="202"/>
      <c r="CA152" s="202"/>
      <c r="CB152" s="202"/>
      <c r="CC152" s="407"/>
      <c r="CD152" s="406" t="str">
        <f t="shared" ref="CD152:CI152" si="195">IFERROR(CD93/SUM($CD93:$CI93),"")</f>
        <v/>
      </c>
      <c r="CE152" s="202" t="str">
        <f t="shared" si="195"/>
        <v/>
      </c>
      <c r="CF152" s="202" t="str">
        <f t="shared" si="195"/>
        <v/>
      </c>
      <c r="CG152" s="202" t="str">
        <f t="shared" si="195"/>
        <v/>
      </c>
      <c r="CH152" s="202" t="str">
        <f t="shared" si="195"/>
        <v/>
      </c>
      <c r="CI152" s="407" t="str">
        <f t="shared" si="195"/>
        <v/>
      </c>
      <c r="CJ152" s="406"/>
      <c r="CK152" s="202"/>
      <c r="CL152" s="202"/>
      <c r="CM152" s="202"/>
      <c r="CN152" s="202"/>
      <c r="CO152" s="407"/>
      <c r="CP152" s="406"/>
      <c r="CQ152" s="202"/>
      <c r="CR152" s="202"/>
      <c r="CS152" s="202"/>
      <c r="CT152" s="202"/>
      <c r="CU152" s="407"/>
      <c r="CV152" s="406"/>
      <c r="CW152" s="202"/>
      <c r="CX152" s="202"/>
      <c r="CY152" s="202"/>
      <c r="CZ152" s="202"/>
      <c r="DA152" s="407"/>
      <c r="DB152" s="406"/>
      <c r="DC152" s="202"/>
      <c r="DD152" s="202"/>
      <c r="DE152" s="202"/>
      <c r="DF152" s="202"/>
      <c r="DG152" s="407"/>
      <c r="DH152" s="406"/>
      <c r="DI152" s="202"/>
      <c r="DJ152" s="202"/>
      <c r="DK152" s="202"/>
      <c r="DL152" s="202"/>
      <c r="DM152" s="407"/>
      <c r="DN152" s="406"/>
      <c r="DO152" s="202"/>
      <c r="DP152" s="202"/>
      <c r="DQ152" s="202"/>
      <c r="DR152" s="202"/>
      <c r="DS152" s="407"/>
      <c r="DT152" s="406"/>
      <c r="DU152" s="202"/>
      <c r="DV152" s="202"/>
      <c r="DW152" s="202"/>
      <c r="DX152" s="202"/>
      <c r="DY152" s="407"/>
      <c r="DZ152" s="406"/>
      <c r="EA152" s="202"/>
      <c r="EB152" s="202"/>
      <c r="EC152" s="202"/>
      <c r="ED152" s="202"/>
      <c r="EE152" s="407"/>
      <c r="EF152" s="196">
        <f t="shared" si="49"/>
        <v>31</v>
      </c>
      <c r="EG152" s="202"/>
      <c r="EH152" s="579">
        <v>31</v>
      </c>
      <c r="EI152" s="603">
        <f t="shared" si="139"/>
        <v>0.88888888888888884</v>
      </c>
      <c r="EJ152" s="603">
        <f t="shared" si="140"/>
        <v>0.1111111111111111</v>
      </c>
      <c r="EK152" s="579">
        <v>31</v>
      </c>
      <c r="EL152" s="603">
        <f t="shared" si="141"/>
        <v>0.88888888888888884</v>
      </c>
      <c r="EM152" s="603">
        <f t="shared" si="142"/>
        <v>0.1111111111111111</v>
      </c>
      <c r="EN152" s="579">
        <v>31</v>
      </c>
      <c r="EO152" s="603">
        <v>0</v>
      </c>
      <c r="EP152" s="603">
        <v>0</v>
      </c>
      <c r="EQ152" s="580"/>
      <c r="ER152" s="580"/>
      <c r="ES152" s="519"/>
      <c r="ET152" s="519"/>
      <c r="EU152" s="580"/>
      <c r="EV152" s="580"/>
      <c r="EW152" s="580"/>
      <c r="EX152" s="580"/>
      <c r="EY152" s="580"/>
      <c r="EZ152" s="580"/>
      <c r="FA152" s="580"/>
      <c r="FB152" s="580"/>
      <c r="FC152" s="580"/>
      <c r="FD152" s="580"/>
      <c r="FE152" s="580"/>
      <c r="FF152" s="580"/>
      <c r="FG152" s="580"/>
      <c r="FH152" s="580"/>
    </row>
    <row r="153" spans="1:164" x14ac:dyDescent="0.2">
      <c r="A153" s="159">
        <v>32</v>
      </c>
      <c r="B153" s="406"/>
      <c r="C153" s="407"/>
      <c r="D153" s="406"/>
      <c r="E153" s="407"/>
      <c r="F153" s="409"/>
      <c r="G153" s="409"/>
      <c r="H153" s="406"/>
      <c r="I153" s="407"/>
      <c r="J153" s="409"/>
      <c r="K153" s="409"/>
      <c r="L153" s="406"/>
      <c r="M153" s="407"/>
      <c r="N153" s="409"/>
      <c r="O153" s="409"/>
      <c r="P153" s="406"/>
      <c r="Q153" s="407"/>
      <c r="R153" s="409"/>
      <c r="S153" s="409"/>
      <c r="T153" s="406"/>
      <c r="U153" s="407"/>
      <c r="V153" s="409"/>
      <c r="W153" s="409"/>
      <c r="X153" s="406"/>
      <c r="Y153" s="407"/>
      <c r="Z153" s="409"/>
      <c r="AA153" s="409"/>
      <c r="AB153" s="406"/>
      <c r="AC153" s="407"/>
      <c r="AD153" s="409"/>
      <c r="AE153" s="409"/>
      <c r="AF153" s="406"/>
      <c r="AG153" s="202"/>
      <c r="AH153" s="406"/>
      <c r="AI153" s="415"/>
      <c r="AJ153" s="202"/>
      <c r="AK153" s="407"/>
      <c r="AL153" s="409"/>
      <c r="AM153" s="409"/>
      <c r="AN153" s="406"/>
      <c r="AO153" s="407"/>
      <c r="AP153" s="409"/>
      <c r="AQ153" s="409"/>
      <c r="AR153" s="406"/>
      <c r="AS153" s="407"/>
      <c r="AT153" s="409"/>
      <c r="AU153" s="409"/>
      <c r="AV153" s="406"/>
      <c r="AW153" s="407"/>
      <c r="AX153" s="408">
        <f t="shared" si="86"/>
        <v>0</v>
      </c>
      <c r="AY153" s="408">
        <f t="shared" si="168"/>
        <v>1</v>
      </c>
      <c r="AZ153" s="410">
        <f>AZ94/SUM(AZ94:BA94)</f>
        <v>0.75</v>
      </c>
      <c r="BA153" s="411">
        <f>BA94/SUM(AZ94:BA94)</f>
        <v>0.25</v>
      </c>
      <c r="BB153" s="410">
        <f t="shared" si="169"/>
        <v>0</v>
      </c>
      <c r="BC153" s="420">
        <f t="shared" si="170"/>
        <v>1</v>
      </c>
      <c r="BD153" s="197"/>
      <c r="BE153" s="198"/>
      <c r="BF153" s="406"/>
      <c r="BG153" s="202"/>
      <c r="BH153" s="202"/>
      <c r="BI153" s="202"/>
      <c r="BJ153" s="202"/>
      <c r="BK153" s="202"/>
      <c r="BL153" s="406"/>
      <c r="BM153" s="202"/>
      <c r="BN153" s="202"/>
      <c r="BO153" s="202"/>
      <c r="BP153" s="202"/>
      <c r="BQ153" s="407"/>
      <c r="BR153" s="406"/>
      <c r="BS153" s="202"/>
      <c r="BT153" s="202"/>
      <c r="BU153" s="202"/>
      <c r="BV153" s="202"/>
      <c r="BW153" s="407"/>
      <c r="BX153" s="406"/>
      <c r="BY153" s="202"/>
      <c r="BZ153" s="202"/>
      <c r="CA153" s="202"/>
      <c r="CB153" s="202"/>
      <c r="CC153" s="407"/>
      <c r="CD153" s="406" t="str">
        <f t="shared" ref="CD153:CI153" si="196">IFERROR(CD94/SUM($CD94:$CI94),"")</f>
        <v/>
      </c>
      <c r="CE153" s="202" t="str">
        <f t="shared" si="196"/>
        <v/>
      </c>
      <c r="CF153" s="202" t="str">
        <f t="shared" si="196"/>
        <v/>
      </c>
      <c r="CG153" s="202" t="str">
        <f t="shared" si="196"/>
        <v/>
      </c>
      <c r="CH153" s="202" t="str">
        <f t="shared" si="196"/>
        <v/>
      </c>
      <c r="CI153" s="407" t="str">
        <f t="shared" si="196"/>
        <v/>
      </c>
      <c r="CJ153" s="406"/>
      <c r="CK153" s="202"/>
      <c r="CL153" s="202"/>
      <c r="CM153" s="202"/>
      <c r="CN153" s="202"/>
      <c r="CO153" s="407"/>
      <c r="CP153" s="406"/>
      <c r="CQ153" s="202"/>
      <c r="CR153" s="202"/>
      <c r="CS153" s="202"/>
      <c r="CT153" s="202"/>
      <c r="CU153" s="407"/>
      <c r="CV153" s="406"/>
      <c r="CW153" s="202"/>
      <c r="CX153" s="202"/>
      <c r="CY153" s="202"/>
      <c r="CZ153" s="202"/>
      <c r="DA153" s="407"/>
      <c r="DB153" s="406"/>
      <c r="DC153" s="202"/>
      <c r="DD153" s="202"/>
      <c r="DE153" s="202"/>
      <c r="DF153" s="202"/>
      <c r="DG153" s="407"/>
      <c r="DH153" s="406"/>
      <c r="DI153" s="202"/>
      <c r="DJ153" s="202"/>
      <c r="DK153" s="202"/>
      <c r="DL153" s="202"/>
      <c r="DM153" s="407"/>
      <c r="DN153" s="406"/>
      <c r="DO153" s="202"/>
      <c r="DP153" s="202"/>
      <c r="DQ153" s="202"/>
      <c r="DR153" s="202"/>
      <c r="DS153" s="407"/>
      <c r="DT153" s="406"/>
      <c r="DU153" s="202"/>
      <c r="DV153" s="202"/>
      <c r="DW153" s="202"/>
      <c r="DX153" s="202"/>
      <c r="DY153" s="407"/>
      <c r="DZ153" s="406"/>
      <c r="EA153" s="202"/>
      <c r="EB153" s="202"/>
      <c r="EC153" s="202"/>
      <c r="ED153" s="202"/>
      <c r="EE153" s="407"/>
      <c r="EF153" s="196">
        <f t="shared" ref="EF153:EF174" si="197">A153</f>
        <v>32</v>
      </c>
      <c r="EG153" s="202"/>
      <c r="EH153" s="579">
        <v>32</v>
      </c>
      <c r="EI153" s="603">
        <f t="shared" si="139"/>
        <v>0.25</v>
      </c>
      <c r="EJ153" s="603">
        <f t="shared" si="140"/>
        <v>0.75</v>
      </c>
      <c r="EK153" s="579">
        <v>32</v>
      </c>
      <c r="EL153" s="603">
        <f t="shared" si="141"/>
        <v>0.25</v>
      </c>
      <c r="EM153" s="603">
        <f t="shared" si="142"/>
        <v>0.75</v>
      </c>
      <c r="EN153" s="579">
        <v>32</v>
      </c>
      <c r="EO153" s="603">
        <v>0</v>
      </c>
      <c r="EP153" s="603">
        <v>0</v>
      </c>
      <c r="EQ153" s="580"/>
      <c r="ER153" s="580"/>
      <c r="ES153" s="519"/>
      <c r="ET153" s="519"/>
      <c r="EU153" s="580"/>
      <c r="EV153" s="580"/>
      <c r="EW153" s="580"/>
      <c r="EX153" s="580"/>
      <c r="EY153" s="580"/>
      <c r="EZ153" s="580"/>
      <c r="FA153" s="580"/>
      <c r="FB153" s="580"/>
      <c r="FC153" s="580"/>
      <c r="FD153" s="580"/>
      <c r="FE153" s="580"/>
      <c r="FF153" s="580"/>
      <c r="FG153" s="580"/>
      <c r="FH153" s="580"/>
    </row>
    <row r="154" spans="1:164" x14ac:dyDescent="0.2">
      <c r="A154" s="159">
        <v>33</v>
      </c>
      <c r="B154" s="406"/>
      <c r="C154" s="407"/>
      <c r="D154" s="406"/>
      <c r="E154" s="407"/>
      <c r="F154" s="409"/>
      <c r="G154" s="409"/>
      <c r="H154" s="406"/>
      <c r="I154" s="407"/>
      <c r="J154" s="409"/>
      <c r="K154" s="409"/>
      <c r="L154" s="406"/>
      <c r="M154" s="407"/>
      <c r="N154" s="409"/>
      <c r="O154" s="409"/>
      <c r="P154" s="406"/>
      <c r="Q154" s="407"/>
      <c r="R154" s="409"/>
      <c r="S154" s="409"/>
      <c r="T154" s="406"/>
      <c r="U154" s="407"/>
      <c r="V154" s="409"/>
      <c r="W154" s="409"/>
      <c r="X154" s="406"/>
      <c r="Y154" s="407"/>
      <c r="Z154" s="409"/>
      <c r="AA154" s="409"/>
      <c r="AB154" s="406"/>
      <c r="AC154" s="407"/>
      <c r="AD154" s="409"/>
      <c r="AE154" s="409"/>
      <c r="AF154" s="406"/>
      <c r="AG154" s="202"/>
      <c r="AH154" s="406"/>
      <c r="AI154" s="415"/>
      <c r="AJ154" s="202"/>
      <c r="AK154" s="407"/>
      <c r="AL154" s="409"/>
      <c r="AM154" s="409"/>
      <c r="AN154" s="406"/>
      <c r="AO154" s="407"/>
      <c r="AP154" s="409"/>
      <c r="AQ154" s="409"/>
      <c r="AR154" s="406"/>
      <c r="AS154" s="407"/>
      <c r="AT154" s="409"/>
      <c r="AU154" s="409"/>
      <c r="AV154" s="406"/>
      <c r="AW154" s="407"/>
      <c r="AX154" s="409"/>
      <c r="AY154" s="409"/>
      <c r="AZ154" s="406"/>
      <c r="BA154" s="407"/>
      <c r="BB154" s="406"/>
      <c r="BC154" s="202"/>
      <c r="BD154" s="197"/>
      <c r="BE154" s="198"/>
      <c r="BF154" s="406"/>
      <c r="BG154" s="202"/>
      <c r="BH154" s="202"/>
      <c r="BI154" s="202"/>
      <c r="BJ154" s="202"/>
      <c r="BK154" s="202"/>
      <c r="BL154" s="406"/>
      <c r="BM154" s="202"/>
      <c r="BN154" s="202"/>
      <c r="BO154" s="202"/>
      <c r="BP154" s="202"/>
      <c r="BQ154" s="407"/>
      <c r="BR154" s="406"/>
      <c r="BS154" s="202"/>
      <c r="BT154" s="202"/>
      <c r="BU154" s="202"/>
      <c r="BV154" s="202"/>
      <c r="BW154" s="407"/>
      <c r="BX154" s="406"/>
      <c r="BY154" s="202"/>
      <c r="BZ154" s="202"/>
      <c r="CA154" s="202"/>
      <c r="CB154" s="202"/>
      <c r="CC154" s="407"/>
      <c r="CD154" s="406" t="str">
        <f t="shared" ref="CD154:CI154" si="198">IFERROR(CD95/SUM($CD95:$CI95),"")</f>
        <v/>
      </c>
      <c r="CE154" s="202" t="str">
        <f t="shared" si="198"/>
        <v/>
      </c>
      <c r="CF154" s="202" t="str">
        <f t="shared" si="198"/>
        <v/>
      </c>
      <c r="CG154" s="202" t="str">
        <f t="shared" si="198"/>
        <v/>
      </c>
      <c r="CH154" s="202" t="str">
        <f t="shared" si="198"/>
        <v/>
      </c>
      <c r="CI154" s="407" t="str">
        <f t="shared" si="198"/>
        <v/>
      </c>
      <c r="CJ154" s="406"/>
      <c r="CK154" s="202"/>
      <c r="CL154" s="202"/>
      <c r="CM154" s="202"/>
      <c r="CN154" s="202"/>
      <c r="CO154" s="407"/>
      <c r="CP154" s="406"/>
      <c r="CQ154" s="202"/>
      <c r="CR154" s="202"/>
      <c r="CS154" s="202"/>
      <c r="CT154" s="202"/>
      <c r="CU154" s="407"/>
      <c r="CV154" s="406"/>
      <c r="CW154" s="202"/>
      <c r="CX154" s="202"/>
      <c r="CY154" s="202"/>
      <c r="CZ154" s="202"/>
      <c r="DA154" s="407"/>
      <c r="DB154" s="406"/>
      <c r="DC154" s="202"/>
      <c r="DD154" s="202"/>
      <c r="DE154" s="202"/>
      <c r="DF154" s="202"/>
      <c r="DG154" s="407"/>
      <c r="DH154" s="406"/>
      <c r="DI154" s="202"/>
      <c r="DJ154" s="202"/>
      <c r="DK154" s="202"/>
      <c r="DL154" s="202"/>
      <c r="DM154" s="407"/>
      <c r="DN154" s="406"/>
      <c r="DO154" s="202"/>
      <c r="DP154" s="202"/>
      <c r="DQ154" s="202"/>
      <c r="DR154" s="202"/>
      <c r="DS154" s="407"/>
      <c r="DT154" s="406"/>
      <c r="DU154" s="202"/>
      <c r="DV154" s="202"/>
      <c r="DW154" s="202"/>
      <c r="DX154" s="202"/>
      <c r="DY154" s="407"/>
      <c r="DZ154" s="406"/>
      <c r="EA154" s="202"/>
      <c r="EB154" s="202"/>
      <c r="EC154" s="202"/>
      <c r="ED154" s="202"/>
      <c r="EE154" s="407"/>
      <c r="EF154" s="196">
        <f t="shared" si="197"/>
        <v>33</v>
      </c>
      <c r="EG154" s="202"/>
      <c r="EH154" s="579">
        <v>33</v>
      </c>
      <c r="EI154" s="603">
        <v>0</v>
      </c>
      <c r="EJ154" s="603">
        <v>0</v>
      </c>
      <c r="EK154" s="579">
        <v>33</v>
      </c>
      <c r="EL154" s="603">
        <v>0</v>
      </c>
      <c r="EM154" s="603">
        <v>0</v>
      </c>
      <c r="EN154" s="579">
        <v>33</v>
      </c>
      <c r="EO154" s="603">
        <v>0</v>
      </c>
      <c r="EP154" s="603">
        <v>0</v>
      </c>
      <c r="EQ154" s="580"/>
      <c r="ER154" s="580"/>
      <c r="ES154" s="519"/>
      <c r="ET154" s="519"/>
      <c r="EU154" s="580"/>
      <c r="EV154" s="580"/>
      <c r="EW154" s="580"/>
      <c r="EX154" s="580"/>
      <c r="EY154" s="580"/>
      <c r="EZ154" s="580"/>
      <c r="FA154" s="580"/>
      <c r="FB154" s="580"/>
      <c r="FC154" s="580"/>
      <c r="FD154" s="580"/>
      <c r="FE154" s="580"/>
      <c r="FF154" s="580"/>
      <c r="FG154" s="580"/>
      <c r="FH154" s="580"/>
    </row>
    <row r="155" spans="1:164" x14ac:dyDescent="0.2">
      <c r="A155" s="159">
        <v>34</v>
      </c>
      <c r="B155" s="406"/>
      <c r="C155" s="407"/>
      <c r="D155" s="406"/>
      <c r="E155" s="407"/>
      <c r="F155" s="409"/>
      <c r="G155" s="409"/>
      <c r="H155" s="406"/>
      <c r="I155" s="407"/>
      <c r="J155" s="408">
        <f t="shared" ref="J155:J160" si="199">J96/SUM(J96:K96)</f>
        <v>1</v>
      </c>
      <c r="K155" s="408">
        <f t="shared" ref="K155:K160" si="200">K96/SUM(J96:K96)</f>
        <v>0</v>
      </c>
      <c r="L155" s="406"/>
      <c r="M155" s="407"/>
      <c r="N155" s="409"/>
      <c r="O155" s="409"/>
      <c r="P155" s="406"/>
      <c r="Q155" s="407"/>
      <c r="R155" s="408">
        <f>R96/SUM(R96:S96)</f>
        <v>1</v>
      </c>
      <c r="S155" s="408">
        <f>S96/SUM(R96:S96)</f>
        <v>0</v>
      </c>
      <c r="T155" s="406"/>
      <c r="U155" s="407"/>
      <c r="V155" s="408">
        <f>V96/SUM(V96:W96)</f>
        <v>0.5</v>
      </c>
      <c r="W155" s="408">
        <f>W96/SUM(V96:W96)</f>
        <v>0.5</v>
      </c>
      <c r="X155" s="406"/>
      <c r="Y155" s="407"/>
      <c r="Z155" s="408">
        <f>Z96/SUM(Z96:AA96)</f>
        <v>0.5</v>
      </c>
      <c r="AA155" s="408">
        <f>AA96/SUM(Z96:AA96)</f>
        <v>0.5</v>
      </c>
      <c r="AB155" s="406"/>
      <c r="AC155" s="407"/>
      <c r="AD155" s="408">
        <f>AD96/SUM(AD96:AE96)</f>
        <v>1</v>
      </c>
      <c r="AE155" s="408">
        <f>AE96/SUM(AD96:AE96)</f>
        <v>0</v>
      </c>
      <c r="AF155" s="406"/>
      <c r="AG155" s="202"/>
      <c r="AH155" s="406"/>
      <c r="AI155" s="415"/>
      <c r="AJ155" s="202"/>
      <c r="AK155" s="407"/>
      <c r="AL155" s="409"/>
      <c r="AM155" s="409"/>
      <c r="AN155" s="406"/>
      <c r="AO155" s="407"/>
      <c r="AP155" s="409"/>
      <c r="AQ155" s="409"/>
      <c r="AR155" s="406"/>
      <c r="AS155" s="407"/>
      <c r="AT155" s="409"/>
      <c r="AU155" s="409"/>
      <c r="AV155" s="406"/>
      <c r="AW155" s="407"/>
      <c r="AX155" s="409"/>
      <c r="AY155" s="409"/>
      <c r="AZ155" s="406"/>
      <c r="BA155" s="407"/>
      <c r="BB155" s="410">
        <f t="shared" si="169"/>
        <v>1</v>
      </c>
      <c r="BC155" s="420">
        <f t="shared" si="170"/>
        <v>0</v>
      </c>
      <c r="BD155" s="197"/>
      <c r="BE155" s="198"/>
      <c r="BF155" s="406"/>
      <c r="BG155" s="202"/>
      <c r="BH155" s="202"/>
      <c r="BI155" s="202"/>
      <c r="BJ155" s="202"/>
      <c r="BK155" s="202"/>
      <c r="BL155" s="406"/>
      <c r="BM155" s="202"/>
      <c r="BN155" s="202"/>
      <c r="BO155" s="202"/>
      <c r="BP155" s="202"/>
      <c r="BQ155" s="407"/>
      <c r="BR155" s="406"/>
      <c r="BS155" s="202"/>
      <c r="BT155" s="202"/>
      <c r="BU155" s="202"/>
      <c r="BV155" s="202"/>
      <c r="BW155" s="407"/>
      <c r="BX155" s="410">
        <f t="shared" ref="BX155:CC156" si="201">BX96/SUM($BX96:$CC96)</f>
        <v>0</v>
      </c>
      <c r="BY155" s="420">
        <f t="shared" si="201"/>
        <v>0</v>
      </c>
      <c r="BZ155" s="420">
        <f t="shared" si="201"/>
        <v>0</v>
      </c>
      <c r="CA155" s="420">
        <f t="shared" si="201"/>
        <v>0.5</v>
      </c>
      <c r="CB155" s="420">
        <f t="shared" si="201"/>
        <v>0</v>
      </c>
      <c r="CC155" s="411">
        <f t="shared" si="201"/>
        <v>0.5</v>
      </c>
      <c r="CD155" s="406" t="str">
        <f t="shared" ref="CD155:CI155" si="202">IFERROR(CD96/SUM($CD96:$CI96),"")</f>
        <v/>
      </c>
      <c r="CE155" s="202" t="str">
        <f t="shared" si="202"/>
        <v/>
      </c>
      <c r="CF155" s="202" t="str">
        <f t="shared" si="202"/>
        <v/>
      </c>
      <c r="CG155" s="202" t="str">
        <f t="shared" si="202"/>
        <v/>
      </c>
      <c r="CH155" s="202" t="str">
        <f t="shared" si="202"/>
        <v/>
      </c>
      <c r="CI155" s="407" t="str">
        <f t="shared" si="202"/>
        <v/>
      </c>
      <c r="CJ155" s="406"/>
      <c r="CK155" s="202"/>
      <c r="CL155" s="202"/>
      <c r="CM155" s="202"/>
      <c r="CN155" s="202"/>
      <c r="CO155" s="407"/>
      <c r="CP155" s="406"/>
      <c r="CQ155" s="202"/>
      <c r="CR155" s="202"/>
      <c r="CS155" s="202"/>
      <c r="CT155" s="202"/>
      <c r="CU155" s="407"/>
      <c r="CV155" s="406"/>
      <c r="CW155" s="202"/>
      <c r="CX155" s="202"/>
      <c r="CY155" s="202"/>
      <c r="CZ155" s="202"/>
      <c r="DA155" s="407"/>
      <c r="DB155" s="406"/>
      <c r="DC155" s="202"/>
      <c r="DD155" s="202"/>
      <c r="DE155" s="202"/>
      <c r="DF155" s="202"/>
      <c r="DG155" s="407"/>
      <c r="DH155" s="406"/>
      <c r="DI155" s="202"/>
      <c r="DJ155" s="202"/>
      <c r="DK155" s="202"/>
      <c r="DL155" s="202"/>
      <c r="DM155" s="407"/>
      <c r="DN155" s="406"/>
      <c r="DO155" s="202"/>
      <c r="DP155" s="202"/>
      <c r="DQ155" s="202"/>
      <c r="DR155" s="202"/>
      <c r="DS155" s="407"/>
      <c r="DT155" s="406"/>
      <c r="DU155" s="202"/>
      <c r="DV155" s="202"/>
      <c r="DW155" s="202"/>
      <c r="DX155" s="202"/>
      <c r="DY155" s="407"/>
      <c r="DZ155" s="406"/>
      <c r="EA155" s="202"/>
      <c r="EB155" s="202"/>
      <c r="EC155" s="202"/>
      <c r="ED155" s="202"/>
      <c r="EE155" s="407"/>
      <c r="EF155" s="196">
        <f t="shared" si="197"/>
        <v>34</v>
      </c>
      <c r="EG155" s="202"/>
      <c r="EH155" s="579">
        <v>34</v>
      </c>
      <c r="EI155" s="603">
        <f t="shared" ref="EI155:EI174" si="203">AVERAGE(D155,F155,H155,J155,L155,N155,P155,R155,T155,V155,X155,Z155,AB155,AD155,AF155,AH155,AJ155,AL155,AN155,AP155,AR155,AT155,AV155,AX155,AZ155,BB155,BD155)</f>
        <v>0.83333333333333337</v>
      </c>
      <c r="EJ155" s="603">
        <f t="shared" ref="EJ155:EJ174" si="204">AVERAGE(BA155,AY155,AW155,AU155,AS155,AQ155,AO155,AM155,AK155,AI155,AG155,AE155,AC155,AA155,Y155,W155,U155,S155,Q155,O155,M155,K155,I155,G155,E155,BC155,BE155)</f>
        <v>0.16666666666666666</v>
      </c>
      <c r="EK155" s="579">
        <v>34</v>
      </c>
      <c r="EL155" s="603">
        <f t="shared" ref="EL155:EL167" si="205">AVERAGE(BB155,AZ155,AX155,AV155,AT155,AR155,AP155,AN155,AL155,AJ155,BD155)</f>
        <v>1</v>
      </c>
      <c r="EM155" s="603">
        <f t="shared" ref="EM155:EM167" si="206">AVERAGE(BC155,BA155,AY155,AW155,AU155,AS155,AQ155,AO155,AM155,AK155,BE155)</f>
        <v>0</v>
      </c>
      <c r="EN155" s="579">
        <v>34</v>
      </c>
      <c r="EO155" s="603">
        <f t="shared" ref="EO155:EO168" si="207">AVERAGE(D155,F155,H155,J155,L155,N155,P155,R155,T155,V155,X155,Z155,AB155,AD155,AF155,AH155)</f>
        <v>0.8</v>
      </c>
      <c r="EP155" s="603">
        <f t="shared" ref="EP155:EP168" si="208">AVERAGE(E155,G155,I155,K155,M155,O155,Q155,S155,U155,W155,Y155,AA155,AC155,AE155,AG155,AI155)</f>
        <v>0.2</v>
      </c>
      <c r="EQ155" s="580"/>
      <c r="ER155" s="580"/>
      <c r="ES155" s="519"/>
      <c r="ET155" s="519"/>
      <c r="EU155" s="580"/>
      <c r="EV155" s="580"/>
      <c r="EW155" s="580"/>
      <c r="EX155" s="580"/>
      <c r="EY155" s="580"/>
      <c r="EZ155" s="580"/>
      <c r="FA155" s="580"/>
      <c r="FB155" s="580"/>
      <c r="FC155" s="580"/>
      <c r="FD155" s="580"/>
      <c r="FE155" s="580"/>
      <c r="FF155" s="580"/>
      <c r="FG155" s="580"/>
      <c r="FH155" s="580"/>
    </row>
    <row r="156" spans="1:164" x14ac:dyDescent="0.2">
      <c r="A156" s="159">
        <v>35</v>
      </c>
      <c r="B156" s="406"/>
      <c r="C156" s="407"/>
      <c r="D156" s="406"/>
      <c r="E156" s="407"/>
      <c r="F156" s="408">
        <f>F97/SUM(F97:G97)</f>
        <v>1</v>
      </c>
      <c r="G156" s="408">
        <f>G97/SUM(F97:G97)</f>
        <v>0</v>
      </c>
      <c r="H156" s="406"/>
      <c r="I156" s="407"/>
      <c r="J156" s="408">
        <f t="shared" si="199"/>
        <v>1</v>
      </c>
      <c r="K156" s="408">
        <f t="shared" si="200"/>
        <v>0</v>
      </c>
      <c r="L156" s="406"/>
      <c r="M156" s="407"/>
      <c r="N156" s="408">
        <f>N97/SUM(N97:O97)</f>
        <v>1</v>
      </c>
      <c r="O156" s="408">
        <f>O97/SUM(N97:O97)</f>
        <v>0</v>
      </c>
      <c r="P156" s="406"/>
      <c r="Q156" s="407"/>
      <c r="R156" s="408">
        <f>R97/SUM(R97:S97)</f>
        <v>0.5</v>
      </c>
      <c r="S156" s="408">
        <f>S97/SUM(R97:S97)</f>
        <v>0.5</v>
      </c>
      <c r="T156" s="410">
        <f>T97/SUM(T97:U97)</f>
        <v>1</v>
      </c>
      <c r="U156" s="411">
        <f>U97/SUM(T97:U97)</f>
        <v>0</v>
      </c>
      <c r="V156" s="408">
        <f>V97/SUM(V97:W97)</f>
        <v>1</v>
      </c>
      <c r="W156" s="408">
        <f>W97/SUM(V97:W97)</f>
        <v>0</v>
      </c>
      <c r="X156" s="406"/>
      <c r="Y156" s="407"/>
      <c r="Z156" s="408">
        <f>Z97/SUM(Z97:AA97)</f>
        <v>1</v>
      </c>
      <c r="AA156" s="408">
        <f>AA97/SUM(Z97:AA97)</f>
        <v>0</v>
      </c>
      <c r="AB156" s="406"/>
      <c r="AC156" s="407"/>
      <c r="AD156" s="408">
        <f>AD97/SUM(AD97:AE97)</f>
        <v>1</v>
      </c>
      <c r="AE156" s="408">
        <f>AE97/SUM(AD97:AE97)</f>
        <v>0</v>
      </c>
      <c r="AF156" s="406"/>
      <c r="AG156" s="202"/>
      <c r="AH156" s="410">
        <f t="shared" ref="AH156:AH163" si="209">AH97/SUM(AH97:AI97)</f>
        <v>0</v>
      </c>
      <c r="AI156" s="425">
        <f t="shared" ref="AI156:AI163" si="210">AI97/SUM(AH97:AI97)</f>
        <v>1</v>
      </c>
      <c r="AJ156" s="202"/>
      <c r="AK156" s="407"/>
      <c r="AL156" s="409"/>
      <c r="AM156" s="409"/>
      <c r="AN156" s="406"/>
      <c r="AO156" s="407"/>
      <c r="AP156" s="408">
        <f>AP97/SUM(AP97:AQ97)</f>
        <v>0.5</v>
      </c>
      <c r="AQ156" s="408">
        <f>AQ97/SUM(AP97:AQ97)</f>
        <v>0.5</v>
      </c>
      <c r="AR156" s="406"/>
      <c r="AS156" s="407"/>
      <c r="AT156" s="408">
        <f t="shared" ref="AT156:AT161" si="211">AT97/SUM(AT97:AU97)</f>
        <v>1</v>
      </c>
      <c r="AU156" s="408">
        <f t="shared" si="58"/>
        <v>0</v>
      </c>
      <c r="AV156" s="406"/>
      <c r="AW156" s="407"/>
      <c r="AX156" s="409"/>
      <c r="AY156" s="409"/>
      <c r="AZ156" s="410">
        <f>AZ97/SUM(AZ97:BA97)</f>
        <v>1</v>
      </c>
      <c r="BA156" s="411">
        <f>BA97/SUM(AZ97:BA97)</f>
        <v>0</v>
      </c>
      <c r="BB156" s="410">
        <f t="shared" si="169"/>
        <v>1</v>
      </c>
      <c r="BC156" s="420">
        <f t="shared" si="170"/>
        <v>0</v>
      </c>
      <c r="BD156" s="197"/>
      <c r="BE156" s="198"/>
      <c r="BF156" s="410">
        <f t="shared" ref="BF156:BK156" si="212">BF97/SUM($BF97:$BK97)</f>
        <v>0</v>
      </c>
      <c r="BG156" s="420">
        <f t="shared" si="212"/>
        <v>1</v>
      </c>
      <c r="BH156" s="420">
        <f t="shared" si="212"/>
        <v>0</v>
      </c>
      <c r="BI156" s="420">
        <f t="shared" si="212"/>
        <v>0</v>
      </c>
      <c r="BJ156" s="420">
        <f t="shared" si="212"/>
        <v>0</v>
      </c>
      <c r="BK156" s="420">
        <f t="shared" si="212"/>
        <v>0</v>
      </c>
      <c r="BL156" s="406"/>
      <c r="BM156" s="202"/>
      <c r="BN156" s="202"/>
      <c r="BO156" s="202"/>
      <c r="BP156" s="202"/>
      <c r="BQ156" s="407"/>
      <c r="BR156" s="406"/>
      <c r="BS156" s="202"/>
      <c r="BT156" s="202"/>
      <c r="BU156" s="202"/>
      <c r="BV156" s="202"/>
      <c r="BW156" s="407"/>
      <c r="BX156" s="410">
        <f t="shared" si="201"/>
        <v>0</v>
      </c>
      <c r="BY156" s="420">
        <f t="shared" si="201"/>
        <v>1</v>
      </c>
      <c r="BZ156" s="420">
        <f t="shared" si="201"/>
        <v>0</v>
      </c>
      <c r="CA156" s="420">
        <f t="shared" si="201"/>
        <v>0</v>
      </c>
      <c r="CB156" s="420">
        <f t="shared" si="201"/>
        <v>0</v>
      </c>
      <c r="CC156" s="411">
        <f t="shared" si="201"/>
        <v>0</v>
      </c>
      <c r="CD156" s="406" t="str">
        <f t="shared" ref="CD156:CI156" si="213">IFERROR(CD97/SUM($CD97:$CI97),"")</f>
        <v/>
      </c>
      <c r="CE156" s="202" t="str">
        <f t="shared" si="213"/>
        <v/>
      </c>
      <c r="CF156" s="202" t="str">
        <f t="shared" si="213"/>
        <v/>
      </c>
      <c r="CG156" s="202" t="str">
        <f t="shared" si="213"/>
        <v/>
      </c>
      <c r="CH156" s="202" t="str">
        <f t="shared" si="213"/>
        <v/>
      </c>
      <c r="CI156" s="407" t="str">
        <f t="shared" si="213"/>
        <v/>
      </c>
      <c r="CJ156" s="406"/>
      <c r="CK156" s="202"/>
      <c r="CL156" s="202"/>
      <c r="CM156" s="202"/>
      <c r="CN156" s="202"/>
      <c r="CO156" s="407"/>
      <c r="CP156" s="406"/>
      <c r="CQ156" s="202"/>
      <c r="CR156" s="202"/>
      <c r="CS156" s="202"/>
      <c r="CT156" s="202"/>
      <c r="CU156" s="407"/>
      <c r="CV156" s="406"/>
      <c r="CW156" s="202"/>
      <c r="CX156" s="202"/>
      <c r="CY156" s="202"/>
      <c r="CZ156" s="202"/>
      <c r="DA156" s="407"/>
      <c r="DB156" s="406"/>
      <c r="DC156" s="202"/>
      <c r="DD156" s="202"/>
      <c r="DE156" s="202"/>
      <c r="DF156" s="202"/>
      <c r="DG156" s="407"/>
      <c r="DH156" s="406"/>
      <c r="DI156" s="202"/>
      <c r="DJ156" s="202"/>
      <c r="DK156" s="202"/>
      <c r="DL156" s="202"/>
      <c r="DM156" s="407"/>
      <c r="DN156" s="406"/>
      <c r="DO156" s="202"/>
      <c r="DP156" s="202"/>
      <c r="DQ156" s="202"/>
      <c r="DR156" s="202"/>
      <c r="DS156" s="407"/>
      <c r="DT156" s="406"/>
      <c r="DU156" s="202"/>
      <c r="DV156" s="202"/>
      <c r="DW156" s="202"/>
      <c r="DX156" s="202"/>
      <c r="DY156" s="407"/>
      <c r="DZ156" s="406"/>
      <c r="EA156" s="202"/>
      <c r="EB156" s="202"/>
      <c r="EC156" s="202"/>
      <c r="ED156" s="202"/>
      <c r="EE156" s="407"/>
      <c r="EF156" s="196">
        <f t="shared" si="197"/>
        <v>35</v>
      </c>
      <c r="EG156" s="202"/>
      <c r="EH156" s="579">
        <v>35</v>
      </c>
      <c r="EI156" s="603">
        <f t="shared" si="203"/>
        <v>0.84615384615384615</v>
      </c>
      <c r="EJ156" s="603">
        <f t="shared" si="204"/>
        <v>0.15384615384615385</v>
      </c>
      <c r="EK156" s="579">
        <v>35</v>
      </c>
      <c r="EL156" s="603">
        <f t="shared" si="205"/>
        <v>0.875</v>
      </c>
      <c r="EM156" s="603">
        <f t="shared" si="206"/>
        <v>0.125</v>
      </c>
      <c r="EN156" s="579">
        <v>35</v>
      </c>
      <c r="EO156" s="603">
        <f t="shared" si="207"/>
        <v>0.83333333333333337</v>
      </c>
      <c r="EP156" s="603">
        <f t="shared" si="208"/>
        <v>0.16666666666666666</v>
      </c>
      <c r="EQ156" s="580"/>
      <c r="ER156" s="580"/>
      <c r="ES156" s="519"/>
      <c r="ET156" s="519"/>
      <c r="EU156" s="580"/>
      <c r="EV156" s="580"/>
      <c r="EW156" s="580"/>
      <c r="EX156" s="580"/>
      <c r="EY156" s="580"/>
      <c r="EZ156" s="580"/>
      <c r="FA156" s="580"/>
      <c r="FB156" s="580"/>
      <c r="FC156" s="580"/>
      <c r="FD156" s="580"/>
      <c r="FE156" s="580"/>
      <c r="FF156" s="580"/>
      <c r="FG156" s="580"/>
      <c r="FH156" s="580"/>
    </row>
    <row r="157" spans="1:164" x14ac:dyDescent="0.2">
      <c r="A157" s="159">
        <v>36</v>
      </c>
      <c r="B157" s="406"/>
      <c r="C157" s="407"/>
      <c r="D157" s="406"/>
      <c r="E157" s="407"/>
      <c r="F157" s="408">
        <f>F98/SUM(F98:G98)</f>
        <v>0.9</v>
      </c>
      <c r="G157" s="408">
        <f>G98/SUM(F98:G98)</f>
        <v>0.1</v>
      </c>
      <c r="H157" s="406"/>
      <c r="I157" s="407"/>
      <c r="J157" s="408">
        <f t="shared" si="199"/>
        <v>1</v>
      </c>
      <c r="K157" s="408">
        <f t="shared" si="200"/>
        <v>0</v>
      </c>
      <c r="L157" s="406"/>
      <c r="M157" s="407"/>
      <c r="N157" s="409"/>
      <c r="O157" s="409"/>
      <c r="P157" s="406"/>
      <c r="Q157" s="407"/>
      <c r="R157" s="409"/>
      <c r="S157" s="409"/>
      <c r="T157" s="406"/>
      <c r="U157" s="407"/>
      <c r="V157" s="408">
        <f>V98/SUM(V98:W98)</f>
        <v>1</v>
      </c>
      <c r="W157" s="408">
        <f>W98/SUM(V98:W98)</f>
        <v>0</v>
      </c>
      <c r="X157" s="406"/>
      <c r="Y157" s="407"/>
      <c r="Z157" s="408">
        <f>Z98/SUM(Z98:AA98)</f>
        <v>0</v>
      </c>
      <c r="AA157" s="408">
        <f>AA98/SUM(Z98:AA98)</f>
        <v>1</v>
      </c>
      <c r="AB157" s="406"/>
      <c r="AC157" s="407"/>
      <c r="AD157" s="408">
        <f>AD98/SUM(AD98:AE98)</f>
        <v>1</v>
      </c>
      <c r="AE157" s="408">
        <f>AE98/SUM(AD98:AE98)</f>
        <v>0</v>
      </c>
      <c r="AF157" s="406"/>
      <c r="AG157" s="202"/>
      <c r="AH157" s="410">
        <f t="shared" si="209"/>
        <v>0.66666666666666663</v>
      </c>
      <c r="AI157" s="425">
        <f t="shared" si="210"/>
        <v>0.33333333333333331</v>
      </c>
      <c r="AJ157" s="202"/>
      <c r="AK157" s="407"/>
      <c r="AL157" s="408">
        <f>AL98/SUM(AL98:AM98)</f>
        <v>0</v>
      </c>
      <c r="AM157" s="408">
        <f>AM98/SUM(AL98:AM98)</f>
        <v>1</v>
      </c>
      <c r="AN157" s="406"/>
      <c r="AO157" s="407"/>
      <c r="AP157" s="409"/>
      <c r="AQ157" s="409"/>
      <c r="AR157" s="406"/>
      <c r="AS157" s="407"/>
      <c r="AT157" s="408">
        <f t="shared" si="211"/>
        <v>0.5</v>
      </c>
      <c r="AU157" s="408">
        <f t="shared" si="58"/>
        <v>0.5</v>
      </c>
      <c r="AV157" s="406"/>
      <c r="AW157" s="407"/>
      <c r="AX157" s="409"/>
      <c r="AY157" s="409"/>
      <c r="AZ157" s="410">
        <f>AZ98/SUM(AZ98:BA98)</f>
        <v>0.8</v>
      </c>
      <c r="BA157" s="420">
        <f>BA98/SUM(AZ98:BA98)</f>
        <v>0.2</v>
      </c>
      <c r="BB157" s="406"/>
      <c r="BC157" s="202"/>
      <c r="BD157" s="197"/>
      <c r="BE157" s="198"/>
      <c r="BF157" s="406"/>
      <c r="BG157" s="202"/>
      <c r="BH157" s="202"/>
      <c r="BI157" s="202"/>
      <c r="BJ157" s="202"/>
      <c r="BK157" s="202"/>
      <c r="BL157" s="410">
        <f t="shared" ref="BL157:BQ157" si="214">BL98/SUM($BL98:$BQ98)</f>
        <v>0.5</v>
      </c>
      <c r="BM157" s="420">
        <f t="shared" si="214"/>
        <v>0</v>
      </c>
      <c r="BN157" s="420">
        <f t="shared" si="214"/>
        <v>0</v>
      </c>
      <c r="BO157" s="420">
        <f t="shared" si="214"/>
        <v>0.5</v>
      </c>
      <c r="BP157" s="420">
        <f t="shared" si="214"/>
        <v>0</v>
      </c>
      <c r="BQ157" s="411">
        <f t="shared" si="214"/>
        <v>0</v>
      </c>
      <c r="BR157" s="410">
        <f t="shared" ref="BR157:BW158" si="215">BR98/SUM($BR98:$BW98)</f>
        <v>0</v>
      </c>
      <c r="BS157" s="420">
        <f t="shared" si="215"/>
        <v>0</v>
      </c>
      <c r="BT157" s="420">
        <f t="shared" si="215"/>
        <v>0</v>
      </c>
      <c r="BU157" s="420">
        <f t="shared" si="215"/>
        <v>1</v>
      </c>
      <c r="BV157" s="420">
        <f t="shared" si="215"/>
        <v>0</v>
      </c>
      <c r="BW157" s="411">
        <f t="shared" si="215"/>
        <v>0</v>
      </c>
      <c r="BX157" s="410">
        <f t="shared" ref="BX157:CC157" si="216">BX98/SUM($BX98:$CC98)</f>
        <v>0.5</v>
      </c>
      <c r="BY157" s="420">
        <f t="shared" si="216"/>
        <v>0</v>
      </c>
      <c r="BZ157" s="420">
        <f t="shared" si="216"/>
        <v>0.5</v>
      </c>
      <c r="CA157" s="420">
        <f t="shared" si="216"/>
        <v>0</v>
      </c>
      <c r="CB157" s="420">
        <f t="shared" si="216"/>
        <v>0</v>
      </c>
      <c r="CC157" s="411">
        <f t="shared" si="216"/>
        <v>0</v>
      </c>
      <c r="CD157" s="406" t="str">
        <f t="shared" ref="CD157:CI157" si="217">IFERROR(CD98/SUM($CD98:$CI98),"")</f>
        <v/>
      </c>
      <c r="CE157" s="202" t="str">
        <f t="shared" si="217"/>
        <v/>
      </c>
      <c r="CF157" s="202" t="str">
        <f t="shared" si="217"/>
        <v/>
      </c>
      <c r="CG157" s="202" t="str">
        <f t="shared" si="217"/>
        <v/>
      </c>
      <c r="CH157" s="202" t="str">
        <f t="shared" si="217"/>
        <v/>
      </c>
      <c r="CI157" s="407" t="str">
        <f t="shared" si="217"/>
        <v/>
      </c>
      <c r="CJ157" s="406"/>
      <c r="CK157" s="202"/>
      <c r="CL157" s="202"/>
      <c r="CM157" s="202"/>
      <c r="CN157" s="202"/>
      <c r="CO157" s="407"/>
      <c r="CP157" s="406"/>
      <c r="CQ157" s="202"/>
      <c r="CR157" s="202"/>
      <c r="CS157" s="202"/>
      <c r="CT157" s="202"/>
      <c r="CU157" s="407"/>
      <c r="CV157" s="406"/>
      <c r="CW157" s="202"/>
      <c r="CX157" s="202"/>
      <c r="CY157" s="202"/>
      <c r="CZ157" s="202"/>
      <c r="DA157" s="407"/>
      <c r="DB157" s="406"/>
      <c r="DC157" s="202"/>
      <c r="DD157" s="202"/>
      <c r="DE157" s="202"/>
      <c r="DF157" s="202"/>
      <c r="DG157" s="407"/>
      <c r="DH157" s="406"/>
      <c r="DI157" s="202"/>
      <c r="DJ157" s="202"/>
      <c r="DK157" s="202"/>
      <c r="DL157" s="202"/>
      <c r="DM157" s="407"/>
      <c r="DN157" s="406"/>
      <c r="DO157" s="202"/>
      <c r="DP157" s="202"/>
      <c r="DQ157" s="202"/>
      <c r="DR157" s="202"/>
      <c r="DS157" s="407"/>
      <c r="DT157" s="406"/>
      <c r="DU157" s="202"/>
      <c r="DV157" s="202"/>
      <c r="DW157" s="202"/>
      <c r="DX157" s="202"/>
      <c r="DY157" s="407"/>
      <c r="DZ157" s="406"/>
      <c r="EA157" s="202"/>
      <c r="EB157" s="202"/>
      <c r="EC157" s="202"/>
      <c r="ED157" s="202"/>
      <c r="EE157" s="407"/>
      <c r="EF157" s="196">
        <f t="shared" si="197"/>
        <v>36</v>
      </c>
      <c r="EG157" s="202"/>
      <c r="EH157" s="579">
        <v>36</v>
      </c>
      <c r="EI157" s="603">
        <f t="shared" si="203"/>
        <v>0.65185185185185179</v>
      </c>
      <c r="EJ157" s="603">
        <f t="shared" si="204"/>
        <v>0.34814814814814815</v>
      </c>
      <c r="EK157" s="579">
        <v>36</v>
      </c>
      <c r="EL157" s="603">
        <f t="shared" si="205"/>
        <v>0.43333333333333335</v>
      </c>
      <c r="EM157" s="603">
        <f t="shared" si="206"/>
        <v>0.56666666666666665</v>
      </c>
      <c r="EN157" s="579">
        <v>36</v>
      </c>
      <c r="EO157" s="603">
        <f t="shared" si="207"/>
        <v>0.76111111111111107</v>
      </c>
      <c r="EP157" s="603">
        <f t="shared" si="208"/>
        <v>0.2388888888888889</v>
      </c>
      <c r="EQ157" s="580"/>
      <c r="ER157" s="580"/>
      <c r="ES157" s="519"/>
      <c r="ET157" s="519"/>
      <c r="EU157" s="580"/>
      <c r="EV157" s="580"/>
      <c r="EW157" s="580"/>
      <c r="EX157" s="580"/>
      <c r="EY157" s="580"/>
      <c r="EZ157" s="580"/>
      <c r="FA157" s="580"/>
      <c r="FB157" s="580"/>
      <c r="FC157" s="580"/>
      <c r="FD157" s="580"/>
      <c r="FE157" s="580"/>
      <c r="FF157" s="580"/>
      <c r="FG157" s="580"/>
      <c r="FH157" s="580"/>
    </row>
    <row r="158" spans="1:164" x14ac:dyDescent="0.2">
      <c r="A158" s="159">
        <v>37</v>
      </c>
      <c r="B158" s="406"/>
      <c r="C158" s="407"/>
      <c r="D158" s="406"/>
      <c r="E158" s="407"/>
      <c r="F158" s="409"/>
      <c r="G158" s="409"/>
      <c r="H158" s="406"/>
      <c r="I158" s="407"/>
      <c r="J158" s="408">
        <f t="shared" si="199"/>
        <v>1</v>
      </c>
      <c r="K158" s="408">
        <f t="shared" si="200"/>
        <v>0</v>
      </c>
      <c r="L158" s="406"/>
      <c r="M158" s="407"/>
      <c r="N158" s="409"/>
      <c r="O158" s="409"/>
      <c r="P158" s="406"/>
      <c r="Q158" s="407"/>
      <c r="R158" s="408">
        <f>R99/SUM(R99:S99)</f>
        <v>0.5</v>
      </c>
      <c r="S158" s="408">
        <f>S99/SUM(R99:S99)</f>
        <v>0.5</v>
      </c>
      <c r="T158" s="406"/>
      <c r="U158" s="407"/>
      <c r="V158" s="409"/>
      <c r="W158" s="409"/>
      <c r="X158" s="406"/>
      <c r="Y158" s="407"/>
      <c r="Z158" s="409"/>
      <c r="AA158" s="409"/>
      <c r="AB158" s="406"/>
      <c r="AC158" s="407"/>
      <c r="AD158" s="408">
        <f>AD99/SUM(AD99:AE99)</f>
        <v>0.5</v>
      </c>
      <c r="AE158" s="408">
        <f>AE99/SUM(AD99:AE99)</f>
        <v>0.5</v>
      </c>
      <c r="AF158" s="406"/>
      <c r="AG158" s="202"/>
      <c r="AH158" s="410">
        <f t="shared" si="209"/>
        <v>1</v>
      </c>
      <c r="AI158" s="425">
        <f t="shared" si="210"/>
        <v>0</v>
      </c>
      <c r="AJ158" s="202"/>
      <c r="AK158" s="407"/>
      <c r="AL158" s="408">
        <f>AL99/SUM(AL99:AM99)</f>
        <v>1</v>
      </c>
      <c r="AM158" s="408">
        <f>AM99/SUM(AL99:AM99)</f>
        <v>0</v>
      </c>
      <c r="AN158" s="406"/>
      <c r="AO158" s="407"/>
      <c r="AP158" s="409"/>
      <c r="AQ158" s="409"/>
      <c r="AR158" s="406"/>
      <c r="AS158" s="407"/>
      <c r="AT158" s="408">
        <f t="shared" si="211"/>
        <v>1</v>
      </c>
      <c r="AU158" s="408">
        <f t="shared" si="58"/>
        <v>0</v>
      </c>
      <c r="AV158" s="406"/>
      <c r="AW158" s="407"/>
      <c r="AX158" s="409"/>
      <c r="AY158" s="409"/>
      <c r="AZ158" s="410">
        <f>AZ99/SUM(AZ99:BA99)</f>
        <v>1</v>
      </c>
      <c r="BA158" s="411">
        <f>BA99/SUM(AZ99:BA99)</f>
        <v>0</v>
      </c>
      <c r="BB158" s="406"/>
      <c r="BC158" s="202"/>
      <c r="BD158" s="197"/>
      <c r="BE158" s="198"/>
      <c r="BF158" s="410">
        <f t="shared" ref="BF158:BK158" si="218">BF99/SUM($BF99:$BK99)</f>
        <v>0</v>
      </c>
      <c r="BG158" s="420">
        <f t="shared" si="218"/>
        <v>0</v>
      </c>
      <c r="BH158" s="420">
        <f t="shared" si="218"/>
        <v>0</v>
      </c>
      <c r="BI158" s="420">
        <f t="shared" si="218"/>
        <v>0</v>
      </c>
      <c r="BJ158" s="420">
        <f t="shared" si="218"/>
        <v>0</v>
      </c>
      <c r="BK158" s="420">
        <f t="shared" si="218"/>
        <v>1</v>
      </c>
      <c r="BL158" s="406"/>
      <c r="BM158" s="202"/>
      <c r="BN158" s="202"/>
      <c r="BO158" s="202"/>
      <c r="BP158" s="202"/>
      <c r="BQ158" s="407"/>
      <c r="BR158" s="410">
        <f t="shared" si="215"/>
        <v>1</v>
      </c>
      <c r="BS158" s="420">
        <f t="shared" si="215"/>
        <v>0</v>
      </c>
      <c r="BT158" s="420">
        <f t="shared" si="215"/>
        <v>0</v>
      </c>
      <c r="BU158" s="420">
        <f t="shared" si="215"/>
        <v>0</v>
      </c>
      <c r="BV158" s="420">
        <f t="shared" si="215"/>
        <v>0</v>
      </c>
      <c r="BW158" s="411">
        <f t="shared" si="215"/>
        <v>0</v>
      </c>
      <c r="BX158" s="406"/>
      <c r="BY158" s="202"/>
      <c r="BZ158" s="202"/>
      <c r="CA158" s="202"/>
      <c r="CB158" s="202"/>
      <c r="CC158" s="407"/>
      <c r="CD158" s="406" t="str">
        <f t="shared" ref="CD158:CI158" si="219">IFERROR(CD99/SUM($CD99:$CI99),"")</f>
        <v/>
      </c>
      <c r="CE158" s="202" t="str">
        <f t="shared" si="219"/>
        <v/>
      </c>
      <c r="CF158" s="202" t="str">
        <f t="shared" si="219"/>
        <v/>
      </c>
      <c r="CG158" s="202" t="str">
        <f t="shared" si="219"/>
        <v/>
      </c>
      <c r="CH158" s="202" t="str">
        <f t="shared" si="219"/>
        <v/>
      </c>
      <c r="CI158" s="407" t="str">
        <f t="shared" si="219"/>
        <v/>
      </c>
      <c r="CJ158" s="406"/>
      <c r="CK158" s="202"/>
      <c r="CL158" s="202"/>
      <c r="CM158" s="202"/>
      <c r="CN158" s="202"/>
      <c r="CO158" s="407"/>
      <c r="CP158" s="406"/>
      <c r="CQ158" s="202"/>
      <c r="CR158" s="202"/>
      <c r="CS158" s="202"/>
      <c r="CT158" s="202"/>
      <c r="CU158" s="407"/>
      <c r="CV158" s="406"/>
      <c r="CW158" s="202"/>
      <c r="CX158" s="202"/>
      <c r="CY158" s="202"/>
      <c r="CZ158" s="202"/>
      <c r="DA158" s="407"/>
      <c r="DB158" s="406"/>
      <c r="DC158" s="202"/>
      <c r="DD158" s="202"/>
      <c r="DE158" s="202"/>
      <c r="DF158" s="202"/>
      <c r="DG158" s="407"/>
      <c r="DH158" s="406"/>
      <c r="DI158" s="202"/>
      <c r="DJ158" s="202"/>
      <c r="DK158" s="202"/>
      <c r="DL158" s="202"/>
      <c r="DM158" s="407"/>
      <c r="DN158" s="406"/>
      <c r="DO158" s="202"/>
      <c r="DP158" s="202"/>
      <c r="DQ158" s="202"/>
      <c r="DR158" s="202"/>
      <c r="DS158" s="407"/>
      <c r="DT158" s="406"/>
      <c r="DU158" s="202"/>
      <c r="DV158" s="202"/>
      <c r="DW158" s="202"/>
      <c r="DX158" s="202"/>
      <c r="DY158" s="407"/>
      <c r="DZ158" s="406"/>
      <c r="EA158" s="202"/>
      <c r="EB158" s="202"/>
      <c r="EC158" s="202"/>
      <c r="ED158" s="202"/>
      <c r="EE158" s="407"/>
      <c r="EF158" s="196">
        <f t="shared" si="197"/>
        <v>37</v>
      </c>
      <c r="EG158" s="202"/>
      <c r="EH158" s="579">
        <v>37</v>
      </c>
      <c r="EI158" s="603">
        <f t="shared" si="203"/>
        <v>0.8571428571428571</v>
      </c>
      <c r="EJ158" s="603">
        <f t="shared" si="204"/>
        <v>0.14285714285714285</v>
      </c>
      <c r="EK158" s="579">
        <v>37</v>
      </c>
      <c r="EL158" s="603">
        <f t="shared" si="205"/>
        <v>1</v>
      </c>
      <c r="EM158" s="603">
        <f t="shared" si="206"/>
        <v>0</v>
      </c>
      <c r="EN158" s="579">
        <v>37</v>
      </c>
      <c r="EO158" s="603">
        <f t="shared" si="207"/>
        <v>0.75</v>
      </c>
      <c r="EP158" s="603">
        <f t="shared" si="208"/>
        <v>0.25</v>
      </c>
      <c r="EQ158" s="580"/>
      <c r="ER158" s="580"/>
      <c r="ES158" s="519"/>
      <c r="ET158" s="519"/>
      <c r="EU158" s="580"/>
      <c r="EV158" s="580"/>
      <c r="EW158" s="580"/>
      <c r="EX158" s="580"/>
      <c r="EY158" s="580"/>
      <c r="EZ158" s="580"/>
      <c r="FA158" s="580"/>
      <c r="FB158" s="580"/>
      <c r="FC158" s="580"/>
      <c r="FD158" s="580"/>
      <c r="FE158" s="580"/>
      <c r="FF158" s="580"/>
      <c r="FG158" s="580"/>
      <c r="FH158" s="580"/>
    </row>
    <row r="159" spans="1:164" x14ac:dyDescent="0.2">
      <c r="A159" s="159">
        <v>38</v>
      </c>
      <c r="B159" s="406"/>
      <c r="C159" s="407"/>
      <c r="D159" s="406"/>
      <c r="E159" s="407"/>
      <c r="F159" s="408">
        <f>F100/SUM(F100:G100)</f>
        <v>1</v>
      </c>
      <c r="G159" s="408">
        <f>G100/SUM(F100:G100)</f>
        <v>0</v>
      </c>
      <c r="H159" s="406"/>
      <c r="I159" s="407"/>
      <c r="J159" s="408">
        <f t="shared" si="199"/>
        <v>1</v>
      </c>
      <c r="K159" s="408">
        <f t="shared" si="200"/>
        <v>0</v>
      </c>
      <c r="L159" s="406"/>
      <c r="M159" s="407"/>
      <c r="N159" s="408">
        <f>N100/SUM(N100:O100)</f>
        <v>1</v>
      </c>
      <c r="O159" s="408">
        <f>O100/SUM(N100:O100)</f>
        <v>0</v>
      </c>
      <c r="P159" s="406"/>
      <c r="Q159" s="407"/>
      <c r="R159" s="409"/>
      <c r="S159" s="409"/>
      <c r="T159" s="406"/>
      <c r="U159" s="407"/>
      <c r="V159" s="408">
        <f>V100/SUM(V100:W100)</f>
        <v>1</v>
      </c>
      <c r="W159" s="408">
        <f>W100/SUM(V100:W100)</f>
        <v>0</v>
      </c>
      <c r="X159" s="406"/>
      <c r="Y159" s="407"/>
      <c r="Z159" s="408">
        <f>Z100/SUM(Z100:AA100)</f>
        <v>1</v>
      </c>
      <c r="AA159" s="408">
        <f>AA100/SUM(Z100:AA100)</f>
        <v>0</v>
      </c>
      <c r="AB159" s="406"/>
      <c r="AC159" s="407"/>
      <c r="AD159" s="409"/>
      <c r="AE159" s="409"/>
      <c r="AF159" s="406"/>
      <c r="AG159" s="202"/>
      <c r="AH159" s="410">
        <f t="shared" si="209"/>
        <v>0</v>
      </c>
      <c r="AI159" s="425">
        <f t="shared" si="210"/>
        <v>1</v>
      </c>
      <c r="AJ159" s="202"/>
      <c r="AK159" s="407"/>
      <c r="AL159" s="409"/>
      <c r="AM159" s="409"/>
      <c r="AN159" s="410">
        <f>AN100/SUM(AN100:AO100)</f>
        <v>0</v>
      </c>
      <c r="AO159" s="411">
        <f>AO100/SUM(AN100:AO100)</f>
        <v>1</v>
      </c>
      <c r="AP159" s="408">
        <f>AP100/SUM(AP100:AQ100)</f>
        <v>0</v>
      </c>
      <c r="AQ159" s="408">
        <f>AQ100/SUM(AP100:AQ100)</f>
        <v>1</v>
      </c>
      <c r="AR159" s="406"/>
      <c r="AS159" s="407"/>
      <c r="AT159" s="408">
        <f t="shared" si="211"/>
        <v>0.63636363636363635</v>
      </c>
      <c r="AU159" s="408">
        <f t="shared" si="58"/>
        <v>0.36363636363636365</v>
      </c>
      <c r="AV159" s="406"/>
      <c r="AW159" s="407"/>
      <c r="AX159" s="409"/>
      <c r="AY159" s="409"/>
      <c r="AZ159" s="410">
        <f>AZ100/SUM(AZ100:BA100)</f>
        <v>1</v>
      </c>
      <c r="BA159" s="411">
        <f>BA100/SUM(AZ100:BA100)</f>
        <v>0</v>
      </c>
      <c r="BB159" s="410">
        <f t="shared" si="169"/>
        <v>1</v>
      </c>
      <c r="BC159" s="420">
        <f>BC100/SUM(BB100:BC100)</f>
        <v>0</v>
      </c>
      <c r="BD159" s="197"/>
      <c r="BE159" s="198"/>
      <c r="BF159" s="406"/>
      <c r="BG159" s="202"/>
      <c r="BH159" s="202"/>
      <c r="BI159" s="202"/>
      <c r="BJ159" s="202"/>
      <c r="BK159" s="202"/>
      <c r="BL159" s="410">
        <f t="shared" ref="BL159:BQ159" si="220">BL100/SUM($BL100:$BQ100)</f>
        <v>0</v>
      </c>
      <c r="BM159" s="420">
        <f t="shared" si="220"/>
        <v>0</v>
      </c>
      <c r="BN159" s="420">
        <f t="shared" si="220"/>
        <v>0</v>
      </c>
      <c r="BO159" s="420">
        <f t="shared" si="220"/>
        <v>1</v>
      </c>
      <c r="BP159" s="420">
        <f t="shared" si="220"/>
        <v>0</v>
      </c>
      <c r="BQ159" s="411">
        <f t="shared" si="220"/>
        <v>0</v>
      </c>
      <c r="BR159" s="406"/>
      <c r="BS159" s="202"/>
      <c r="BT159" s="202"/>
      <c r="BU159" s="202"/>
      <c r="BV159" s="202"/>
      <c r="BW159" s="407"/>
      <c r="BX159" s="406"/>
      <c r="BY159" s="202"/>
      <c r="BZ159" s="202"/>
      <c r="CA159" s="202"/>
      <c r="CB159" s="202"/>
      <c r="CC159" s="407"/>
      <c r="CD159" s="406" t="str">
        <f t="shared" ref="CD159:CI159" si="221">IFERROR(CD100/SUM($CD100:$CI100),"")</f>
        <v/>
      </c>
      <c r="CE159" s="202" t="str">
        <f t="shared" si="221"/>
        <v/>
      </c>
      <c r="CF159" s="202" t="str">
        <f t="shared" si="221"/>
        <v/>
      </c>
      <c r="CG159" s="202" t="str">
        <f t="shared" si="221"/>
        <v/>
      </c>
      <c r="CH159" s="202" t="str">
        <f t="shared" si="221"/>
        <v/>
      </c>
      <c r="CI159" s="407" t="str">
        <f t="shared" si="221"/>
        <v/>
      </c>
      <c r="CJ159" s="406"/>
      <c r="CK159" s="202"/>
      <c r="CL159" s="202"/>
      <c r="CM159" s="202"/>
      <c r="CN159" s="202"/>
      <c r="CO159" s="407"/>
      <c r="CP159" s="406"/>
      <c r="CQ159" s="202"/>
      <c r="CR159" s="202"/>
      <c r="CS159" s="202"/>
      <c r="CT159" s="202"/>
      <c r="CU159" s="407"/>
      <c r="CV159" s="406"/>
      <c r="CW159" s="202"/>
      <c r="CX159" s="202"/>
      <c r="CY159" s="202"/>
      <c r="CZ159" s="202"/>
      <c r="DA159" s="407"/>
      <c r="DB159" s="406"/>
      <c r="DC159" s="202"/>
      <c r="DD159" s="202"/>
      <c r="DE159" s="202"/>
      <c r="DF159" s="202"/>
      <c r="DG159" s="407"/>
      <c r="DH159" s="406"/>
      <c r="DI159" s="202"/>
      <c r="DJ159" s="202"/>
      <c r="DK159" s="202"/>
      <c r="DL159" s="202"/>
      <c r="DM159" s="407"/>
      <c r="DN159" s="406"/>
      <c r="DO159" s="202"/>
      <c r="DP159" s="202"/>
      <c r="DQ159" s="202"/>
      <c r="DR159" s="202"/>
      <c r="DS159" s="407"/>
      <c r="DT159" s="406"/>
      <c r="DU159" s="202"/>
      <c r="DV159" s="202"/>
      <c r="DW159" s="202"/>
      <c r="DX159" s="202"/>
      <c r="DY159" s="407"/>
      <c r="DZ159" s="406"/>
      <c r="EA159" s="202"/>
      <c r="EB159" s="202"/>
      <c r="EC159" s="202"/>
      <c r="ED159" s="202"/>
      <c r="EE159" s="407"/>
      <c r="EF159" s="196">
        <f t="shared" si="197"/>
        <v>38</v>
      </c>
      <c r="EG159" s="202"/>
      <c r="EH159" s="579">
        <v>38</v>
      </c>
      <c r="EI159" s="603">
        <f t="shared" si="203"/>
        <v>0.69421487603305787</v>
      </c>
      <c r="EJ159" s="603">
        <f t="shared" si="204"/>
        <v>0.30578512396694219</v>
      </c>
      <c r="EK159" s="579">
        <v>38</v>
      </c>
      <c r="EL159" s="603">
        <f t="shared" si="205"/>
        <v>0.52727272727272723</v>
      </c>
      <c r="EM159" s="603">
        <f t="shared" si="206"/>
        <v>0.47272727272727277</v>
      </c>
      <c r="EN159" s="579">
        <v>38</v>
      </c>
      <c r="EO159" s="603">
        <f t="shared" si="207"/>
        <v>0.83333333333333337</v>
      </c>
      <c r="EP159" s="603">
        <f t="shared" si="208"/>
        <v>0.16666666666666666</v>
      </c>
      <c r="EQ159" s="580"/>
      <c r="ER159" s="580"/>
      <c r="ES159" s="519"/>
      <c r="ET159" s="519"/>
      <c r="EU159" s="580"/>
      <c r="EV159" s="580"/>
      <c r="EW159" s="580"/>
      <c r="EX159" s="580"/>
      <c r="EY159" s="580"/>
      <c r="EZ159" s="580"/>
      <c r="FA159" s="580"/>
      <c r="FB159" s="580"/>
      <c r="FC159" s="580"/>
      <c r="FD159" s="580"/>
      <c r="FE159" s="580"/>
      <c r="FF159" s="580"/>
      <c r="FG159" s="580"/>
      <c r="FH159" s="580"/>
    </row>
    <row r="160" spans="1:164" x14ac:dyDescent="0.2">
      <c r="A160" s="159">
        <v>39</v>
      </c>
      <c r="B160" s="406"/>
      <c r="C160" s="407"/>
      <c r="D160" s="410">
        <f t="shared" ref="D160:D166" si="222">D101/SUM(D101:E101)</f>
        <v>0.66666666666666663</v>
      </c>
      <c r="E160" s="411">
        <f t="shared" ref="E160:E166" si="223">E101/SUM(D101:E101)</f>
        <v>0.33333333333333331</v>
      </c>
      <c r="F160" s="408">
        <f>F101/SUM(F101:G101)</f>
        <v>1</v>
      </c>
      <c r="G160" s="408">
        <f>G101/SUM(F101:G101)</f>
        <v>0</v>
      </c>
      <c r="H160" s="406"/>
      <c r="I160" s="407"/>
      <c r="J160" s="408">
        <f t="shared" si="199"/>
        <v>1</v>
      </c>
      <c r="K160" s="408">
        <f t="shared" si="200"/>
        <v>0</v>
      </c>
      <c r="L160" s="406"/>
      <c r="M160" s="407"/>
      <c r="N160" s="408">
        <f>N101/SUM(N101:O101)</f>
        <v>1</v>
      </c>
      <c r="O160" s="408">
        <f>O101/SUM(N101:O101)</f>
        <v>0</v>
      </c>
      <c r="P160" s="406"/>
      <c r="Q160" s="407"/>
      <c r="R160" s="408">
        <f>R101/SUM(R101:S101)</f>
        <v>0</v>
      </c>
      <c r="S160" s="408">
        <f>S101/SUM(R101:S101)</f>
        <v>1</v>
      </c>
      <c r="T160" s="406"/>
      <c r="U160" s="407"/>
      <c r="V160" s="408">
        <f>V101/SUM(V101:W101)</f>
        <v>0.75</v>
      </c>
      <c r="W160" s="408">
        <f>W101/SUM(V101:W101)</f>
        <v>0.25</v>
      </c>
      <c r="X160" s="406"/>
      <c r="Y160" s="407"/>
      <c r="Z160" s="408">
        <f>Z101/SUM(Z101:AA101)</f>
        <v>1</v>
      </c>
      <c r="AA160" s="408">
        <f>AA101/SUM(Z101:AA101)</f>
        <v>0</v>
      </c>
      <c r="AB160" s="406"/>
      <c r="AC160" s="407"/>
      <c r="AD160" s="408">
        <f>AD101/SUM(AD101:AE101)</f>
        <v>1</v>
      </c>
      <c r="AE160" s="408">
        <f>AE101/SUM(AD101:AE101)</f>
        <v>0</v>
      </c>
      <c r="AF160" s="406"/>
      <c r="AG160" s="202"/>
      <c r="AH160" s="410">
        <f t="shared" si="209"/>
        <v>1</v>
      </c>
      <c r="AI160" s="425">
        <f t="shared" si="210"/>
        <v>0</v>
      </c>
      <c r="AJ160" s="202"/>
      <c r="AK160" s="407"/>
      <c r="AL160" s="408">
        <f>AL101/SUM(AL101:AM101)</f>
        <v>1</v>
      </c>
      <c r="AM160" s="408">
        <f>AM101/SUM(AL101:AM101)</f>
        <v>0</v>
      </c>
      <c r="AN160" s="406"/>
      <c r="AO160" s="407"/>
      <c r="AP160" s="409"/>
      <c r="AQ160" s="409"/>
      <c r="AR160" s="410">
        <f>AR101/SUM(AR101:AS101)</f>
        <v>1</v>
      </c>
      <c r="AS160" s="411">
        <f>AS101/SUM(AR101:AS101)</f>
        <v>0</v>
      </c>
      <c r="AT160" s="408">
        <f t="shared" si="211"/>
        <v>1</v>
      </c>
      <c r="AU160" s="408">
        <f t="shared" si="58"/>
        <v>0</v>
      </c>
      <c r="AV160" s="406"/>
      <c r="AW160" s="407"/>
      <c r="AX160" s="409"/>
      <c r="AY160" s="409"/>
      <c r="AZ160" s="406"/>
      <c r="BA160" s="407"/>
      <c r="BB160" s="410">
        <f t="shared" si="169"/>
        <v>1</v>
      </c>
      <c r="BC160" s="420">
        <f>BC101/SUM(BB101:BC101)</f>
        <v>0</v>
      </c>
      <c r="BD160" s="197"/>
      <c r="BE160" s="198"/>
      <c r="BF160" s="406"/>
      <c r="BG160" s="202"/>
      <c r="BH160" s="202"/>
      <c r="BI160" s="202"/>
      <c r="BJ160" s="202"/>
      <c r="BK160" s="202"/>
      <c r="BL160" s="406"/>
      <c r="BM160" s="202"/>
      <c r="BN160" s="202"/>
      <c r="BO160" s="202"/>
      <c r="BP160" s="202"/>
      <c r="BQ160" s="407"/>
      <c r="BR160" s="410">
        <f t="shared" ref="BR160:BW160" si="224">BR101/SUM($BR101:$BW101)</f>
        <v>1</v>
      </c>
      <c r="BS160" s="420">
        <f t="shared" si="224"/>
        <v>0</v>
      </c>
      <c r="BT160" s="420">
        <f t="shared" si="224"/>
        <v>0</v>
      </c>
      <c r="BU160" s="420">
        <f t="shared" si="224"/>
        <v>0</v>
      </c>
      <c r="BV160" s="420">
        <f t="shared" si="224"/>
        <v>0</v>
      </c>
      <c r="BW160" s="411">
        <f t="shared" si="224"/>
        <v>0</v>
      </c>
      <c r="BX160" s="406"/>
      <c r="BY160" s="202"/>
      <c r="BZ160" s="202"/>
      <c r="CA160" s="202"/>
      <c r="CB160" s="202"/>
      <c r="CC160" s="407"/>
      <c r="CD160" s="406" t="str">
        <f t="shared" ref="CD160:CI160" si="225">IFERROR(CD101/SUM($CD101:$CI101),"")</f>
        <v/>
      </c>
      <c r="CE160" s="202" t="str">
        <f t="shared" si="225"/>
        <v/>
      </c>
      <c r="CF160" s="202" t="str">
        <f t="shared" si="225"/>
        <v/>
      </c>
      <c r="CG160" s="202" t="str">
        <f t="shared" si="225"/>
        <v/>
      </c>
      <c r="CH160" s="202" t="str">
        <f t="shared" si="225"/>
        <v/>
      </c>
      <c r="CI160" s="407" t="str">
        <f t="shared" si="225"/>
        <v/>
      </c>
      <c r="CJ160" s="406"/>
      <c r="CK160" s="202"/>
      <c r="CL160" s="202"/>
      <c r="CM160" s="202"/>
      <c r="CN160" s="202"/>
      <c r="CO160" s="407"/>
      <c r="CP160" s="406"/>
      <c r="CQ160" s="202"/>
      <c r="CR160" s="202"/>
      <c r="CS160" s="202"/>
      <c r="CT160" s="202"/>
      <c r="CU160" s="407"/>
      <c r="CV160" s="406"/>
      <c r="CW160" s="202"/>
      <c r="CX160" s="202"/>
      <c r="CY160" s="202"/>
      <c r="CZ160" s="202"/>
      <c r="DA160" s="407"/>
      <c r="DB160" s="406"/>
      <c r="DC160" s="202"/>
      <c r="DD160" s="202"/>
      <c r="DE160" s="202"/>
      <c r="DF160" s="202"/>
      <c r="DG160" s="407"/>
      <c r="DH160" s="406"/>
      <c r="DI160" s="202"/>
      <c r="DJ160" s="202"/>
      <c r="DK160" s="202"/>
      <c r="DL160" s="202"/>
      <c r="DM160" s="407"/>
      <c r="DN160" s="406"/>
      <c r="DO160" s="202"/>
      <c r="DP160" s="202"/>
      <c r="DQ160" s="202"/>
      <c r="DR160" s="202"/>
      <c r="DS160" s="407"/>
      <c r="DT160" s="406"/>
      <c r="DU160" s="202"/>
      <c r="DV160" s="202"/>
      <c r="DW160" s="202"/>
      <c r="DX160" s="202"/>
      <c r="DY160" s="407"/>
      <c r="DZ160" s="406"/>
      <c r="EA160" s="202"/>
      <c r="EB160" s="202"/>
      <c r="EC160" s="202"/>
      <c r="ED160" s="202"/>
      <c r="EE160" s="407"/>
      <c r="EF160" s="196">
        <f t="shared" si="197"/>
        <v>39</v>
      </c>
      <c r="EG160" s="202"/>
      <c r="EH160" s="579">
        <v>39</v>
      </c>
      <c r="EI160" s="603">
        <f t="shared" si="203"/>
        <v>0.87820512820512819</v>
      </c>
      <c r="EJ160" s="603">
        <f t="shared" si="204"/>
        <v>0.12179487179487179</v>
      </c>
      <c r="EK160" s="579">
        <v>39</v>
      </c>
      <c r="EL160" s="603">
        <f t="shared" si="205"/>
        <v>1</v>
      </c>
      <c r="EM160" s="603">
        <f t="shared" si="206"/>
        <v>0</v>
      </c>
      <c r="EN160" s="579">
        <v>39</v>
      </c>
      <c r="EO160" s="603">
        <f t="shared" si="207"/>
        <v>0.82407407407407396</v>
      </c>
      <c r="EP160" s="603">
        <f t="shared" si="208"/>
        <v>0.17592592592592593</v>
      </c>
      <c r="EQ160" s="580"/>
      <c r="ER160" s="580"/>
      <c r="ES160" s="519"/>
      <c r="ET160" s="519"/>
      <c r="EU160" s="580"/>
      <c r="EV160" s="580"/>
      <c r="EW160" s="580"/>
      <c r="EX160" s="580"/>
      <c r="EY160" s="580"/>
      <c r="EZ160" s="580"/>
      <c r="FA160" s="580"/>
      <c r="FB160" s="580"/>
      <c r="FC160" s="580"/>
      <c r="FD160" s="580"/>
      <c r="FE160" s="580"/>
      <c r="FF160" s="580"/>
      <c r="FG160" s="580"/>
      <c r="FH160" s="580"/>
    </row>
    <row r="161" spans="1:164" x14ac:dyDescent="0.2">
      <c r="A161" s="159">
        <v>40</v>
      </c>
      <c r="B161" s="406"/>
      <c r="C161" s="407"/>
      <c r="D161" s="410">
        <f t="shared" si="222"/>
        <v>0.33333333333333331</v>
      </c>
      <c r="E161" s="411">
        <f t="shared" si="223"/>
        <v>0.66666666666666663</v>
      </c>
      <c r="F161" s="408">
        <f>F102/SUM(F102:G102)</f>
        <v>1</v>
      </c>
      <c r="G161" s="408">
        <f>G102/SUM(F102:G102)</f>
        <v>0</v>
      </c>
      <c r="H161" s="406"/>
      <c r="I161" s="407"/>
      <c r="J161" s="409"/>
      <c r="K161" s="409"/>
      <c r="L161" s="406"/>
      <c r="M161" s="407"/>
      <c r="N161" s="409"/>
      <c r="O161" s="409"/>
      <c r="P161" s="406"/>
      <c r="Q161" s="407"/>
      <c r="R161" s="408">
        <f>R102/SUM(R102:S102)</f>
        <v>1</v>
      </c>
      <c r="S161" s="408">
        <f>S102/SUM(R102:S102)</f>
        <v>0</v>
      </c>
      <c r="T161" s="410">
        <f>T102/SUM(T102:U102)</f>
        <v>0</v>
      </c>
      <c r="U161" s="411">
        <f>U102/SUM(T102:U102)</f>
        <v>1</v>
      </c>
      <c r="V161" s="408">
        <f>V102/SUM(V102:W102)</f>
        <v>1</v>
      </c>
      <c r="W161" s="408">
        <f>W102/SUM(V102:W102)</f>
        <v>0</v>
      </c>
      <c r="X161" s="410">
        <f>X102/SUM(X102:Y102)</f>
        <v>1</v>
      </c>
      <c r="Y161" s="411">
        <f>Y102/SUM(X102:Y102)</f>
        <v>0</v>
      </c>
      <c r="Z161" s="408">
        <f>Z102/SUM(Z102:AA102)</f>
        <v>1</v>
      </c>
      <c r="AA161" s="408">
        <f>AA102/SUM(Z102:AA102)</f>
        <v>0</v>
      </c>
      <c r="AB161" s="406"/>
      <c r="AC161" s="407"/>
      <c r="AD161" s="408">
        <f>AD102/SUM(AD102:AE102)</f>
        <v>1</v>
      </c>
      <c r="AE161" s="408">
        <f>AE102/SUM(AD102:AE102)</f>
        <v>0</v>
      </c>
      <c r="AF161" s="406"/>
      <c r="AG161" s="202"/>
      <c r="AH161" s="410">
        <f t="shared" si="209"/>
        <v>1</v>
      </c>
      <c r="AI161" s="425">
        <f t="shared" si="210"/>
        <v>0</v>
      </c>
      <c r="AJ161" s="202"/>
      <c r="AK161" s="407"/>
      <c r="AL161" s="408">
        <f>AL102/SUM(AL102:AM102)</f>
        <v>1</v>
      </c>
      <c r="AM161" s="408">
        <f>AM102/SUM(AL102:AM102)</f>
        <v>0</v>
      </c>
      <c r="AN161" s="410">
        <f>AN102/SUM(AN102:AO102)</f>
        <v>0</v>
      </c>
      <c r="AO161" s="411">
        <f>AO102/SUM(AN102:AO102)</f>
        <v>1</v>
      </c>
      <c r="AP161" s="409"/>
      <c r="AQ161" s="409"/>
      <c r="AR161" s="406"/>
      <c r="AS161" s="407"/>
      <c r="AT161" s="408">
        <f t="shared" si="211"/>
        <v>1</v>
      </c>
      <c r="AU161" s="408">
        <f t="shared" si="58"/>
        <v>0</v>
      </c>
      <c r="AV161" s="406"/>
      <c r="AW161" s="407"/>
      <c r="AX161" s="409"/>
      <c r="AY161" s="409"/>
      <c r="AZ161" s="406"/>
      <c r="BA161" s="407"/>
      <c r="BB161" s="406"/>
      <c r="BC161" s="202"/>
      <c r="BD161" s="197"/>
      <c r="BE161" s="198"/>
      <c r="BF161" s="406"/>
      <c r="BG161" s="202"/>
      <c r="BH161" s="202"/>
      <c r="BI161" s="202"/>
      <c r="BJ161" s="202"/>
      <c r="BK161" s="202"/>
      <c r="BL161" s="406"/>
      <c r="BM161" s="202"/>
      <c r="BN161" s="202"/>
      <c r="BO161" s="202"/>
      <c r="BP161" s="202"/>
      <c r="BQ161" s="407"/>
      <c r="BR161" s="406"/>
      <c r="BS161" s="202"/>
      <c r="BT161" s="202"/>
      <c r="BU161" s="202"/>
      <c r="BV161" s="202"/>
      <c r="BW161" s="407"/>
      <c r="BX161" s="406"/>
      <c r="BY161" s="202"/>
      <c r="BZ161" s="202"/>
      <c r="CA161" s="202"/>
      <c r="CB161" s="202"/>
      <c r="CC161" s="407"/>
      <c r="CD161" s="406" t="str">
        <f t="shared" ref="CD161:CI161" si="226">IFERROR(CD102/SUM($CD102:$CI102),"")</f>
        <v/>
      </c>
      <c r="CE161" s="202" t="str">
        <f t="shared" si="226"/>
        <v/>
      </c>
      <c r="CF161" s="202" t="str">
        <f t="shared" si="226"/>
        <v/>
      </c>
      <c r="CG161" s="202" t="str">
        <f t="shared" si="226"/>
        <v/>
      </c>
      <c r="CH161" s="202" t="str">
        <f t="shared" si="226"/>
        <v/>
      </c>
      <c r="CI161" s="407" t="str">
        <f t="shared" si="226"/>
        <v/>
      </c>
      <c r="CJ161" s="406"/>
      <c r="CK161" s="202"/>
      <c r="CL161" s="202"/>
      <c r="CM161" s="202"/>
      <c r="CN161" s="202"/>
      <c r="CO161" s="407"/>
      <c r="CP161" s="406"/>
      <c r="CQ161" s="202"/>
      <c r="CR161" s="202"/>
      <c r="CS161" s="202"/>
      <c r="CT161" s="202"/>
      <c r="CU161" s="407"/>
      <c r="CV161" s="406"/>
      <c r="CW161" s="202"/>
      <c r="CX161" s="202"/>
      <c r="CY161" s="202"/>
      <c r="CZ161" s="202"/>
      <c r="DA161" s="407"/>
      <c r="DB161" s="406"/>
      <c r="DC161" s="202"/>
      <c r="DD161" s="202"/>
      <c r="DE161" s="202"/>
      <c r="DF161" s="202"/>
      <c r="DG161" s="407"/>
      <c r="DH161" s="406"/>
      <c r="DI161" s="202"/>
      <c r="DJ161" s="202"/>
      <c r="DK161" s="202"/>
      <c r="DL161" s="202"/>
      <c r="DM161" s="407"/>
      <c r="DN161" s="406"/>
      <c r="DO161" s="202"/>
      <c r="DP161" s="202"/>
      <c r="DQ161" s="202"/>
      <c r="DR161" s="202"/>
      <c r="DS161" s="407"/>
      <c r="DT161" s="406"/>
      <c r="DU161" s="202"/>
      <c r="DV161" s="202"/>
      <c r="DW161" s="202"/>
      <c r="DX161" s="202"/>
      <c r="DY161" s="407"/>
      <c r="DZ161" s="406"/>
      <c r="EA161" s="202"/>
      <c r="EB161" s="202"/>
      <c r="EC161" s="202"/>
      <c r="ED161" s="202"/>
      <c r="EE161" s="407"/>
      <c r="EF161" s="196">
        <f t="shared" si="197"/>
        <v>40</v>
      </c>
      <c r="EG161" s="202"/>
      <c r="EH161" s="579">
        <v>40</v>
      </c>
      <c r="EI161" s="603">
        <f t="shared" si="203"/>
        <v>0.77777777777777768</v>
      </c>
      <c r="EJ161" s="603">
        <f t="shared" si="204"/>
        <v>0.22222222222222221</v>
      </c>
      <c r="EK161" s="579">
        <v>40</v>
      </c>
      <c r="EL161" s="603">
        <f t="shared" si="205"/>
        <v>0.66666666666666663</v>
      </c>
      <c r="EM161" s="603">
        <f t="shared" si="206"/>
        <v>0.33333333333333331</v>
      </c>
      <c r="EN161" s="579">
        <v>40</v>
      </c>
      <c r="EO161" s="603">
        <f t="shared" si="207"/>
        <v>0.81481481481481477</v>
      </c>
      <c r="EP161" s="603">
        <f t="shared" si="208"/>
        <v>0.18518518518518517</v>
      </c>
      <c r="EQ161" s="580"/>
      <c r="ER161" s="580"/>
      <c r="ES161" s="519"/>
      <c r="ET161" s="519"/>
      <c r="EU161" s="580"/>
      <c r="EV161" s="580"/>
      <c r="EW161" s="580"/>
      <c r="EX161" s="580"/>
      <c r="EY161" s="580"/>
      <c r="EZ161" s="580"/>
      <c r="FA161" s="580"/>
      <c r="FB161" s="580"/>
      <c r="FC161" s="580"/>
      <c r="FD161" s="580"/>
      <c r="FE161" s="580"/>
      <c r="FF161" s="580"/>
      <c r="FG161" s="580"/>
      <c r="FH161" s="580"/>
    </row>
    <row r="162" spans="1:164" x14ac:dyDescent="0.2">
      <c r="A162" s="159">
        <v>41</v>
      </c>
      <c r="B162" s="406"/>
      <c r="C162" s="407"/>
      <c r="D162" s="410">
        <f t="shared" si="222"/>
        <v>0.66666666666666663</v>
      </c>
      <c r="E162" s="411">
        <f t="shared" si="223"/>
        <v>0.33333333333333331</v>
      </c>
      <c r="F162" s="409"/>
      <c r="G162" s="409"/>
      <c r="H162" s="406"/>
      <c r="I162" s="407"/>
      <c r="J162" s="408">
        <f>J103/SUM(J103:K103)</f>
        <v>0.5</v>
      </c>
      <c r="K162" s="408">
        <f>K103/SUM(J103:K103)</f>
        <v>0.5</v>
      </c>
      <c r="L162" s="406"/>
      <c r="M162" s="407"/>
      <c r="N162" s="409"/>
      <c r="O162" s="409"/>
      <c r="P162" s="406"/>
      <c r="Q162" s="407"/>
      <c r="R162" s="408">
        <f>R103/SUM(R103:S103)</f>
        <v>0.5</v>
      </c>
      <c r="S162" s="408">
        <f>S103/SUM(R103:S103)</f>
        <v>0.5</v>
      </c>
      <c r="T162" s="406"/>
      <c r="U162" s="407"/>
      <c r="V162" s="409"/>
      <c r="W162" s="409"/>
      <c r="X162" s="406"/>
      <c r="Y162" s="407"/>
      <c r="Z162" s="409"/>
      <c r="AA162" s="409"/>
      <c r="AB162" s="406"/>
      <c r="AC162" s="407"/>
      <c r="AD162" s="408">
        <f>AD103/SUM(AD103:AE103)</f>
        <v>0</v>
      </c>
      <c r="AE162" s="408">
        <f>AE103/SUM(AD103:AE103)</f>
        <v>1</v>
      </c>
      <c r="AF162" s="406"/>
      <c r="AG162" s="202"/>
      <c r="AH162" s="410">
        <f t="shared" si="209"/>
        <v>0</v>
      </c>
      <c r="AI162" s="425">
        <f t="shared" si="210"/>
        <v>1</v>
      </c>
      <c r="AJ162" s="202"/>
      <c r="AK162" s="407"/>
      <c r="AL162" s="408">
        <f>AL103/SUM(AL103:AM103)</f>
        <v>1</v>
      </c>
      <c r="AM162" s="408">
        <f>AM103/SUM(AL103:AM103)</f>
        <v>0</v>
      </c>
      <c r="AN162" s="406"/>
      <c r="AO162" s="407"/>
      <c r="AP162" s="409"/>
      <c r="AQ162" s="409"/>
      <c r="AR162" s="406"/>
      <c r="AS162" s="407"/>
      <c r="AT162" s="409"/>
      <c r="AU162" s="409"/>
      <c r="AV162" s="406"/>
      <c r="AW162" s="407"/>
      <c r="AX162" s="409"/>
      <c r="AY162" s="409"/>
      <c r="AZ162" s="406"/>
      <c r="BA162" s="407"/>
      <c r="BB162" s="406"/>
      <c r="BC162" s="202"/>
      <c r="BD162" s="197"/>
      <c r="BE162" s="198"/>
      <c r="BF162" s="410">
        <f t="shared" ref="BF162:BK162" si="227">BF103/SUM($BF103:$BK103)</f>
        <v>0</v>
      </c>
      <c r="BG162" s="420">
        <f t="shared" si="227"/>
        <v>0</v>
      </c>
      <c r="BH162" s="420">
        <f t="shared" si="227"/>
        <v>1</v>
      </c>
      <c r="BI162" s="420">
        <f t="shared" si="227"/>
        <v>0</v>
      </c>
      <c r="BJ162" s="420">
        <f t="shared" si="227"/>
        <v>0</v>
      </c>
      <c r="BK162" s="420">
        <f t="shared" si="227"/>
        <v>0</v>
      </c>
      <c r="BL162" s="406"/>
      <c r="BM162" s="202"/>
      <c r="BN162" s="202"/>
      <c r="BO162" s="202"/>
      <c r="BP162" s="202"/>
      <c r="BQ162" s="407"/>
      <c r="BR162" s="406"/>
      <c r="BS162" s="202"/>
      <c r="BT162" s="202"/>
      <c r="BU162" s="202"/>
      <c r="BV162" s="202"/>
      <c r="BW162" s="407"/>
      <c r="BX162" s="406"/>
      <c r="BY162" s="202"/>
      <c r="BZ162" s="202"/>
      <c r="CA162" s="202"/>
      <c r="CB162" s="202"/>
      <c r="CC162" s="407"/>
      <c r="CD162" s="406" t="str">
        <f t="shared" ref="CD162:CI162" si="228">IFERROR(CD103/SUM($CD103:$CI103),"")</f>
        <v/>
      </c>
      <c r="CE162" s="202" t="str">
        <f t="shared" si="228"/>
        <v/>
      </c>
      <c r="CF162" s="202" t="str">
        <f t="shared" si="228"/>
        <v/>
      </c>
      <c r="CG162" s="202" t="str">
        <f t="shared" si="228"/>
        <v/>
      </c>
      <c r="CH162" s="202" t="str">
        <f t="shared" si="228"/>
        <v/>
      </c>
      <c r="CI162" s="407" t="str">
        <f t="shared" si="228"/>
        <v/>
      </c>
      <c r="CJ162" s="406"/>
      <c r="CK162" s="202"/>
      <c r="CL162" s="202"/>
      <c r="CM162" s="202"/>
      <c r="CN162" s="202"/>
      <c r="CO162" s="407"/>
      <c r="CP162" s="406"/>
      <c r="CQ162" s="202"/>
      <c r="CR162" s="202"/>
      <c r="CS162" s="202"/>
      <c r="CT162" s="202"/>
      <c r="CU162" s="407"/>
      <c r="CV162" s="406"/>
      <c r="CW162" s="202"/>
      <c r="CX162" s="202"/>
      <c r="CY162" s="202"/>
      <c r="CZ162" s="202"/>
      <c r="DA162" s="407"/>
      <c r="DB162" s="406"/>
      <c r="DC162" s="202"/>
      <c r="DD162" s="202"/>
      <c r="DE162" s="202"/>
      <c r="DF162" s="202"/>
      <c r="DG162" s="407"/>
      <c r="DH162" s="406"/>
      <c r="DI162" s="202"/>
      <c r="DJ162" s="202"/>
      <c r="DK162" s="202"/>
      <c r="DL162" s="202"/>
      <c r="DM162" s="407"/>
      <c r="DN162" s="406"/>
      <c r="DO162" s="202"/>
      <c r="DP162" s="202"/>
      <c r="DQ162" s="202"/>
      <c r="DR162" s="202"/>
      <c r="DS162" s="407"/>
      <c r="DT162" s="406"/>
      <c r="DU162" s="202"/>
      <c r="DV162" s="202"/>
      <c r="DW162" s="202"/>
      <c r="DX162" s="202"/>
      <c r="DY162" s="407"/>
      <c r="DZ162" s="406"/>
      <c r="EA162" s="202"/>
      <c r="EB162" s="202"/>
      <c r="EC162" s="202"/>
      <c r="ED162" s="202"/>
      <c r="EE162" s="407"/>
      <c r="EF162" s="196">
        <f t="shared" si="197"/>
        <v>41</v>
      </c>
      <c r="EG162" s="202"/>
      <c r="EH162" s="579">
        <v>41</v>
      </c>
      <c r="EI162" s="603">
        <f t="shared" si="203"/>
        <v>0.44444444444444442</v>
      </c>
      <c r="EJ162" s="603">
        <f t="shared" si="204"/>
        <v>0.55555555555555558</v>
      </c>
      <c r="EK162" s="579">
        <v>41</v>
      </c>
      <c r="EL162" s="603">
        <f t="shared" si="205"/>
        <v>1</v>
      </c>
      <c r="EM162" s="603">
        <f t="shared" si="206"/>
        <v>0</v>
      </c>
      <c r="EN162" s="579">
        <v>41</v>
      </c>
      <c r="EO162" s="603">
        <f t="shared" si="207"/>
        <v>0.33333333333333331</v>
      </c>
      <c r="EP162" s="603">
        <f t="shared" si="208"/>
        <v>0.66666666666666663</v>
      </c>
      <c r="EQ162" s="580"/>
      <c r="ER162" s="580"/>
      <c r="ES162" s="519"/>
      <c r="ET162" s="519"/>
      <c r="EU162" s="580"/>
      <c r="EV162" s="580"/>
      <c r="EW162" s="580"/>
      <c r="EX162" s="580"/>
      <c r="EY162" s="580"/>
      <c r="EZ162" s="580"/>
      <c r="FA162" s="580"/>
      <c r="FB162" s="580"/>
      <c r="FC162" s="580"/>
      <c r="FD162" s="580"/>
      <c r="FE162" s="580"/>
      <c r="FF162" s="580"/>
      <c r="FG162" s="580"/>
      <c r="FH162" s="580"/>
    </row>
    <row r="163" spans="1:164" x14ac:dyDescent="0.2">
      <c r="A163" s="159">
        <v>42</v>
      </c>
      <c r="B163" s="406"/>
      <c r="C163" s="407"/>
      <c r="D163" s="410">
        <f t="shared" si="222"/>
        <v>1</v>
      </c>
      <c r="E163" s="411">
        <f t="shared" si="223"/>
        <v>0</v>
      </c>
      <c r="F163" s="409"/>
      <c r="G163" s="409"/>
      <c r="H163" s="406"/>
      <c r="I163" s="407"/>
      <c r="J163" s="409"/>
      <c r="K163" s="409"/>
      <c r="L163" s="406"/>
      <c r="M163" s="407"/>
      <c r="N163" s="409"/>
      <c r="O163" s="409"/>
      <c r="P163" s="406"/>
      <c r="Q163" s="407"/>
      <c r="R163" s="408">
        <f>R104/SUM(R104:S104)</f>
        <v>1</v>
      </c>
      <c r="S163" s="408">
        <f>S104/SUM(R104:S104)</f>
        <v>0</v>
      </c>
      <c r="T163" s="406"/>
      <c r="U163" s="407"/>
      <c r="V163" s="409"/>
      <c r="W163" s="409"/>
      <c r="X163" s="406"/>
      <c r="Y163" s="407"/>
      <c r="Z163" s="409"/>
      <c r="AA163" s="409"/>
      <c r="AB163" s="406"/>
      <c r="AC163" s="407"/>
      <c r="AD163" s="408">
        <f>AD104/SUM(AD104:AE104)</f>
        <v>0.5</v>
      </c>
      <c r="AE163" s="408">
        <f>AE104/SUM(AD104:AE104)</f>
        <v>0.5</v>
      </c>
      <c r="AF163" s="406"/>
      <c r="AG163" s="202"/>
      <c r="AH163" s="410">
        <f t="shared" si="209"/>
        <v>0.66666666666666663</v>
      </c>
      <c r="AI163" s="425">
        <f t="shared" si="210"/>
        <v>0.33333333333333331</v>
      </c>
      <c r="AJ163" s="202"/>
      <c r="AK163" s="407"/>
      <c r="AL163" s="408">
        <f>AL104/SUM(AL104:AM104)</f>
        <v>1</v>
      </c>
      <c r="AM163" s="408">
        <f>AM104/SUM(AL104:AM104)</f>
        <v>0</v>
      </c>
      <c r="AN163" s="410">
        <f>AN104/SUM(AN104:AO104)</f>
        <v>0</v>
      </c>
      <c r="AO163" s="411">
        <f>AO104/SUM(AN104:AO104)</f>
        <v>1</v>
      </c>
      <c r="AP163" s="408">
        <f>AP104/SUM(AP104:AQ104)</f>
        <v>0</v>
      </c>
      <c r="AQ163" s="408">
        <f>AQ104/SUM(AP104:AQ104)</f>
        <v>1</v>
      </c>
      <c r="AR163" s="406"/>
      <c r="AS163" s="407"/>
      <c r="AT163" s="408">
        <f>AT104/SUM(AT104:AU104)</f>
        <v>0.83333333333333337</v>
      </c>
      <c r="AU163" s="408">
        <f t="shared" si="58"/>
        <v>0.16666666666666666</v>
      </c>
      <c r="AV163" s="406"/>
      <c r="AW163" s="407"/>
      <c r="AX163" s="409"/>
      <c r="AY163" s="409"/>
      <c r="AZ163" s="406"/>
      <c r="BA163" s="407"/>
      <c r="BB163" s="410">
        <f t="shared" si="169"/>
        <v>1</v>
      </c>
      <c r="BC163" s="420">
        <f>BC104/SUM(BB104:BC104)</f>
        <v>0</v>
      </c>
      <c r="BD163" s="197"/>
      <c r="BE163" s="198"/>
      <c r="BF163" s="406"/>
      <c r="BG163" s="202"/>
      <c r="BH163" s="202"/>
      <c r="BI163" s="202"/>
      <c r="BJ163" s="202"/>
      <c r="BK163" s="202"/>
      <c r="BL163" s="406"/>
      <c r="BM163" s="202"/>
      <c r="BN163" s="202"/>
      <c r="BO163" s="202"/>
      <c r="BP163" s="202"/>
      <c r="BQ163" s="407"/>
      <c r="BR163" s="406"/>
      <c r="BS163" s="202"/>
      <c r="BT163" s="202"/>
      <c r="BU163" s="202"/>
      <c r="BV163" s="202"/>
      <c r="BW163" s="407"/>
      <c r="BX163" s="410">
        <f t="shared" ref="BX163:CC163" si="229">BX104/SUM($BX104:$CC104)</f>
        <v>0</v>
      </c>
      <c r="BY163" s="420">
        <f t="shared" si="229"/>
        <v>0</v>
      </c>
      <c r="BZ163" s="420">
        <f t="shared" si="229"/>
        <v>0</v>
      </c>
      <c r="CA163" s="420">
        <f t="shared" si="229"/>
        <v>1</v>
      </c>
      <c r="CB163" s="420">
        <f t="shared" si="229"/>
        <v>0</v>
      </c>
      <c r="CC163" s="411">
        <f t="shared" si="229"/>
        <v>0</v>
      </c>
      <c r="CD163" s="406" t="str">
        <f t="shared" ref="CD163:CI163" si="230">IFERROR(CD104/SUM($CD104:$CI104),"")</f>
        <v/>
      </c>
      <c r="CE163" s="202" t="str">
        <f t="shared" si="230"/>
        <v/>
      </c>
      <c r="CF163" s="202" t="str">
        <f t="shared" si="230"/>
        <v/>
      </c>
      <c r="CG163" s="202" t="str">
        <f t="shared" si="230"/>
        <v/>
      </c>
      <c r="CH163" s="202" t="str">
        <f t="shared" si="230"/>
        <v/>
      </c>
      <c r="CI163" s="407" t="str">
        <f t="shared" si="230"/>
        <v/>
      </c>
      <c r="CJ163" s="406"/>
      <c r="CK163" s="202"/>
      <c r="CL163" s="202"/>
      <c r="CM163" s="202"/>
      <c r="CN163" s="202"/>
      <c r="CO163" s="407"/>
      <c r="CP163" s="406"/>
      <c r="CQ163" s="202"/>
      <c r="CR163" s="202"/>
      <c r="CS163" s="202"/>
      <c r="CT163" s="202"/>
      <c r="CU163" s="407"/>
      <c r="CV163" s="406"/>
      <c r="CW163" s="202"/>
      <c r="CX163" s="202"/>
      <c r="CY163" s="202"/>
      <c r="CZ163" s="202"/>
      <c r="DA163" s="407"/>
      <c r="DB163" s="406"/>
      <c r="DC163" s="202"/>
      <c r="DD163" s="202"/>
      <c r="DE163" s="202"/>
      <c r="DF163" s="202"/>
      <c r="DG163" s="407"/>
      <c r="DH163" s="406"/>
      <c r="DI163" s="202"/>
      <c r="DJ163" s="202"/>
      <c r="DK163" s="202"/>
      <c r="DL163" s="202"/>
      <c r="DM163" s="407"/>
      <c r="DN163" s="406"/>
      <c r="DO163" s="202"/>
      <c r="DP163" s="202"/>
      <c r="DQ163" s="202"/>
      <c r="DR163" s="202"/>
      <c r="DS163" s="407"/>
      <c r="DT163" s="406"/>
      <c r="DU163" s="202"/>
      <c r="DV163" s="202"/>
      <c r="DW163" s="202"/>
      <c r="DX163" s="202"/>
      <c r="DY163" s="407"/>
      <c r="DZ163" s="406"/>
      <c r="EA163" s="202"/>
      <c r="EB163" s="202"/>
      <c r="EC163" s="202"/>
      <c r="ED163" s="202"/>
      <c r="EE163" s="407"/>
      <c r="EF163" s="196">
        <f t="shared" si="197"/>
        <v>42</v>
      </c>
      <c r="EG163" s="202"/>
      <c r="EH163" s="579">
        <v>42</v>
      </c>
      <c r="EI163" s="603">
        <f t="shared" si="203"/>
        <v>0.66666666666666652</v>
      </c>
      <c r="EJ163" s="603">
        <f t="shared" si="204"/>
        <v>0.33333333333333337</v>
      </c>
      <c r="EK163" s="579">
        <v>42</v>
      </c>
      <c r="EL163" s="603">
        <f t="shared" si="205"/>
        <v>0.56666666666666665</v>
      </c>
      <c r="EM163" s="603">
        <f t="shared" si="206"/>
        <v>0.4333333333333334</v>
      </c>
      <c r="EN163" s="579">
        <v>42</v>
      </c>
      <c r="EO163" s="603">
        <f t="shared" si="207"/>
        <v>0.79166666666666663</v>
      </c>
      <c r="EP163" s="603">
        <f t="shared" si="208"/>
        <v>0.20833333333333331</v>
      </c>
      <c r="EQ163" s="580"/>
      <c r="ER163" s="580"/>
      <c r="ES163" s="519"/>
      <c r="ET163" s="519"/>
      <c r="EU163" s="580"/>
      <c r="EV163" s="580"/>
      <c r="EW163" s="580"/>
      <c r="EX163" s="580"/>
      <c r="EY163" s="580"/>
      <c r="EZ163" s="580"/>
      <c r="FA163" s="580"/>
      <c r="FB163" s="580"/>
      <c r="FC163" s="580"/>
      <c r="FD163" s="580"/>
      <c r="FE163" s="580"/>
      <c r="FF163" s="580"/>
      <c r="FG163" s="580"/>
      <c r="FH163" s="580"/>
    </row>
    <row r="164" spans="1:164" x14ac:dyDescent="0.2">
      <c r="A164" s="159">
        <v>43</v>
      </c>
      <c r="B164" s="406"/>
      <c r="C164" s="407"/>
      <c r="D164" s="410">
        <f t="shared" si="222"/>
        <v>1</v>
      </c>
      <c r="E164" s="411">
        <f t="shared" si="223"/>
        <v>0</v>
      </c>
      <c r="F164" s="408">
        <f>F105/SUM(F105:G105)</f>
        <v>1</v>
      </c>
      <c r="G164" s="408">
        <f>G105/SUM(F105:G105)</f>
        <v>0</v>
      </c>
      <c r="H164" s="406"/>
      <c r="I164" s="407"/>
      <c r="J164" s="409"/>
      <c r="K164" s="409"/>
      <c r="L164" s="406"/>
      <c r="M164" s="407"/>
      <c r="N164" s="409"/>
      <c r="O164" s="409"/>
      <c r="P164" s="406"/>
      <c r="Q164" s="407"/>
      <c r="R164" s="408">
        <f>R105/SUM(R105:S105)</f>
        <v>1</v>
      </c>
      <c r="S164" s="408">
        <f>S105/SUM(R105:S105)</f>
        <v>0</v>
      </c>
      <c r="T164" s="410">
        <f>T105/SUM(T105:U105)</f>
        <v>1</v>
      </c>
      <c r="U164" s="411">
        <f>U105/SUM(T105:U105)</f>
        <v>0</v>
      </c>
      <c r="V164" s="408">
        <f>V105/SUM(V105:W105)</f>
        <v>1</v>
      </c>
      <c r="W164" s="408">
        <f>W105/SUM(V105:W105)</f>
        <v>0</v>
      </c>
      <c r="X164" s="406"/>
      <c r="Y164" s="407"/>
      <c r="Z164" s="408">
        <f>Z105/SUM(Z105:AA105)</f>
        <v>0.66666666666666663</v>
      </c>
      <c r="AA164" s="408">
        <f>AA105/SUM(Z105:AA105)</f>
        <v>0.33333333333333331</v>
      </c>
      <c r="AB164" s="406"/>
      <c r="AC164" s="407"/>
      <c r="AD164" s="408">
        <f>AD105/SUM(AD105:AE105)</f>
        <v>0</v>
      </c>
      <c r="AE164" s="408">
        <f>AE105/SUM(AD105:AE105)</f>
        <v>1</v>
      </c>
      <c r="AF164" s="406"/>
      <c r="AG164" s="202"/>
      <c r="AH164" s="406"/>
      <c r="AI164" s="415"/>
      <c r="AJ164" s="202"/>
      <c r="AK164" s="407"/>
      <c r="AL164" s="409"/>
      <c r="AM164" s="409"/>
      <c r="AN164" s="406"/>
      <c r="AO164" s="407"/>
      <c r="AP164" s="409"/>
      <c r="AQ164" s="409"/>
      <c r="AR164" s="406"/>
      <c r="AS164" s="407"/>
      <c r="AT164" s="408">
        <f>AT105/SUM(AT105:AU105)</f>
        <v>1</v>
      </c>
      <c r="AU164" s="408">
        <f t="shared" si="58"/>
        <v>0</v>
      </c>
      <c r="AV164" s="406"/>
      <c r="AW164" s="407"/>
      <c r="AX164" s="409"/>
      <c r="AY164" s="409"/>
      <c r="AZ164" s="410">
        <f>AZ105/SUM(AZ105:BA105)</f>
        <v>0.8</v>
      </c>
      <c r="BA164" s="411">
        <f>BA105/SUM(AZ105:BA105)</f>
        <v>0.2</v>
      </c>
      <c r="BB164" s="406"/>
      <c r="BC164" s="202"/>
      <c r="BD164" s="197"/>
      <c r="BE164" s="198"/>
      <c r="BF164" s="410">
        <f t="shared" ref="BF164:BK164" si="231">BF105/SUM($BF105:$BK105)</f>
        <v>1</v>
      </c>
      <c r="BG164" s="420">
        <f t="shared" si="231"/>
        <v>0</v>
      </c>
      <c r="BH164" s="420">
        <f t="shared" si="231"/>
        <v>0</v>
      </c>
      <c r="BI164" s="420">
        <f t="shared" si="231"/>
        <v>0</v>
      </c>
      <c r="BJ164" s="420">
        <f t="shared" si="231"/>
        <v>0</v>
      </c>
      <c r="BK164" s="420">
        <f t="shared" si="231"/>
        <v>0</v>
      </c>
      <c r="BL164" s="406"/>
      <c r="BM164" s="202"/>
      <c r="BN164" s="202"/>
      <c r="BO164" s="202"/>
      <c r="BP164" s="202"/>
      <c r="BQ164" s="407"/>
      <c r="BR164" s="406"/>
      <c r="BS164" s="202"/>
      <c r="BT164" s="202"/>
      <c r="BU164" s="202"/>
      <c r="BV164" s="202"/>
      <c r="BW164" s="407"/>
      <c r="BX164" s="406"/>
      <c r="BY164" s="202"/>
      <c r="BZ164" s="202"/>
      <c r="CA164" s="202"/>
      <c r="CB164" s="202"/>
      <c r="CC164" s="407"/>
      <c r="CD164" s="406" t="str">
        <f t="shared" ref="CD164:CI164" si="232">IFERROR(CD105/SUM($CD105:$CI105),"")</f>
        <v/>
      </c>
      <c r="CE164" s="202" t="str">
        <f t="shared" si="232"/>
        <v/>
      </c>
      <c r="CF164" s="202" t="str">
        <f t="shared" si="232"/>
        <v/>
      </c>
      <c r="CG164" s="202" t="str">
        <f t="shared" si="232"/>
        <v/>
      </c>
      <c r="CH164" s="202" t="str">
        <f t="shared" si="232"/>
        <v/>
      </c>
      <c r="CI164" s="407" t="str">
        <f t="shared" si="232"/>
        <v/>
      </c>
      <c r="CJ164" s="406"/>
      <c r="CK164" s="202"/>
      <c r="CL164" s="202"/>
      <c r="CM164" s="202"/>
      <c r="CN164" s="202"/>
      <c r="CO164" s="407"/>
      <c r="CP164" s="406"/>
      <c r="CQ164" s="202"/>
      <c r="CR164" s="202"/>
      <c r="CS164" s="202"/>
      <c r="CT164" s="202"/>
      <c r="CU164" s="407"/>
      <c r="CV164" s="406"/>
      <c r="CW164" s="202"/>
      <c r="CX164" s="202"/>
      <c r="CY164" s="202"/>
      <c r="CZ164" s="202"/>
      <c r="DA164" s="407"/>
      <c r="DB164" s="406"/>
      <c r="DC164" s="202"/>
      <c r="DD164" s="202"/>
      <c r="DE164" s="202"/>
      <c r="DF164" s="202"/>
      <c r="DG164" s="407"/>
      <c r="DH164" s="406"/>
      <c r="DI164" s="202"/>
      <c r="DJ164" s="202"/>
      <c r="DK164" s="202"/>
      <c r="DL164" s="202"/>
      <c r="DM164" s="407"/>
      <c r="DN164" s="406"/>
      <c r="DO164" s="202"/>
      <c r="DP164" s="202"/>
      <c r="DQ164" s="202"/>
      <c r="DR164" s="202"/>
      <c r="DS164" s="407"/>
      <c r="DT164" s="406"/>
      <c r="DU164" s="202"/>
      <c r="DV164" s="202"/>
      <c r="DW164" s="202"/>
      <c r="DX164" s="202"/>
      <c r="DY164" s="407"/>
      <c r="DZ164" s="406"/>
      <c r="EA164" s="202"/>
      <c r="EB164" s="202"/>
      <c r="EC164" s="202"/>
      <c r="ED164" s="202"/>
      <c r="EE164" s="407"/>
      <c r="EF164" s="196">
        <f t="shared" si="197"/>
        <v>43</v>
      </c>
      <c r="EG164" s="202"/>
      <c r="EH164" s="579">
        <v>43</v>
      </c>
      <c r="EI164" s="603">
        <f t="shared" si="203"/>
        <v>0.82962962962962961</v>
      </c>
      <c r="EJ164" s="603">
        <f t="shared" si="204"/>
        <v>0.17037037037037037</v>
      </c>
      <c r="EK164" s="579">
        <v>43</v>
      </c>
      <c r="EL164" s="603">
        <f t="shared" si="205"/>
        <v>0.9</v>
      </c>
      <c r="EM164" s="603">
        <f t="shared" si="206"/>
        <v>0.1</v>
      </c>
      <c r="EN164" s="579">
        <v>43</v>
      </c>
      <c r="EO164" s="603">
        <f t="shared" si="207"/>
        <v>0.80952380952380953</v>
      </c>
      <c r="EP164" s="603">
        <f t="shared" si="208"/>
        <v>0.19047619047619047</v>
      </c>
      <c r="EQ164" s="580"/>
      <c r="ER164" s="580"/>
      <c r="ES164" s="519"/>
      <c r="ET164" s="519"/>
      <c r="EU164" s="580"/>
      <c r="EV164" s="580"/>
      <c r="EW164" s="580"/>
      <c r="EX164" s="580"/>
      <c r="EY164" s="580"/>
      <c r="EZ164" s="580"/>
      <c r="FA164" s="580"/>
      <c r="FB164" s="580"/>
      <c r="FC164" s="580"/>
      <c r="FD164" s="580"/>
      <c r="FE164" s="580"/>
      <c r="FF164" s="580"/>
      <c r="FG164" s="580"/>
      <c r="FH164" s="580"/>
    </row>
    <row r="165" spans="1:164" x14ac:dyDescent="0.2">
      <c r="A165" s="169">
        <v>44</v>
      </c>
      <c r="B165" s="416"/>
      <c r="C165" s="417"/>
      <c r="D165" s="426">
        <f t="shared" si="222"/>
        <v>1</v>
      </c>
      <c r="E165" s="422">
        <f t="shared" si="223"/>
        <v>0</v>
      </c>
      <c r="F165" s="423">
        <f>F106/SUM(F106:G106)</f>
        <v>1</v>
      </c>
      <c r="G165" s="423">
        <f>G106/SUM(F106:G106)</f>
        <v>0</v>
      </c>
      <c r="H165" s="416"/>
      <c r="I165" s="417"/>
      <c r="J165" s="418"/>
      <c r="K165" s="418"/>
      <c r="L165" s="416"/>
      <c r="M165" s="417"/>
      <c r="N165" s="418"/>
      <c r="O165" s="418"/>
      <c r="P165" s="416"/>
      <c r="Q165" s="417"/>
      <c r="R165" s="418"/>
      <c r="S165" s="418"/>
      <c r="T165" s="426">
        <f>T106/SUM(T106:U106)</f>
        <v>1</v>
      </c>
      <c r="U165" s="422">
        <f>U106/SUM(T106:U106)</f>
        <v>0</v>
      </c>
      <c r="V165" s="418"/>
      <c r="W165" s="418"/>
      <c r="X165" s="416"/>
      <c r="Y165" s="417"/>
      <c r="Z165" s="418"/>
      <c r="AA165" s="418"/>
      <c r="AB165" s="416"/>
      <c r="AC165" s="417"/>
      <c r="AD165" s="418"/>
      <c r="AE165" s="418"/>
      <c r="AF165" s="416"/>
      <c r="AG165" s="418"/>
      <c r="AH165" s="416"/>
      <c r="AI165" s="419"/>
      <c r="AJ165" s="418"/>
      <c r="AK165" s="417"/>
      <c r="AL165" s="423">
        <f>AL106/SUM(AL106:AM106)</f>
        <v>1</v>
      </c>
      <c r="AM165" s="423">
        <f>AM106/SUM(AL106:AM106)</f>
        <v>0</v>
      </c>
      <c r="AN165" s="416"/>
      <c r="AO165" s="417"/>
      <c r="AP165" s="418"/>
      <c r="AQ165" s="418"/>
      <c r="AR165" s="416"/>
      <c r="AS165" s="417"/>
      <c r="AT165" s="418"/>
      <c r="AU165" s="418"/>
      <c r="AV165" s="416"/>
      <c r="AW165" s="417"/>
      <c r="AX165" s="418"/>
      <c r="AY165" s="418"/>
      <c r="AZ165" s="416"/>
      <c r="BA165" s="417"/>
      <c r="BB165" s="416"/>
      <c r="BC165" s="418"/>
      <c r="BD165" s="424">
        <f>BD106/SUM(BD106:BE106)</f>
        <v>0</v>
      </c>
      <c r="BE165" s="561">
        <f>BE106/SUM(BD106:BE106)</f>
        <v>1</v>
      </c>
      <c r="BF165" s="416"/>
      <c r="BG165" s="418"/>
      <c r="BH165" s="418"/>
      <c r="BI165" s="418"/>
      <c r="BJ165" s="418"/>
      <c r="BK165" s="418"/>
      <c r="BL165" s="416"/>
      <c r="BM165" s="418"/>
      <c r="BN165" s="418"/>
      <c r="BO165" s="418"/>
      <c r="BP165" s="418"/>
      <c r="BQ165" s="417"/>
      <c r="BR165" s="416"/>
      <c r="BS165" s="418"/>
      <c r="BT165" s="418"/>
      <c r="BU165" s="418"/>
      <c r="BV165" s="418"/>
      <c r="BW165" s="417"/>
      <c r="BX165" s="416"/>
      <c r="BY165" s="418"/>
      <c r="BZ165" s="418"/>
      <c r="CA165" s="418"/>
      <c r="CB165" s="418"/>
      <c r="CC165" s="417"/>
      <c r="CD165" s="416" t="str">
        <f t="shared" ref="CD165:CI165" si="233">IFERROR(CD106/SUM($CD106:$CI106),"")</f>
        <v/>
      </c>
      <c r="CE165" s="418" t="str">
        <f t="shared" si="233"/>
        <v/>
      </c>
      <c r="CF165" s="418" t="str">
        <f t="shared" si="233"/>
        <v/>
      </c>
      <c r="CG165" s="418" t="str">
        <f t="shared" si="233"/>
        <v/>
      </c>
      <c r="CH165" s="418" t="str">
        <f t="shared" si="233"/>
        <v/>
      </c>
      <c r="CI165" s="417" t="str">
        <f t="shared" si="233"/>
        <v/>
      </c>
      <c r="CJ165" s="416"/>
      <c r="CK165" s="418"/>
      <c r="CL165" s="418"/>
      <c r="CM165" s="418"/>
      <c r="CN165" s="418"/>
      <c r="CO165" s="417"/>
      <c r="CP165" s="416"/>
      <c r="CQ165" s="418"/>
      <c r="CR165" s="418"/>
      <c r="CS165" s="418"/>
      <c r="CT165" s="418"/>
      <c r="CU165" s="417"/>
      <c r="CV165" s="416"/>
      <c r="CW165" s="418"/>
      <c r="CX165" s="418"/>
      <c r="CY165" s="418"/>
      <c r="CZ165" s="418"/>
      <c r="DA165" s="417"/>
      <c r="DB165" s="416"/>
      <c r="DC165" s="418"/>
      <c r="DD165" s="418"/>
      <c r="DE165" s="418"/>
      <c r="DF165" s="418"/>
      <c r="DG165" s="417"/>
      <c r="DH165" s="416"/>
      <c r="DI165" s="418"/>
      <c r="DJ165" s="418"/>
      <c r="DK165" s="418"/>
      <c r="DL165" s="418"/>
      <c r="DM165" s="417"/>
      <c r="DN165" s="416"/>
      <c r="DO165" s="418"/>
      <c r="DP165" s="418"/>
      <c r="DQ165" s="418"/>
      <c r="DR165" s="418"/>
      <c r="DS165" s="417"/>
      <c r="DT165" s="416"/>
      <c r="DU165" s="418"/>
      <c r="DV165" s="418"/>
      <c r="DW165" s="418"/>
      <c r="DX165" s="418"/>
      <c r="DY165" s="417"/>
      <c r="DZ165" s="416"/>
      <c r="EA165" s="418"/>
      <c r="EB165" s="418"/>
      <c r="EC165" s="418"/>
      <c r="ED165" s="418"/>
      <c r="EE165" s="417"/>
      <c r="EF165" s="196">
        <f t="shared" si="197"/>
        <v>44</v>
      </c>
      <c r="EG165" s="202"/>
      <c r="EH165" s="579">
        <v>44</v>
      </c>
      <c r="EI165" s="603">
        <f t="shared" si="203"/>
        <v>0.8</v>
      </c>
      <c r="EJ165" s="603">
        <f t="shared" si="204"/>
        <v>0.2</v>
      </c>
      <c r="EK165" s="579">
        <v>44</v>
      </c>
      <c r="EL165" s="603">
        <f t="shared" si="205"/>
        <v>0.5</v>
      </c>
      <c r="EM165" s="603">
        <f t="shared" si="206"/>
        <v>0.5</v>
      </c>
      <c r="EN165" s="579">
        <v>44</v>
      </c>
      <c r="EO165" s="603">
        <f t="shared" si="207"/>
        <v>1</v>
      </c>
      <c r="EP165" s="603">
        <f t="shared" si="208"/>
        <v>0</v>
      </c>
      <c r="EQ165" s="580"/>
      <c r="ER165" s="580"/>
      <c r="ES165" s="519"/>
      <c r="ET165" s="519"/>
      <c r="EU165" s="580"/>
      <c r="EV165" s="580"/>
      <c r="EW165" s="580"/>
      <c r="EX165" s="580"/>
      <c r="EY165" s="580"/>
      <c r="EZ165" s="580"/>
      <c r="FA165" s="580"/>
      <c r="FB165" s="580"/>
      <c r="FC165" s="580"/>
      <c r="FD165" s="580"/>
      <c r="FE165" s="580"/>
      <c r="FF165" s="580"/>
      <c r="FG165" s="580"/>
      <c r="FH165" s="580"/>
    </row>
    <row r="166" spans="1:164" x14ac:dyDescent="0.2">
      <c r="A166" s="173">
        <v>45</v>
      </c>
      <c r="B166" s="406"/>
      <c r="C166" s="407"/>
      <c r="D166" s="410">
        <f t="shared" si="222"/>
        <v>0.66666666666666663</v>
      </c>
      <c r="E166" s="411">
        <f t="shared" si="223"/>
        <v>0.33333333333333331</v>
      </c>
      <c r="F166" s="408">
        <f>F107/SUM(F107:G107)</f>
        <v>1</v>
      </c>
      <c r="G166" s="408">
        <f>G107/SUM(F107:G107)</f>
        <v>0</v>
      </c>
      <c r="H166" s="406"/>
      <c r="I166" s="407"/>
      <c r="J166" s="409"/>
      <c r="K166" s="409"/>
      <c r="L166" s="406"/>
      <c r="M166" s="407"/>
      <c r="N166" s="409"/>
      <c r="O166" s="409"/>
      <c r="P166" s="406"/>
      <c r="Q166" s="407"/>
      <c r="R166" s="409"/>
      <c r="S166" s="409"/>
      <c r="T166" s="406"/>
      <c r="U166" s="407"/>
      <c r="V166" s="408">
        <f>V107/SUM(V107:W107)</f>
        <v>1</v>
      </c>
      <c r="W166" s="408">
        <f>W107/SUM(V107:W107)</f>
        <v>0</v>
      </c>
      <c r="X166" s="406"/>
      <c r="Y166" s="407"/>
      <c r="Z166" s="408">
        <f>Z107/SUM(Z107:AA107)</f>
        <v>1</v>
      </c>
      <c r="AA166" s="408">
        <f>AA107/SUM(Z107:AA107)</f>
        <v>0</v>
      </c>
      <c r="AB166" s="406"/>
      <c r="AC166" s="407"/>
      <c r="AD166" s="409"/>
      <c r="AE166" s="409"/>
      <c r="AF166" s="406"/>
      <c r="AG166" s="202"/>
      <c r="AH166" s="406"/>
      <c r="AI166" s="415"/>
      <c r="AJ166" s="420">
        <f>AJ107/SUM(AJ107:AK107)</f>
        <v>1</v>
      </c>
      <c r="AK166" s="411">
        <f>AK107/SUM(AJ107:AK107)</f>
        <v>0</v>
      </c>
      <c r="AL166" s="409"/>
      <c r="AM166" s="409"/>
      <c r="AN166" s="406"/>
      <c r="AO166" s="407"/>
      <c r="AP166" s="409"/>
      <c r="AQ166" s="409"/>
      <c r="AR166" s="406"/>
      <c r="AS166" s="407"/>
      <c r="AT166" s="408">
        <f>AT107/SUM(AT107:AU107)</f>
        <v>1</v>
      </c>
      <c r="AU166" s="408">
        <f t="shared" si="58"/>
        <v>0</v>
      </c>
      <c r="AV166" s="406"/>
      <c r="AW166" s="407"/>
      <c r="AX166" s="409"/>
      <c r="AY166" s="409"/>
      <c r="AZ166" s="406"/>
      <c r="BA166" s="407"/>
      <c r="BB166" s="406"/>
      <c r="BC166" s="407"/>
      <c r="BD166" s="562">
        <f>BD107/SUM(BD107:BE107)</f>
        <v>1</v>
      </c>
      <c r="BE166" s="563">
        <f>BE107/SUM(BD107:BE107)</f>
        <v>0</v>
      </c>
      <c r="BF166" s="412"/>
      <c r="BG166" s="680"/>
      <c r="BH166" s="680"/>
      <c r="BI166" s="680"/>
      <c r="BJ166" s="680"/>
      <c r="BK166" s="680"/>
      <c r="BL166" s="406"/>
      <c r="BM166" s="202"/>
      <c r="BN166" s="202"/>
      <c r="BO166" s="202"/>
      <c r="BP166" s="202"/>
      <c r="BQ166" s="407"/>
      <c r="BR166" s="406"/>
      <c r="BS166" s="202"/>
      <c r="BT166" s="202"/>
      <c r="BU166" s="202"/>
      <c r="BV166" s="202"/>
      <c r="BW166" s="407"/>
      <c r="BX166" s="410">
        <f t="shared" ref="BX166:CC166" si="234">BX107/SUM($BX107:$CC107)</f>
        <v>0</v>
      </c>
      <c r="BY166" s="420">
        <f t="shared" si="234"/>
        <v>0</v>
      </c>
      <c r="BZ166" s="420">
        <f t="shared" si="234"/>
        <v>1</v>
      </c>
      <c r="CA166" s="420">
        <f t="shared" si="234"/>
        <v>0</v>
      </c>
      <c r="CB166" s="420">
        <f t="shared" si="234"/>
        <v>0</v>
      </c>
      <c r="CC166" s="411">
        <f t="shared" si="234"/>
        <v>0</v>
      </c>
      <c r="CD166" s="406" t="str">
        <f t="shared" ref="CD166:CI166" si="235">IFERROR(CD107/SUM($CD107:$CI107),"")</f>
        <v/>
      </c>
      <c r="CE166" s="202" t="str">
        <f t="shared" si="235"/>
        <v/>
      </c>
      <c r="CF166" s="202" t="str">
        <f t="shared" si="235"/>
        <v/>
      </c>
      <c r="CG166" s="202" t="str">
        <f t="shared" si="235"/>
        <v/>
      </c>
      <c r="CH166" s="202" t="str">
        <f t="shared" si="235"/>
        <v/>
      </c>
      <c r="CI166" s="407" t="str">
        <f t="shared" si="235"/>
        <v/>
      </c>
      <c r="CJ166" s="406"/>
      <c r="CK166" s="202"/>
      <c r="CL166" s="202"/>
      <c r="CM166" s="202"/>
      <c r="CN166" s="202"/>
      <c r="CO166" s="407"/>
      <c r="CP166" s="406"/>
      <c r="CQ166" s="202"/>
      <c r="CR166" s="202"/>
      <c r="CS166" s="202"/>
      <c r="CT166" s="202"/>
      <c r="CU166" s="407"/>
      <c r="CV166" s="406"/>
      <c r="CW166" s="202"/>
      <c r="CX166" s="202"/>
      <c r="CY166" s="202"/>
      <c r="CZ166" s="202"/>
      <c r="DA166" s="407"/>
      <c r="DB166" s="406"/>
      <c r="DC166" s="202"/>
      <c r="DD166" s="202"/>
      <c r="DE166" s="202"/>
      <c r="DF166" s="202"/>
      <c r="DG166" s="407"/>
      <c r="DH166" s="406"/>
      <c r="DI166" s="202"/>
      <c r="DJ166" s="202"/>
      <c r="DK166" s="202"/>
      <c r="DL166" s="202"/>
      <c r="DM166" s="407"/>
      <c r="DN166" s="406"/>
      <c r="DO166" s="202"/>
      <c r="DP166" s="202"/>
      <c r="DQ166" s="202"/>
      <c r="DR166" s="202"/>
      <c r="DS166" s="407"/>
      <c r="DT166" s="406"/>
      <c r="DU166" s="202"/>
      <c r="DV166" s="202"/>
      <c r="DW166" s="202"/>
      <c r="DX166" s="202"/>
      <c r="DY166" s="407"/>
      <c r="DZ166" s="406"/>
      <c r="EA166" s="202"/>
      <c r="EB166" s="202"/>
      <c r="EC166" s="202"/>
      <c r="ED166" s="202"/>
      <c r="EE166" s="407"/>
      <c r="EF166" s="196">
        <f t="shared" si="197"/>
        <v>45</v>
      </c>
      <c r="EG166" s="202"/>
      <c r="EH166" s="579">
        <v>45</v>
      </c>
      <c r="EI166" s="603">
        <f t="shared" si="203"/>
        <v>0.95238095238095233</v>
      </c>
      <c r="EJ166" s="603">
        <f t="shared" si="204"/>
        <v>4.7619047619047616E-2</v>
      </c>
      <c r="EK166" s="579">
        <v>45</v>
      </c>
      <c r="EL166" s="603">
        <f t="shared" si="205"/>
        <v>1</v>
      </c>
      <c r="EM166" s="603">
        <f t="shared" si="206"/>
        <v>0</v>
      </c>
      <c r="EN166" s="579">
        <v>45</v>
      </c>
      <c r="EO166" s="603">
        <f t="shared" si="207"/>
        <v>0.91666666666666663</v>
      </c>
      <c r="EP166" s="603">
        <f t="shared" si="208"/>
        <v>8.3333333333333329E-2</v>
      </c>
      <c r="EQ166" s="580"/>
      <c r="ER166" s="580"/>
      <c r="ES166" s="519"/>
      <c r="ET166" s="519"/>
      <c r="EU166" s="580"/>
      <c r="EV166" s="580"/>
      <c r="EW166" s="580"/>
      <c r="EX166" s="580"/>
      <c r="EY166" s="580"/>
      <c r="EZ166" s="580"/>
      <c r="FA166" s="580"/>
      <c r="FB166" s="580"/>
      <c r="FC166" s="580"/>
      <c r="FD166" s="580"/>
      <c r="FE166" s="580"/>
      <c r="FF166" s="580"/>
      <c r="FG166" s="580"/>
      <c r="FH166" s="580"/>
    </row>
    <row r="167" spans="1:164" x14ac:dyDescent="0.2">
      <c r="A167" s="173">
        <v>46</v>
      </c>
      <c r="B167" s="406"/>
      <c r="C167" s="407"/>
      <c r="D167" s="406"/>
      <c r="E167" s="407"/>
      <c r="F167" s="408">
        <f>F108/SUM(F108:G108)</f>
        <v>1</v>
      </c>
      <c r="G167" s="408">
        <f>G108/SUM(F108:G108)</f>
        <v>0</v>
      </c>
      <c r="H167" s="406"/>
      <c r="I167" s="407"/>
      <c r="J167" s="409"/>
      <c r="K167" s="409"/>
      <c r="L167" s="406"/>
      <c r="M167" s="407"/>
      <c r="N167" s="409"/>
      <c r="O167" s="409"/>
      <c r="P167" s="406"/>
      <c r="Q167" s="407"/>
      <c r="R167" s="409"/>
      <c r="S167" s="409"/>
      <c r="T167" s="406"/>
      <c r="U167" s="407"/>
      <c r="V167" s="409"/>
      <c r="W167" s="409"/>
      <c r="X167" s="406"/>
      <c r="Y167" s="407"/>
      <c r="Z167" s="409"/>
      <c r="AA167" s="409"/>
      <c r="AB167" s="406"/>
      <c r="AC167" s="407"/>
      <c r="AD167" s="409"/>
      <c r="AE167" s="409"/>
      <c r="AF167" s="406"/>
      <c r="AG167" s="202"/>
      <c r="AH167" s="406"/>
      <c r="AI167" s="415"/>
      <c r="AJ167" s="202"/>
      <c r="AK167" s="407"/>
      <c r="AL167" s="409"/>
      <c r="AM167" s="409"/>
      <c r="AN167" s="406"/>
      <c r="AO167" s="407"/>
      <c r="AP167" s="409"/>
      <c r="AQ167" s="409"/>
      <c r="AR167" s="406"/>
      <c r="AS167" s="407"/>
      <c r="AT167" s="409"/>
      <c r="AU167" s="409"/>
      <c r="AV167" s="410">
        <f>AV108/SUM(AV108:AW108)</f>
        <v>1</v>
      </c>
      <c r="AW167" s="411">
        <f>AW108/SUM(AV108:AW108)</f>
        <v>0</v>
      </c>
      <c r="AX167" s="409"/>
      <c r="AY167" s="409"/>
      <c r="AZ167" s="406"/>
      <c r="BA167" s="407"/>
      <c r="BB167" s="406"/>
      <c r="BC167" s="407"/>
      <c r="BD167" s="197"/>
      <c r="BE167" s="198"/>
      <c r="BF167" s="406"/>
      <c r="BG167" s="202"/>
      <c r="BH167" s="202"/>
      <c r="BI167" s="202"/>
      <c r="BJ167" s="202"/>
      <c r="BK167" s="202"/>
      <c r="BL167" s="406"/>
      <c r="BM167" s="202"/>
      <c r="BN167" s="202"/>
      <c r="BO167" s="202"/>
      <c r="BP167" s="202"/>
      <c r="BQ167" s="407"/>
      <c r="BR167" s="406"/>
      <c r="BS167" s="202"/>
      <c r="BT167" s="202"/>
      <c r="BU167" s="202"/>
      <c r="BV167" s="202"/>
      <c r="BW167" s="407"/>
      <c r="BX167" s="406"/>
      <c r="BY167" s="202"/>
      <c r="BZ167" s="202"/>
      <c r="CA167" s="202"/>
      <c r="CB167" s="202"/>
      <c r="CC167" s="407"/>
      <c r="CD167" s="406" t="str">
        <f t="shared" ref="CD167:CI167" si="236">IFERROR(CD108/SUM($CD108:$CI108),"")</f>
        <v/>
      </c>
      <c r="CE167" s="202" t="str">
        <f t="shared" si="236"/>
        <v/>
      </c>
      <c r="CF167" s="202" t="str">
        <f t="shared" si="236"/>
        <v/>
      </c>
      <c r="CG167" s="202" t="str">
        <f t="shared" si="236"/>
        <v/>
      </c>
      <c r="CH167" s="202" t="str">
        <f t="shared" si="236"/>
        <v/>
      </c>
      <c r="CI167" s="407" t="str">
        <f t="shared" si="236"/>
        <v/>
      </c>
      <c r="CJ167" s="406"/>
      <c r="CK167" s="202"/>
      <c r="CL167" s="202"/>
      <c r="CM167" s="202"/>
      <c r="CN167" s="202"/>
      <c r="CO167" s="407"/>
      <c r="CP167" s="406"/>
      <c r="CQ167" s="202"/>
      <c r="CR167" s="202"/>
      <c r="CS167" s="202"/>
      <c r="CT167" s="202"/>
      <c r="CU167" s="407"/>
      <c r="CV167" s="406"/>
      <c r="CW167" s="202"/>
      <c r="CX167" s="202"/>
      <c r="CY167" s="202"/>
      <c r="CZ167" s="202"/>
      <c r="DA167" s="407"/>
      <c r="DB167" s="406"/>
      <c r="DC167" s="202"/>
      <c r="DD167" s="202"/>
      <c r="DE167" s="202"/>
      <c r="DF167" s="202"/>
      <c r="DG167" s="407"/>
      <c r="DH167" s="406"/>
      <c r="DI167" s="202"/>
      <c r="DJ167" s="202"/>
      <c r="DK167" s="202"/>
      <c r="DL167" s="202"/>
      <c r="DM167" s="407"/>
      <c r="DN167" s="406"/>
      <c r="DO167" s="202"/>
      <c r="DP167" s="202"/>
      <c r="DQ167" s="202"/>
      <c r="DR167" s="202"/>
      <c r="DS167" s="407"/>
      <c r="DT167" s="406"/>
      <c r="DU167" s="202"/>
      <c r="DV167" s="202"/>
      <c r="DW167" s="202"/>
      <c r="DX167" s="202"/>
      <c r="DY167" s="407"/>
      <c r="DZ167" s="406"/>
      <c r="EA167" s="202"/>
      <c r="EB167" s="202"/>
      <c r="EC167" s="202"/>
      <c r="ED167" s="202"/>
      <c r="EE167" s="407"/>
      <c r="EF167" s="196">
        <f t="shared" si="197"/>
        <v>46</v>
      </c>
      <c r="EG167" s="202"/>
      <c r="EH167" s="579">
        <v>46</v>
      </c>
      <c r="EI167" s="603">
        <f t="shared" si="203"/>
        <v>1</v>
      </c>
      <c r="EJ167" s="603">
        <f t="shared" si="204"/>
        <v>0</v>
      </c>
      <c r="EK167" s="579">
        <v>46</v>
      </c>
      <c r="EL167" s="603">
        <f t="shared" si="205"/>
        <v>1</v>
      </c>
      <c r="EM167" s="603">
        <f t="shared" si="206"/>
        <v>0</v>
      </c>
      <c r="EN167" s="579">
        <v>46</v>
      </c>
      <c r="EO167" s="603">
        <f t="shared" si="207"/>
        <v>1</v>
      </c>
      <c r="EP167" s="603">
        <f t="shared" si="208"/>
        <v>0</v>
      </c>
      <c r="EQ167" s="580"/>
      <c r="ER167" s="580"/>
      <c r="ES167" s="519"/>
      <c r="ET167" s="519"/>
      <c r="EU167" s="580"/>
      <c r="EV167" s="580"/>
      <c r="EW167" s="580"/>
      <c r="EX167" s="580"/>
      <c r="EY167" s="580"/>
      <c r="EZ167" s="580"/>
      <c r="FA167" s="580"/>
      <c r="FB167" s="580"/>
      <c r="FC167" s="580"/>
      <c r="FD167" s="580"/>
      <c r="FE167" s="580"/>
      <c r="FF167" s="580"/>
      <c r="FG167" s="580"/>
      <c r="FH167" s="580"/>
    </row>
    <row r="168" spans="1:164" x14ac:dyDescent="0.2">
      <c r="A168" s="180">
        <v>47</v>
      </c>
      <c r="B168" s="406"/>
      <c r="C168" s="407"/>
      <c r="D168" s="406"/>
      <c r="E168" s="407"/>
      <c r="F168" s="409"/>
      <c r="G168" s="409"/>
      <c r="H168" s="406"/>
      <c r="I168" s="407"/>
      <c r="J168" s="409"/>
      <c r="K168" s="409"/>
      <c r="L168" s="406"/>
      <c r="M168" s="407"/>
      <c r="N168" s="409"/>
      <c r="O168" s="409"/>
      <c r="P168" s="406"/>
      <c r="Q168" s="407"/>
      <c r="R168" s="408">
        <f>R109/SUM(R109:S109)</f>
        <v>1</v>
      </c>
      <c r="S168" s="408">
        <f>S109/SUM(R109:S109)</f>
        <v>0</v>
      </c>
      <c r="T168" s="406"/>
      <c r="U168" s="407"/>
      <c r="V168" s="408">
        <f>V109/SUM(V109:W109)</f>
        <v>1</v>
      </c>
      <c r="W168" s="408">
        <f>W109/SUM(V109:W109)</f>
        <v>0</v>
      </c>
      <c r="X168" s="406"/>
      <c r="Y168" s="407"/>
      <c r="Z168" s="409"/>
      <c r="AA168" s="409"/>
      <c r="AB168" s="406"/>
      <c r="AC168" s="407"/>
      <c r="AD168" s="409"/>
      <c r="AE168" s="409"/>
      <c r="AF168" s="406"/>
      <c r="AG168" s="202"/>
      <c r="AH168" s="406"/>
      <c r="AI168" s="415"/>
      <c r="AJ168" s="202"/>
      <c r="AK168" s="407"/>
      <c r="AL168" s="409"/>
      <c r="AM168" s="409"/>
      <c r="AN168" s="406"/>
      <c r="AO168" s="407"/>
      <c r="AP168" s="409"/>
      <c r="AQ168" s="409"/>
      <c r="AR168" s="406"/>
      <c r="AS168" s="407"/>
      <c r="AT168" s="409"/>
      <c r="AU168" s="409"/>
      <c r="AV168" s="406"/>
      <c r="AW168" s="407"/>
      <c r="AX168" s="409"/>
      <c r="AY168" s="409"/>
      <c r="AZ168" s="406"/>
      <c r="BA168" s="407"/>
      <c r="BB168" s="406"/>
      <c r="BC168" s="407"/>
      <c r="BD168" s="197"/>
      <c r="BE168" s="198"/>
      <c r="BF168" s="406"/>
      <c r="BG168" s="202"/>
      <c r="BH168" s="202"/>
      <c r="BI168" s="202"/>
      <c r="BJ168" s="202"/>
      <c r="BK168" s="202"/>
      <c r="BL168" s="406"/>
      <c r="BM168" s="202"/>
      <c r="BN168" s="202"/>
      <c r="BO168" s="202"/>
      <c r="BP168" s="202"/>
      <c r="BQ168" s="407"/>
      <c r="BR168" s="406"/>
      <c r="BS168" s="202"/>
      <c r="BT168" s="202"/>
      <c r="BU168" s="202"/>
      <c r="BV168" s="202"/>
      <c r="BW168" s="407"/>
      <c r="BX168" s="406"/>
      <c r="BY168" s="202"/>
      <c r="BZ168" s="202"/>
      <c r="CA168" s="202"/>
      <c r="CB168" s="202"/>
      <c r="CC168" s="407"/>
      <c r="CD168" s="406" t="str">
        <f t="shared" ref="CD168:CI168" si="237">IFERROR(CD109/SUM($CD109:$CI109),"")</f>
        <v/>
      </c>
      <c r="CE168" s="202" t="str">
        <f t="shared" si="237"/>
        <v/>
      </c>
      <c r="CF168" s="202" t="str">
        <f t="shared" si="237"/>
        <v/>
      </c>
      <c r="CG168" s="202" t="str">
        <f t="shared" si="237"/>
        <v/>
      </c>
      <c r="CH168" s="202" t="str">
        <f t="shared" si="237"/>
        <v/>
      </c>
      <c r="CI168" s="407" t="str">
        <f t="shared" si="237"/>
        <v/>
      </c>
      <c r="CJ168" s="406"/>
      <c r="CK168" s="202"/>
      <c r="CL168" s="202"/>
      <c r="CM168" s="202"/>
      <c r="CN168" s="202"/>
      <c r="CO168" s="407"/>
      <c r="CP168" s="406"/>
      <c r="CQ168" s="202"/>
      <c r="CR168" s="202"/>
      <c r="CS168" s="202"/>
      <c r="CT168" s="202"/>
      <c r="CU168" s="407"/>
      <c r="CV168" s="406"/>
      <c r="CW168" s="202"/>
      <c r="CX168" s="202"/>
      <c r="CY168" s="202"/>
      <c r="CZ168" s="202"/>
      <c r="DA168" s="407"/>
      <c r="DB168" s="406"/>
      <c r="DC168" s="202"/>
      <c r="DD168" s="202"/>
      <c r="DE168" s="202"/>
      <c r="DF168" s="202"/>
      <c r="DG168" s="407"/>
      <c r="DH168" s="406"/>
      <c r="DI168" s="202"/>
      <c r="DJ168" s="202"/>
      <c r="DK168" s="202"/>
      <c r="DL168" s="202"/>
      <c r="DM168" s="407"/>
      <c r="DN168" s="406"/>
      <c r="DO168" s="202"/>
      <c r="DP168" s="202"/>
      <c r="DQ168" s="202"/>
      <c r="DR168" s="202"/>
      <c r="DS168" s="407"/>
      <c r="DT168" s="406"/>
      <c r="DU168" s="202"/>
      <c r="DV168" s="202"/>
      <c r="DW168" s="202"/>
      <c r="DX168" s="202"/>
      <c r="DY168" s="407"/>
      <c r="DZ168" s="406"/>
      <c r="EA168" s="202"/>
      <c r="EB168" s="202"/>
      <c r="EC168" s="202"/>
      <c r="ED168" s="202"/>
      <c r="EE168" s="407"/>
      <c r="EF168" s="196">
        <f t="shared" si="197"/>
        <v>47</v>
      </c>
      <c r="EG168" s="202"/>
      <c r="EH168" s="579">
        <v>47</v>
      </c>
      <c r="EI168" s="603">
        <f t="shared" si="203"/>
        <v>1</v>
      </c>
      <c r="EJ168" s="603">
        <f t="shared" si="204"/>
        <v>0</v>
      </c>
      <c r="EK168" s="579">
        <v>47</v>
      </c>
      <c r="EL168" s="603">
        <v>0</v>
      </c>
      <c r="EM168" s="603">
        <v>0</v>
      </c>
      <c r="EN168" s="579">
        <v>47</v>
      </c>
      <c r="EO168" s="603">
        <f t="shared" si="207"/>
        <v>1</v>
      </c>
      <c r="EP168" s="603">
        <f t="shared" si="208"/>
        <v>0</v>
      </c>
      <c r="EQ168" s="580"/>
      <c r="ER168" s="580"/>
      <c r="ES168" s="519"/>
      <c r="ET168" s="519"/>
      <c r="EU168" s="580"/>
      <c r="EV168" s="580"/>
      <c r="EW168" s="580"/>
      <c r="EX168" s="580"/>
      <c r="EY168" s="580"/>
      <c r="EZ168" s="580"/>
      <c r="FA168" s="580"/>
      <c r="FB168" s="580"/>
      <c r="FC168" s="580"/>
      <c r="FD168" s="580"/>
      <c r="FE168" s="580"/>
      <c r="FF168" s="580"/>
      <c r="FG168" s="580"/>
      <c r="FH168" s="580"/>
    </row>
    <row r="169" spans="1:164" x14ac:dyDescent="0.2">
      <c r="A169" s="180">
        <v>48</v>
      </c>
      <c r="B169" s="406"/>
      <c r="C169" s="407"/>
      <c r="D169" s="406"/>
      <c r="E169" s="407"/>
      <c r="F169" s="409"/>
      <c r="G169" s="409"/>
      <c r="H169" s="406"/>
      <c r="I169" s="407"/>
      <c r="J169" s="409"/>
      <c r="K169" s="409"/>
      <c r="L169" s="406"/>
      <c r="M169" s="407"/>
      <c r="N169" s="409"/>
      <c r="O169" s="409"/>
      <c r="P169" s="406"/>
      <c r="Q169" s="407"/>
      <c r="R169" s="409"/>
      <c r="S169" s="409"/>
      <c r="T169" s="406"/>
      <c r="U169" s="407"/>
      <c r="V169" s="409"/>
      <c r="W169" s="409"/>
      <c r="X169" s="406"/>
      <c r="Y169" s="407"/>
      <c r="Z169" s="409"/>
      <c r="AA169" s="409"/>
      <c r="AB169" s="406"/>
      <c r="AC169" s="407"/>
      <c r="AD169" s="409"/>
      <c r="AE169" s="409"/>
      <c r="AF169" s="406"/>
      <c r="AG169" s="202"/>
      <c r="AH169" s="406"/>
      <c r="AI169" s="415"/>
      <c r="AJ169" s="202"/>
      <c r="AK169" s="407"/>
      <c r="AL169" s="409"/>
      <c r="AM169" s="409"/>
      <c r="AN169" s="406"/>
      <c r="AO169" s="407"/>
      <c r="AP169" s="409"/>
      <c r="AQ169" s="409"/>
      <c r="AR169" s="406"/>
      <c r="AS169" s="407"/>
      <c r="AT169" s="409"/>
      <c r="AU169" s="409"/>
      <c r="AV169" s="406"/>
      <c r="AW169" s="407"/>
      <c r="AX169" s="408">
        <f t="shared" si="86"/>
        <v>1</v>
      </c>
      <c r="AY169" s="408">
        <f>AY110/SUM(AX110:AY110)</f>
        <v>0</v>
      </c>
      <c r="AZ169" s="406"/>
      <c r="BA169" s="407"/>
      <c r="BB169" s="406"/>
      <c r="BC169" s="407"/>
      <c r="BD169" s="197"/>
      <c r="BE169" s="198"/>
      <c r="BF169" s="406"/>
      <c r="BG169" s="202"/>
      <c r="BH169" s="202"/>
      <c r="BI169" s="202"/>
      <c r="BJ169" s="202"/>
      <c r="BK169" s="202"/>
      <c r="BL169" s="406"/>
      <c r="BM169" s="202"/>
      <c r="BN169" s="202"/>
      <c r="BO169" s="202"/>
      <c r="BP169" s="202"/>
      <c r="BQ169" s="407"/>
      <c r="BR169" s="406"/>
      <c r="BS169" s="202"/>
      <c r="BT169" s="202"/>
      <c r="BU169" s="202"/>
      <c r="BV169" s="202"/>
      <c r="BW169" s="407"/>
      <c r="BX169" s="406"/>
      <c r="BY169" s="202"/>
      <c r="BZ169" s="202"/>
      <c r="CA169" s="202"/>
      <c r="CB169" s="202"/>
      <c r="CC169" s="407"/>
      <c r="CD169" s="406" t="str">
        <f t="shared" ref="CD169:CI169" si="238">IFERROR(CD110/SUM($CD110:$CI110),"")</f>
        <v/>
      </c>
      <c r="CE169" s="202" t="str">
        <f t="shared" si="238"/>
        <v/>
      </c>
      <c r="CF169" s="202" t="str">
        <f t="shared" si="238"/>
        <v/>
      </c>
      <c r="CG169" s="202" t="str">
        <f t="shared" si="238"/>
        <v/>
      </c>
      <c r="CH169" s="202" t="str">
        <f t="shared" si="238"/>
        <v/>
      </c>
      <c r="CI169" s="407" t="str">
        <f t="shared" si="238"/>
        <v/>
      </c>
      <c r="CJ169" s="406"/>
      <c r="CK169" s="202"/>
      <c r="CL169" s="202"/>
      <c r="CM169" s="202"/>
      <c r="CN169" s="202"/>
      <c r="CO169" s="407"/>
      <c r="CP169" s="406"/>
      <c r="CQ169" s="202"/>
      <c r="CR169" s="202"/>
      <c r="CS169" s="202"/>
      <c r="CT169" s="202"/>
      <c r="CU169" s="407"/>
      <c r="CV169" s="406"/>
      <c r="CW169" s="202"/>
      <c r="CX169" s="202"/>
      <c r="CY169" s="202"/>
      <c r="CZ169" s="202"/>
      <c r="DA169" s="407"/>
      <c r="DB169" s="406"/>
      <c r="DC169" s="202"/>
      <c r="DD169" s="202"/>
      <c r="DE169" s="202"/>
      <c r="DF169" s="202"/>
      <c r="DG169" s="407"/>
      <c r="DH169" s="406"/>
      <c r="DI169" s="202"/>
      <c r="DJ169" s="202"/>
      <c r="DK169" s="202"/>
      <c r="DL169" s="202"/>
      <c r="DM169" s="407"/>
      <c r="DN169" s="406"/>
      <c r="DO169" s="202"/>
      <c r="DP169" s="202"/>
      <c r="DQ169" s="202"/>
      <c r="DR169" s="202"/>
      <c r="DS169" s="407"/>
      <c r="DT169" s="406"/>
      <c r="DU169" s="202"/>
      <c r="DV169" s="202"/>
      <c r="DW169" s="202"/>
      <c r="DX169" s="202"/>
      <c r="DY169" s="407"/>
      <c r="DZ169" s="406"/>
      <c r="EA169" s="202"/>
      <c r="EB169" s="202"/>
      <c r="EC169" s="202"/>
      <c r="ED169" s="202"/>
      <c r="EE169" s="407"/>
      <c r="EF169" s="196">
        <f t="shared" si="197"/>
        <v>48</v>
      </c>
      <c r="EG169" s="202"/>
      <c r="EH169" s="579">
        <v>48</v>
      </c>
      <c r="EI169" s="603">
        <f t="shared" si="203"/>
        <v>1</v>
      </c>
      <c r="EJ169" s="603">
        <f t="shared" si="204"/>
        <v>0</v>
      </c>
      <c r="EK169" s="579">
        <v>48</v>
      </c>
      <c r="EL169" s="603">
        <f t="shared" ref="EL169:EM174" si="239">AVERAGE(BB169,AZ169,AX169,AV169,AT169,AR169,AP169,AN169,AL169,AJ169,BD169)</f>
        <v>1</v>
      </c>
      <c r="EM169" s="603">
        <f t="shared" si="239"/>
        <v>0</v>
      </c>
      <c r="EN169" s="579">
        <v>48</v>
      </c>
      <c r="EO169" s="603">
        <v>0</v>
      </c>
      <c r="EP169" s="603">
        <v>0</v>
      </c>
      <c r="EQ169" s="580"/>
      <c r="ER169" s="580"/>
      <c r="ES169" s="519"/>
      <c r="ET169" s="519"/>
      <c r="EU169" s="580"/>
      <c r="EV169" s="580"/>
      <c r="EW169" s="580"/>
      <c r="EX169" s="580"/>
      <c r="EY169" s="580"/>
      <c r="EZ169" s="580"/>
      <c r="FA169" s="580"/>
      <c r="FB169" s="580"/>
      <c r="FC169" s="580"/>
      <c r="FD169" s="580"/>
      <c r="FE169" s="580"/>
      <c r="FF169" s="580"/>
      <c r="FG169" s="580"/>
      <c r="FH169" s="580"/>
    </row>
    <row r="170" spans="1:164" x14ac:dyDescent="0.2">
      <c r="A170" s="180">
        <v>49</v>
      </c>
      <c r="B170" s="427"/>
      <c r="C170" s="411"/>
      <c r="D170" s="406"/>
      <c r="E170" s="407"/>
      <c r="F170" s="409"/>
      <c r="G170" s="409"/>
      <c r="H170" s="406"/>
      <c r="I170" s="407"/>
      <c r="J170" s="409"/>
      <c r="K170" s="409"/>
      <c r="L170" s="410">
        <f>L111/SUM(L111:M111)</f>
        <v>0.90625</v>
      </c>
      <c r="M170" s="411">
        <f>M111/SUM(L111:M111)</f>
        <v>9.375E-2</v>
      </c>
      <c r="N170" s="408">
        <f>N111/SUM(N111:O111)</f>
        <v>0.93333333333333335</v>
      </c>
      <c r="O170" s="408">
        <f>O111/SUM(N111:O111)</f>
        <v>6.6666666666666666E-2</v>
      </c>
      <c r="P170" s="406"/>
      <c r="Q170" s="407"/>
      <c r="R170" s="409"/>
      <c r="S170" s="409"/>
      <c r="T170" s="406"/>
      <c r="U170" s="407"/>
      <c r="V170" s="409"/>
      <c r="W170" s="409"/>
      <c r="X170" s="406"/>
      <c r="Y170" s="407"/>
      <c r="Z170" s="409"/>
      <c r="AA170" s="409"/>
      <c r="AB170" s="406"/>
      <c r="AC170" s="407"/>
      <c r="AD170" s="409"/>
      <c r="AE170" s="409"/>
      <c r="AF170" s="406"/>
      <c r="AG170" s="202"/>
      <c r="AH170" s="406"/>
      <c r="AI170" s="415"/>
      <c r="AJ170" s="420">
        <f>AJ111/SUM(AJ111:AK111)</f>
        <v>0.92500000000000004</v>
      </c>
      <c r="AK170" s="411">
        <f>AK111/SUM(AJ111:AK111)</f>
        <v>7.4999999999999997E-2</v>
      </c>
      <c r="AL170" s="409"/>
      <c r="AM170" s="409"/>
      <c r="AN170" s="406"/>
      <c r="AO170" s="407"/>
      <c r="AP170" s="409"/>
      <c r="AQ170" s="409"/>
      <c r="AR170" s="410">
        <f>AR111/SUM(AR111:AS111)</f>
        <v>1</v>
      </c>
      <c r="AS170" s="411">
        <f>AS111/SUM(AR111:AS111)</f>
        <v>0</v>
      </c>
      <c r="AT170" s="408">
        <f>AT111/SUM(AT111:AU111)</f>
        <v>1</v>
      </c>
      <c r="AU170" s="408">
        <f t="shared" si="58"/>
        <v>0</v>
      </c>
      <c r="AV170" s="406"/>
      <c r="AW170" s="407"/>
      <c r="AX170" s="408">
        <f t="shared" si="86"/>
        <v>1</v>
      </c>
      <c r="AY170" s="408">
        <f>AY111/SUM(AX111:AY111)</f>
        <v>0</v>
      </c>
      <c r="AZ170" s="406"/>
      <c r="BA170" s="407"/>
      <c r="BB170" s="406"/>
      <c r="BC170" s="407"/>
      <c r="BD170" s="197"/>
      <c r="BE170" s="198"/>
      <c r="BF170" s="406"/>
      <c r="BG170" s="202"/>
      <c r="BH170" s="202"/>
      <c r="BI170" s="202"/>
      <c r="BJ170" s="202"/>
      <c r="BK170" s="202"/>
      <c r="BL170" s="410">
        <f t="shared" ref="BL170:BQ170" si="240">BL111/SUM($BL111:$BQ111)</f>
        <v>1</v>
      </c>
      <c r="BM170" s="420">
        <f t="shared" si="240"/>
        <v>0</v>
      </c>
      <c r="BN170" s="420">
        <f t="shared" si="240"/>
        <v>0</v>
      </c>
      <c r="BO170" s="420">
        <f t="shared" si="240"/>
        <v>0</v>
      </c>
      <c r="BP170" s="420">
        <f t="shared" si="240"/>
        <v>0</v>
      </c>
      <c r="BQ170" s="411">
        <f t="shared" si="240"/>
        <v>0</v>
      </c>
      <c r="BR170" s="406"/>
      <c r="BS170" s="202"/>
      <c r="BT170" s="202"/>
      <c r="BU170" s="202"/>
      <c r="BV170" s="202"/>
      <c r="BW170" s="407"/>
      <c r="BX170" s="410">
        <f t="shared" ref="BX170:CC171" si="241">BX111/SUM($BX111:$CC111)</f>
        <v>1</v>
      </c>
      <c r="BY170" s="420">
        <f t="shared" si="241"/>
        <v>0</v>
      </c>
      <c r="BZ170" s="420">
        <f t="shared" si="241"/>
        <v>0</v>
      </c>
      <c r="CA170" s="420">
        <f t="shared" si="241"/>
        <v>0</v>
      </c>
      <c r="CB170" s="420">
        <f t="shared" si="241"/>
        <v>0</v>
      </c>
      <c r="CC170" s="411">
        <f t="shared" si="241"/>
        <v>0</v>
      </c>
      <c r="CD170" s="406" t="str">
        <f t="shared" ref="CD170:CI170" si="242">IFERROR(CD111/SUM($CD111:$CI111),"")</f>
        <v/>
      </c>
      <c r="CE170" s="202" t="str">
        <f t="shared" si="242"/>
        <v/>
      </c>
      <c r="CF170" s="202" t="str">
        <f t="shared" si="242"/>
        <v/>
      </c>
      <c r="CG170" s="202" t="str">
        <f t="shared" si="242"/>
        <v/>
      </c>
      <c r="CH170" s="202" t="str">
        <f t="shared" si="242"/>
        <v/>
      </c>
      <c r="CI170" s="407" t="str">
        <f t="shared" si="242"/>
        <v/>
      </c>
      <c r="CJ170" s="406"/>
      <c r="CK170" s="202"/>
      <c r="CL170" s="202"/>
      <c r="CM170" s="202"/>
      <c r="CN170" s="202"/>
      <c r="CO170" s="407"/>
      <c r="CP170" s="406"/>
      <c r="CQ170" s="202"/>
      <c r="CR170" s="202"/>
      <c r="CS170" s="202"/>
      <c r="CT170" s="202"/>
      <c r="CU170" s="407"/>
      <c r="CV170" s="406"/>
      <c r="CW170" s="202"/>
      <c r="CX170" s="202"/>
      <c r="CY170" s="202"/>
      <c r="CZ170" s="202"/>
      <c r="DA170" s="407"/>
      <c r="DB170" s="406"/>
      <c r="DC170" s="202"/>
      <c r="DD170" s="202"/>
      <c r="DE170" s="202"/>
      <c r="DF170" s="202"/>
      <c r="DG170" s="407"/>
      <c r="DH170" s="406"/>
      <c r="DI170" s="202"/>
      <c r="DJ170" s="202"/>
      <c r="DK170" s="202"/>
      <c r="DL170" s="202"/>
      <c r="DM170" s="407"/>
      <c r="DN170" s="406"/>
      <c r="DO170" s="202"/>
      <c r="DP170" s="202"/>
      <c r="DQ170" s="202"/>
      <c r="DR170" s="202"/>
      <c r="DS170" s="407"/>
      <c r="DT170" s="406"/>
      <c r="DU170" s="202"/>
      <c r="DV170" s="202"/>
      <c r="DW170" s="202"/>
      <c r="DX170" s="202"/>
      <c r="DY170" s="407"/>
      <c r="DZ170" s="406"/>
      <c r="EA170" s="202"/>
      <c r="EB170" s="202"/>
      <c r="EC170" s="202"/>
      <c r="ED170" s="202"/>
      <c r="EE170" s="407"/>
      <c r="EF170" s="196">
        <f t="shared" si="197"/>
        <v>49</v>
      </c>
      <c r="EG170" s="202"/>
      <c r="EH170" s="579">
        <v>49</v>
      </c>
      <c r="EI170" s="603">
        <f t="shared" si="203"/>
        <v>0.96076388888888886</v>
      </c>
      <c r="EJ170" s="603">
        <f t="shared" si="204"/>
        <v>3.923611111111111E-2</v>
      </c>
      <c r="EK170" s="579">
        <v>49</v>
      </c>
      <c r="EL170" s="603">
        <f t="shared" si="239"/>
        <v>0.98124999999999996</v>
      </c>
      <c r="EM170" s="603">
        <f t="shared" si="239"/>
        <v>1.8749999999999999E-2</v>
      </c>
      <c r="EN170" s="579">
        <v>49</v>
      </c>
      <c r="EO170" s="603">
        <f t="shared" ref="EO170:EP174" si="243">AVERAGE(D170,F170,H170,J170,L170,N170,P170,R170,T170,V170,X170,Z170,AB170,AD170,AF170,AH170)</f>
        <v>0.91979166666666667</v>
      </c>
      <c r="EP170" s="603">
        <f t="shared" si="243"/>
        <v>8.0208333333333326E-2</v>
      </c>
      <c r="EQ170" s="580"/>
      <c r="ER170" s="580"/>
      <c r="ES170" s="519"/>
      <c r="ET170" s="519"/>
      <c r="EU170" s="580"/>
      <c r="EV170" s="580"/>
      <c r="EW170" s="580"/>
      <c r="EX170" s="580"/>
      <c r="EY170" s="580"/>
      <c r="EZ170" s="580"/>
      <c r="FA170" s="580"/>
      <c r="FB170" s="580"/>
      <c r="FC170" s="580"/>
      <c r="FD170" s="580"/>
      <c r="FE170" s="580"/>
      <c r="FF170" s="580"/>
      <c r="FG170" s="580"/>
      <c r="FH170" s="580"/>
    </row>
    <row r="171" spans="1:164" x14ac:dyDescent="0.2">
      <c r="A171" s="180">
        <v>50</v>
      </c>
      <c r="B171" s="406"/>
      <c r="C171" s="407"/>
      <c r="D171" s="406"/>
      <c r="E171" s="407"/>
      <c r="F171" s="408">
        <f>F112/SUM(F112:G112)</f>
        <v>0.98333333333333328</v>
      </c>
      <c r="G171" s="408">
        <f>G112/SUM(F112:G112)</f>
        <v>1.6666666666666666E-2</v>
      </c>
      <c r="H171" s="406"/>
      <c r="I171" s="407"/>
      <c r="J171" s="408">
        <f>J112/SUM(J112:K112)</f>
        <v>0.95327102803738317</v>
      </c>
      <c r="K171" s="408">
        <f>K112/SUM(J112:K112)</f>
        <v>4.6728971962616821E-2</v>
      </c>
      <c r="L171" s="410">
        <f>L112/SUM(L112:M112)</f>
        <v>0.96062992125984248</v>
      </c>
      <c r="M171" s="411">
        <f>M112/SUM(L112:M112)</f>
        <v>3.937007874015748E-2</v>
      </c>
      <c r="N171" s="408">
        <f>N112/SUM(N112:O112)</f>
        <v>0.93333333333333335</v>
      </c>
      <c r="O171" s="408">
        <f>O112/SUM(N112:O112)</f>
        <v>6.6666666666666666E-2</v>
      </c>
      <c r="P171" s="406"/>
      <c r="Q171" s="407"/>
      <c r="R171" s="408">
        <f>R112/SUM(R112:S112)</f>
        <v>1</v>
      </c>
      <c r="S171" s="408">
        <f>S112/SUM(R112:S112)</f>
        <v>0</v>
      </c>
      <c r="T171" s="410">
        <f>T112/SUM(T112:U112)</f>
        <v>1</v>
      </c>
      <c r="U171" s="411">
        <f>U112/SUM(T112:U112)</f>
        <v>0</v>
      </c>
      <c r="V171" s="409"/>
      <c r="W171" s="409"/>
      <c r="X171" s="410">
        <f>X112/SUM(X112:Y112)</f>
        <v>1</v>
      </c>
      <c r="Y171" s="411">
        <f>Y112/SUM(X112:Y112)</f>
        <v>0</v>
      </c>
      <c r="Z171" s="408">
        <f>Z112/SUM(Z112:AA112)</f>
        <v>1</v>
      </c>
      <c r="AA171" s="408">
        <f>AA112/SUM(Z112:AA112)</f>
        <v>0</v>
      </c>
      <c r="AB171" s="406"/>
      <c r="AC171" s="407"/>
      <c r="AD171" s="409"/>
      <c r="AE171" s="409"/>
      <c r="AF171" s="406"/>
      <c r="AG171" s="202"/>
      <c r="AH171" s="406"/>
      <c r="AI171" s="415"/>
      <c r="AJ171" s="420">
        <f>AJ112/SUM(AJ112:AK112)</f>
        <v>1</v>
      </c>
      <c r="AK171" s="411">
        <f>AK112/SUM(AJ112:AK112)</f>
        <v>0</v>
      </c>
      <c r="AL171" s="409"/>
      <c r="AM171" s="409"/>
      <c r="AN171" s="410">
        <f>AN112/SUM(AN112:AO112)</f>
        <v>1</v>
      </c>
      <c r="AO171" s="411">
        <f>AO112/SUM(AN112:AO112)</f>
        <v>0</v>
      </c>
      <c r="AP171" s="408">
        <f>AP112/SUM(AP112:AQ112)</f>
        <v>1</v>
      </c>
      <c r="AQ171" s="408">
        <f>AQ112/SUM(AP112:AQ112)</f>
        <v>0</v>
      </c>
      <c r="AR171" s="410">
        <f>AR112/SUM(AR112:AS112)</f>
        <v>1</v>
      </c>
      <c r="AS171" s="411">
        <f>AS112/SUM(AR112:AS112)</f>
        <v>0</v>
      </c>
      <c r="AT171" s="408">
        <f>AT112/SUM(AT112:AU112)</f>
        <v>1</v>
      </c>
      <c r="AU171" s="408">
        <f t="shared" si="58"/>
        <v>0</v>
      </c>
      <c r="AV171" s="410">
        <f>AV112/SUM(AV112:AW112)</f>
        <v>1</v>
      </c>
      <c r="AW171" s="411">
        <f>AW112/SUM(AV112:AW112)</f>
        <v>0</v>
      </c>
      <c r="AX171" s="409"/>
      <c r="AY171" s="409"/>
      <c r="AZ171" s="410">
        <f>AZ112/SUM(AZ112:BA112)</f>
        <v>0.88235294117647056</v>
      </c>
      <c r="BA171" s="411">
        <f>BA112/SUM(AZ112:BA112)</f>
        <v>0.11764705882352941</v>
      </c>
      <c r="BB171" s="406"/>
      <c r="BC171" s="407"/>
      <c r="BD171" s="197"/>
      <c r="BE171" s="198"/>
      <c r="BF171" s="410">
        <f t="shared" ref="BF171:BK173" si="244">BF112/SUM($BF112:$BK112)</f>
        <v>0.36363636363636365</v>
      </c>
      <c r="BG171" s="420">
        <f t="shared" si="244"/>
        <v>0</v>
      </c>
      <c r="BH171" s="420">
        <f t="shared" si="244"/>
        <v>0</v>
      </c>
      <c r="BI171" s="420">
        <f t="shared" si="244"/>
        <v>0.59090909090909094</v>
      </c>
      <c r="BJ171" s="420">
        <f t="shared" si="244"/>
        <v>0</v>
      </c>
      <c r="BK171" s="420">
        <f t="shared" si="244"/>
        <v>4.5454545454545456E-2</v>
      </c>
      <c r="BL171" s="406"/>
      <c r="BM171" s="202"/>
      <c r="BN171" s="202"/>
      <c r="BO171" s="202"/>
      <c r="BP171" s="202"/>
      <c r="BQ171" s="407"/>
      <c r="BR171" s="410">
        <f t="shared" ref="BR171:BW171" si="245">BR112/SUM($BR112:$BW112)</f>
        <v>1</v>
      </c>
      <c r="BS171" s="420">
        <f t="shared" si="245"/>
        <v>0</v>
      </c>
      <c r="BT171" s="420">
        <f t="shared" si="245"/>
        <v>0</v>
      </c>
      <c r="BU171" s="420">
        <f t="shared" si="245"/>
        <v>0</v>
      </c>
      <c r="BV171" s="420">
        <f t="shared" si="245"/>
        <v>0</v>
      </c>
      <c r="BW171" s="411">
        <f t="shared" si="245"/>
        <v>0</v>
      </c>
      <c r="BX171" s="410">
        <f t="shared" si="241"/>
        <v>1</v>
      </c>
      <c r="BY171" s="420">
        <f t="shared" si="241"/>
        <v>0</v>
      </c>
      <c r="BZ171" s="420">
        <f t="shared" si="241"/>
        <v>0</v>
      </c>
      <c r="CA171" s="420">
        <f t="shared" si="241"/>
        <v>0</v>
      </c>
      <c r="CB171" s="420">
        <f t="shared" si="241"/>
        <v>0</v>
      </c>
      <c r="CC171" s="411">
        <f t="shared" si="241"/>
        <v>0</v>
      </c>
      <c r="CD171" s="406" t="str">
        <f t="shared" ref="CD171:CI171" si="246">IFERROR(CD112/SUM($CD112:$CI112),"")</f>
        <v/>
      </c>
      <c r="CE171" s="202" t="str">
        <f t="shared" si="246"/>
        <v/>
      </c>
      <c r="CF171" s="202" t="str">
        <f t="shared" si="246"/>
        <v/>
      </c>
      <c r="CG171" s="202" t="str">
        <f t="shared" si="246"/>
        <v/>
      </c>
      <c r="CH171" s="202" t="str">
        <f t="shared" si="246"/>
        <v/>
      </c>
      <c r="CI171" s="407" t="str">
        <f t="shared" si="246"/>
        <v/>
      </c>
      <c r="CJ171" s="406"/>
      <c r="CK171" s="202"/>
      <c r="CL171" s="202"/>
      <c r="CM171" s="202"/>
      <c r="CN171" s="202"/>
      <c r="CO171" s="407"/>
      <c r="CP171" s="406"/>
      <c r="CQ171" s="202"/>
      <c r="CR171" s="202"/>
      <c r="CS171" s="202"/>
      <c r="CT171" s="202"/>
      <c r="CU171" s="407"/>
      <c r="CV171" s="406"/>
      <c r="CW171" s="202"/>
      <c r="CX171" s="202"/>
      <c r="CY171" s="202"/>
      <c r="CZ171" s="202"/>
      <c r="DA171" s="407"/>
      <c r="DB171" s="406"/>
      <c r="DC171" s="202"/>
      <c r="DD171" s="202"/>
      <c r="DE171" s="202"/>
      <c r="DF171" s="202"/>
      <c r="DG171" s="407"/>
      <c r="DH171" s="406"/>
      <c r="DI171" s="202"/>
      <c r="DJ171" s="202"/>
      <c r="DK171" s="202"/>
      <c r="DL171" s="202"/>
      <c r="DM171" s="407"/>
      <c r="DN171" s="406"/>
      <c r="DO171" s="202"/>
      <c r="DP171" s="202"/>
      <c r="DQ171" s="202"/>
      <c r="DR171" s="202"/>
      <c r="DS171" s="407"/>
      <c r="DT171" s="406"/>
      <c r="DU171" s="202"/>
      <c r="DV171" s="202"/>
      <c r="DW171" s="202"/>
      <c r="DX171" s="202"/>
      <c r="DY171" s="407"/>
      <c r="DZ171" s="406"/>
      <c r="EA171" s="202"/>
      <c r="EB171" s="202"/>
      <c r="EC171" s="202"/>
      <c r="ED171" s="202"/>
      <c r="EE171" s="407"/>
      <c r="EF171" s="196">
        <f t="shared" si="197"/>
        <v>50</v>
      </c>
      <c r="EG171" s="202"/>
      <c r="EH171" s="579">
        <v>50</v>
      </c>
      <c r="EI171" s="603">
        <f t="shared" si="203"/>
        <v>0.98086137047602429</v>
      </c>
      <c r="EJ171" s="603">
        <f t="shared" si="204"/>
        <v>1.9138629523975804E-2</v>
      </c>
      <c r="EK171" s="579">
        <v>50</v>
      </c>
      <c r="EL171" s="603">
        <f t="shared" si="239"/>
        <v>0.98319327731092443</v>
      </c>
      <c r="EM171" s="603">
        <f t="shared" si="239"/>
        <v>1.680672268907563E-2</v>
      </c>
      <c r="EN171" s="579">
        <v>50</v>
      </c>
      <c r="EO171" s="603">
        <f t="shared" si="243"/>
        <v>0.97882095199548658</v>
      </c>
      <c r="EP171" s="603">
        <f t="shared" si="243"/>
        <v>2.1179048004513455E-2</v>
      </c>
      <c r="EQ171" s="580"/>
      <c r="ER171" s="580"/>
      <c r="ES171" s="519"/>
      <c r="ET171" s="519"/>
      <c r="EU171" s="580"/>
      <c r="EV171" s="580"/>
      <c r="EW171" s="580"/>
      <c r="EX171" s="580"/>
      <c r="EY171" s="580"/>
      <c r="EZ171" s="580"/>
      <c r="FA171" s="580"/>
      <c r="FB171" s="580"/>
      <c r="FC171" s="580"/>
      <c r="FD171" s="580"/>
      <c r="FE171" s="580"/>
      <c r="FF171" s="580"/>
      <c r="FG171" s="580"/>
      <c r="FH171" s="580"/>
    </row>
    <row r="172" spans="1:164" x14ac:dyDescent="0.2">
      <c r="A172" s="180">
        <v>51</v>
      </c>
      <c r="B172" s="427"/>
      <c r="C172" s="411"/>
      <c r="D172" s="410">
        <f>D113/SUM(D113:E113)</f>
        <v>0.98013245033112584</v>
      </c>
      <c r="E172" s="411">
        <f>E113/SUM(D113:E113)</f>
        <v>1.9867549668874173E-2</v>
      </c>
      <c r="F172" s="408">
        <f>F113/SUM(F113:G113)</f>
        <v>0.90517241379310343</v>
      </c>
      <c r="G172" s="408">
        <f>G113/SUM(F113:G113)</f>
        <v>9.4827586206896547E-2</v>
      </c>
      <c r="H172" s="410">
        <f>H113/SUM(H113:I113)</f>
        <v>0.94444444444444442</v>
      </c>
      <c r="I172" s="411">
        <f>I113/SUM(H113:I113)</f>
        <v>5.5555555555555552E-2</v>
      </c>
      <c r="J172" s="408">
        <f>J113/SUM(J113:K113)</f>
        <v>0.97354497354497349</v>
      </c>
      <c r="K172" s="408">
        <f>K113/SUM(J113:K113)</f>
        <v>2.6455026455026454E-2</v>
      </c>
      <c r="L172" s="410">
        <f>L113/SUM(L113:M113)</f>
        <v>0.96563573883161513</v>
      </c>
      <c r="M172" s="411">
        <f>M113/SUM(L113:M113)</f>
        <v>3.4364261168384883E-2</v>
      </c>
      <c r="N172" s="408">
        <f>N113/SUM(N113:O113)</f>
        <v>0.87755102040816324</v>
      </c>
      <c r="O172" s="408">
        <f>O113/SUM(N113:O113)</f>
        <v>0.12244897959183673</v>
      </c>
      <c r="P172" s="410">
        <f>P113/SUM(P113:Q113)</f>
        <v>0.98</v>
      </c>
      <c r="Q172" s="411">
        <f>Q113/SUM(P113:Q113)</f>
        <v>0.02</v>
      </c>
      <c r="R172" s="408">
        <f>R113/SUM(R113:S113)</f>
        <v>1</v>
      </c>
      <c r="S172" s="408">
        <f>S113/SUM(R113:S113)</f>
        <v>0</v>
      </c>
      <c r="T172" s="410">
        <f>T113/SUM(T113:U113)</f>
        <v>1</v>
      </c>
      <c r="U172" s="411">
        <f>U113/SUM(T113:U113)</f>
        <v>0</v>
      </c>
      <c r="V172" s="408">
        <f>V113/SUM(V113:W113)</f>
        <v>0.94285714285714284</v>
      </c>
      <c r="W172" s="408">
        <f>W113/SUM(V113:W113)</f>
        <v>5.7142857142857141E-2</v>
      </c>
      <c r="X172" s="410">
        <f>X113/SUM(X113:Y113)</f>
        <v>1</v>
      </c>
      <c r="Y172" s="411">
        <f>Y113/SUM(X113:Y113)</f>
        <v>0</v>
      </c>
      <c r="Z172" s="409"/>
      <c r="AA172" s="409"/>
      <c r="AB172" s="410">
        <f>AB113/SUM(AB113:AC113)</f>
        <v>0.5</v>
      </c>
      <c r="AC172" s="411">
        <f>AC113/SUM(AB113:AC113)</f>
        <v>0.5</v>
      </c>
      <c r="AD172" s="409"/>
      <c r="AE172" s="409"/>
      <c r="AF172" s="406"/>
      <c r="AG172" s="202"/>
      <c r="AH172" s="406"/>
      <c r="AI172" s="415"/>
      <c r="AJ172" s="202"/>
      <c r="AK172" s="407"/>
      <c r="AL172" s="408">
        <f>AL113/SUM(AL113:AM113)</f>
        <v>0.44444444444444442</v>
      </c>
      <c r="AM172" s="408">
        <f>AM113/SUM(AL113:AM113)</f>
        <v>0.55555555555555558</v>
      </c>
      <c r="AN172" s="406"/>
      <c r="AO172" s="407"/>
      <c r="AP172" s="408">
        <f>AP113/SUM(AP113:AQ113)</f>
        <v>0.94736842105263153</v>
      </c>
      <c r="AQ172" s="408">
        <f>AQ113/SUM(AP113:AQ113)</f>
        <v>5.2631578947368418E-2</v>
      </c>
      <c r="AR172" s="406"/>
      <c r="AS172" s="407"/>
      <c r="AT172" s="408">
        <f>AT113/SUM(AT113:AU113)</f>
        <v>1</v>
      </c>
      <c r="AU172" s="408">
        <f t="shared" si="58"/>
        <v>0</v>
      </c>
      <c r="AV172" s="406"/>
      <c r="AW172" s="407"/>
      <c r="AX172" s="408">
        <f t="shared" si="86"/>
        <v>1</v>
      </c>
      <c r="AY172" s="408">
        <f>AY113/SUM(AX113:AY113)</f>
        <v>0</v>
      </c>
      <c r="AZ172" s="410">
        <f>AZ113/SUM(AZ113:BA113)</f>
        <v>0.95</v>
      </c>
      <c r="BA172" s="411">
        <f>BA113/SUM(AZ113:BA113)</f>
        <v>0.05</v>
      </c>
      <c r="BB172" s="406"/>
      <c r="BC172" s="407"/>
      <c r="BD172" s="410">
        <f>BD113/SUM(BD113:BE113)</f>
        <v>1</v>
      </c>
      <c r="BE172" s="411">
        <f>BE113/SUM(BD113:BE113)</f>
        <v>0</v>
      </c>
      <c r="BF172" s="410">
        <f t="shared" si="244"/>
        <v>0.83076923076923082</v>
      </c>
      <c r="BG172" s="420">
        <f t="shared" si="244"/>
        <v>0</v>
      </c>
      <c r="BH172" s="420">
        <f t="shared" si="244"/>
        <v>1.5384615384615385E-2</v>
      </c>
      <c r="BI172" s="420">
        <f t="shared" si="244"/>
        <v>0.15384615384615385</v>
      </c>
      <c r="BJ172" s="420">
        <f t="shared" si="244"/>
        <v>0</v>
      </c>
      <c r="BK172" s="420">
        <f t="shared" si="244"/>
        <v>0</v>
      </c>
      <c r="BL172" s="410">
        <f t="shared" ref="BL172:BQ172" si="247">BL113/SUM($BL113:$BQ113)</f>
        <v>1</v>
      </c>
      <c r="BM172" s="420">
        <f t="shared" si="247"/>
        <v>0</v>
      </c>
      <c r="BN172" s="420">
        <f t="shared" si="247"/>
        <v>0</v>
      </c>
      <c r="BO172" s="420">
        <f t="shared" si="247"/>
        <v>0</v>
      </c>
      <c r="BP172" s="420">
        <f t="shared" si="247"/>
        <v>0</v>
      </c>
      <c r="BQ172" s="411">
        <f t="shared" si="247"/>
        <v>0</v>
      </c>
      <c r="BR172" s="410">
        <f t="shared" ref="BR172:BW172" si="248">BR113/SUM($BR113:$BW113)</f>
        <v>0.63636363636363635</v>
      </c>
      <c r="BS172" s="420">
        <f t="shared" si="248"/>
        <v>0</v>
      </c>
      <c r="BT172" s="420">
        <f t="shared" si="248"/>
        <v>0</v>
      </c>
      <c r="BU172" s="420">
        <f t="shared" si="248"/>
        <v>0.36363636363636365</v>
      </c>
      <c r="BV172" s="420">
        <f t="shared" si="248"/>
        <v>0</v>
      </c>
      <c r="BW172" s="411">
        <f t="shared" si="248"/>
        <v>0</v>
      </c>
      <c r="BX172" s="406"/>
      <c r="BY172" s="202"/>
      <c r="BZ172" s="202"/>
      <c r="CA172" s="202"/>
      <c r="CB172" s="202"/>
      <c r="CC172" s="407"/>
      <c r="CD172" s="406" t="str">
        <f t="shared" ref="CD172:CI172" si="249">IFERROR(CD113/SUM($CD113:$CI113),"")</f>
        <v/>
      </c>
      <c r="CE172" s="202" t="str">
        <f t="shared" si="249"/>
        <v/>
      </c>
      <c r="CF172" s="202" t="str">
        <f t="shared" si="249"/>
        <v/>
      </c>
      <c r="CG172" s="202" t="str">
        <f t="shared" si="249"/>
        <v/>
      </c>
      <c r="CH172" s="202" t="str">
        <f t="shared" si="249"/>
        <v/>
      </c>
      <c r="CI172" s="407" t="str">
        <f t="shared" si="249"/>
        <v/>
      </c>
      <c r="CJ172" s="406"/>
      <c r="CK172" s="202"/>
      <c r="CL172" s="202"/>
      <c r="CM172" s="202"/>
      <c r="CN172" s="202"/>
      <c r="CO172" s="407"/>
      <c r="CP172" s="406"/>
      <c r="CQ172" s="202"/>
      <c r="CR172" s="202"/>
      <c r="CS172" s="202"/>
      <c r="CT172" s="202"/>
      <c r="CU172" s="407"/>
      <c r="CV172" s="406"/>
      <c r="CW172" s="202"/>
      <c r="CX172" s="202"/>
      <c r="CY172" s="202"/>
      <c r="CZ172" s="202"/>
      <c r="DA172" s="407"/>
      <c r="DB172" s="406"/>
      <c r="DC172" s="202"/>
      <c r="DD172" s="202"/>
      <c r="DE172" s="202"/>
      <c r="DF172" s="202"/>
      <c r="DG172" s="407"/>
      <c r="DH172" s="406"/>
      <c r="DI172" s="202"/>
      <c r="DJ172" s="202"/>
      <c r="DK172" s="202"/>
      <c r="DL172" s="202"/>
      <c r="DM172" s="407"/>
      <c r="DN172" s="406"/>
      <c r="DO172" s="202"/>
      <c r="DP172" s="202"/>
      <c r="DQ172" s="202"/>
      <c r="DR172" s="202"/>
      <c r="DS172" s="407"/>
      <c r="DT172" s="406"/>
      <c r="DU172" s="202"/>
      <c r="DV172" s="202"/>
      <c r="DW172" s="202"/>
      <c r="DX172" s="202"/>
      <c r="DY172" s="407"/>
      <c r="DZ172" s="406"/>
      <c r="EA172" s="202"/>
      <c r="EB172" s="202"/>
      <c r="EC172" s="202"/>
      <c r="ED172" s="202"/>
      <c r="EE172" s="407"/>
      <c r="EF172" s="196">
        <f t="shared" si="197"/>
        <v>51</v>
      </c>
      <c r="EG172" s="202"/>
      <c r="EH172" s="579">
        <v>51</v>
      </c>
      <c r="EI172" s="603">
        <f t="shared" si="203"/>
        <v>0.91173061387264687</v>
      </c>
      <c r="EJ172" s="603">
        <f t="shared" si="204"/>
        <v>8.8269386127353092E-2</v>
      </c>
      <c r="EK172" s="579">
        <v>51</v>
      </c>
      <c r="EL172" s="603">
        <f t="shared" si="239"/>
        <v>0.89030214424951259</v>
      </c>
      <c r="EM172" s="603">
        <f t="shared" si="239"/>
        <v>0.10969785575048734</v>
      </c>
      <c r="EN172" s="579">
        <v>51</v>
      </c>
      <c r="EO172" s="603">
        <f t="shared" si="243"/>
        <v>0.92244484868421406</v>
      </c>
      <c r="EP172" s="603">
        <f t="shared" si="243"/>
        <v>7.7555151315785956E-2</v>
      </c>
      <c r="EQ172" s="580"/>
      <c r="ER172" s="580"/>
      <c r="ES172" s="519"/>
      <c r="ET172" s="519"/>
      <c r="EU172" s="580"/>
      <c r="EV172" s="580"/>
      <c r="EW172" s="580"/>
      <c r="EX172" s="580"/>
      <c r="EY172" s="580"/>
      <c r="EZ172" s="580"/>
      <c r="FA172" s="580"/>
      <c r="FB172" s="580"/>
      <c r="FC172" s="580"/>
      <c r="FD172" s="580"/>
      <c r="FE172" s="580"/>
      <c r="FF172" s="580"/>
      <c r="FG172" s="580"/>
      <c r="FH172" s="580"/>
    </row>
    <row r="173" spans="1:164" x14ac:dyDescent="0.2">
      <c r="A173" s="180">
        <v>52</v>
      </c>
      <c r="B173" s="427"/>
      <c r="C173" s="411"/>
      <c r="D173" s="410">
        <f>D114/SUM(D114:E114)</f>
        <v>0.98611111111111116</v>
      </c>
      <c r="E173" s="411">
        <f>E114/SUM(D114:E114)</f>
        <v>1.3888888888888888E-2</v>
      </c>
      <c r="F173" s="408">
        <f>F114/SUM(F114:G114)</f>
        <v>0.9285714285714286</v>
      </c>
      <c r="G173" s="408">
        <f>G114/SUM(F114:G114)</f>
        <v>7.1428571428571425E-2</v>
      </c>
      <c r="H173" s="410">
        <f>H114/SUM(H114:I114)</f>
        <v>0.90434782608695652</v>
      </c>
      <c r="I173" s="411">
        <f>I114/SUM(H114:I114)</f>
        <v>9.5652173913043481E-2</v>
      </c>
      <c r="J173" s="408">
        <f>J114/SUM(J114:K114)</f>
        <v>0.92227979274611394</v>
      </c>
      <c r="K173" s="408">
        <f>K114/SUM(J114:K114)</f>
        <v>7.7720207253886009E-2</v>
      </c>
      <c r="L173" s="410">
        <f>L114/SUM(L114:M114)</f>
        <v>0.90163934426229508</v>
      </c>
      <c r="M173" s="411">
        <f>M114/SUM(L114:M114)</f>
        <v>9.8360655737704916E-2</v>
      </c>
      <c r="N173" s="408">
        <f>N114/SUM(N114:O114)</f>
        <v>0.77966101694915257</v>
      </c>
      <c r="O173" s="408">
        <f>O114/SUM(N114:O114)</f>
        <v>0.22033898305084745</v>
      </c>
      <c r="P173" s="410">
        <f>P114/SUM(P114:Q114)</f>
        <v>1</v>
      </c>
      <c r="Q173" s="411">
        <f>Q114/SUM(P114:Q114)</f>
        <v>0</v>
      </c>
      <c r="R173" s="408">
        <f>R114/SUM(R114:S114)</f>
        <v>0.95454545454545459</v>
      </c>
      <c r="S173" s="408">
        <f>S114/SUM(R114:S114)</f>
        <v>4.5454545454545456E-2</v>
      </c>
      <c r="T173" s="406"/>
      <c r="U173" s="407"/>
      <c r="V173" s="408">
        <f>V114/SUM(V114:W114)</f>
        <v>0.96153846153846156</v>
      </c>
      <c r="W173" s="408">
        <f>W114/SUM(V114:W114)</f>
        <v>3.8461538461538464E-2</v>
      </c>
      <c r="X173" s="406"/>
      <c r="Y173" s="407"/>
      <c r="Z173" s="409"/>
      <c r="AA173" s="409"/>
      <c r="AB173" s="406"/>
      <c r="AC173" s="407"/>
      <c r="AD173" s="409"/>
      <c r="AE173" s="409"/>
      <c r="AF173" s="406"/>
      <c r="AG173" s="202"/>
      <c r="AH173" s="406"/>
      <c r="AI173" s="415"/>
      <c r="AJ173" s="202"/>
      <c r="AK173" s="407"/>
      <c r="AL173" s="409"/>
      <c r="AM173" s="409"/>
      <c r="AN173" s="406"/>
      <c r="AO173" s="407"/>
      <c r="AP173" s="408">
        <f>AP114/SUM(AP114:AQ114)</f>
        <v>0.96875</v>
      </c>
      <c r="AQ173" s="408">
        <f>AQ114/SUM(AP114:AQ114)</f>
        <v>3.125E-2</v>
      </c>
      <c r="AR173" s="406"/>
      <c r="AS173" s="407"/>
      <c r="AT173" s="408">
        <f>AT114/SUM(AT114:AU114)</f>
        <v>1</v>
      </c>
      <c r="AU173" s="408">
        <f t="shared" si="58"/>
        <v>0</v>
      </c>
      <c r="AV173" s="406"/>
      <c r="AW173" s="407"/>
      <c r="AX173" s="408">
        <f t="shared" si="86"/>
        <v>0.95121951219512191</v>
      </c>
      <c r="AY173" s="408">
        <f>AY114/SUM(AX114:AY114)</f>
        <v>4.878048780487805E-2</v>
      </c>
      <c r="AZ173" s="410">
        <f>AZ114/SUM(AZ114:BA114)</f>
        <v>0.93846153846153846</v>
      </c>
      <c r="BA173" s="411">
        <f>BA114/SUM(AZ114:BA114)</f>
        <v>6.1538461538461542E-2</v>
      </c>
      <c r="BB173" s="410">
        <f>BB114/SUM(BB114:BC114)</f>
        <v>0.83333333333333337</v>
      </c>
      <c r="BC173" s="411">
        <f>BC114/SUM(BB114:BC114)</f>
        <v>0.16666666666666666</v>
      </c>
      <c r="BD173" s="410">
        <f>BD114/SUM(BD114:BE114)</f>
        <v>1</v>
      </c>
      <c r="BE173" s="411">
        <f>BE114/SUM(BD114:BE114)</f>
        <v>0</v>
      </c>
      <c r="BF173" s="410">
        <f t="shared" si="244"/>
        <v>0.92105263157894735</v>
      </c>
      <c r="BG173" s="420">
        <f t="shared" si="244"/>
        <v>0</v>
      </c>
      <c r="BH173" s="420">
        <f t="shared" si="244"/>
        <v>5.2631578947368418E-2</v>
      </c>
      <c r="BI173" s="420">
        <f t="shared" si="244"/>
        <v>2.6315789473684209E-2</v>
      </c>
      <c r="BJ173" s="420">
        <f t="shared" si="244"/>
        <v>0</v>
      </c>
      <c r="BK173" s="420">
        <f t="shared" si="244"/>
        <v>0</v>
      </c>
      <c r="BL173" s="406"/>
      <c r="BM173" s="202"/>
      <c r="BN173" s="202"/>
      <c r="BO173" s="202"/>
      <c r="BP173" s="202"/>
      <c r="BQ173" s="407"/>
      <c r="BR173" s="410">
        <f t="shared" ref="BR173:BW173" si="250">BR114/SUM($BR114:$BW114)</f>
        <v>0.93333333333333335</v>
      </c>
      <c r="BS173" s="420">
        <f t="shared" si="250"/>
        <v>0</v>
      </c>
      <c r="BT173" s="420">
        <f t="shared" si="250"/>
        <v>0</v>
      </c>
      <c r="BU173" s="420">
        <f t="shared" si="250"/>
        <v>6.6666666666666666E-2</v>
      </c>
      <c r="BV173" s="420">
        <f t="shared" si="250"/>
        <v>0</v>
      </c>
      <c r="BW173" s="411">
        <f t="shared" si="250"/>
        <v>0</v>
      </c>
      <c r="BX173" s="406"/>
      <c r="BY173" s="202"/>
      <c r="BZ173" s="202"/>
      <c r="CA173" s="202"/>
      <c r="CB173" s="202"/>
      <c r="CC173" s="407"/>
      <c r="CD173" s="406" t="str">
        <f t="shared" ref="CD173:CI173" si="251">IFERROR(CD114/SUM($CD114:$CI114),"")</f>
        <v/>
      </c>
      <c r="CE173" s="202" t="str">
        <f t="shared" si="251"/>
        <v/>
      </c>
      <c r="CF173" s="202" t="str">
        <f t="shared" si="251"/>
        <v/>
      </c>
      <c r="CG173" s="202" t="str">
        <f t="shared" si="251"/>
        <v/>
      </c>
      <c r="CH173" s="202" t="str">
        <f t="shared" si="251"/>
        <v/>
      </c>
      <c r="CI173" s="407" t="str">
        <f t="shared" si="251"/>
        <v/>
      </c>
      <c r="CJ173" s="406"/>
      <c r="CK173" s="202"/>
      <c r="CL173" s="202"/>
      <c r="CM173" s="202"/>
      <c r="CN173" s="202"/>
      <c r="CO173" s="407"/>
      <c r="CP173" s="406"/>
      <c r="CQ173" s="202"/>
      <c r="CR173" s="202"/>
      <c r="CS173" s="202"/>
      <c r="CT173" s="202"/>
      <c r="CU173" s="407"/>
      <c r="CV173" s="406"/>
      <c r="CW173" s="202"/>
      <c r="CX173" s="202"/>
      <c r="CY173" s="202"/>
      <c r="CZ173" s="202"/>
      <c r="DA173" s="407"/>
      <c r="DB173" s="406"/>
      <c r="DC173" s="202"/>
      <c r="DD173" s="202"/>
      <c r="DE173" s="202"/>
      <c r="DF173" s="202"/>
      <c r="DG173" s="407"/>
      <c r="DH173" s="406"/>
      <c r="DI173" s="202"/>
      <c r="DJ173" s="202"/>
      <c r="DK173" s="202"/>
      <c r="DL173" s="202"/>
      <c r="DM173" s="407"/>
      <c r="DN173" s="406"/>
      <c r="DO173" s="202"/>
      <c r="DP173" s="202"/>
      <c r="DQ173" s="202"/>
      <c r="DR173" s="202"/>
      <c r="DS173" s="407"/>
      <c r="DT173" s="406"/>
      <c r="DU173" s="202"/>
      <c r="DV173" s="202"/>
      <c r="DW173" s="202"/>
      <c r="DX173" s="202"/>
      <c r="DY173" s="407"/>
      <c r="DZ173" s="406"/>
      <c r="EA173" s="202"/>
      <c r="EB173" s="202"/>
      <c r="EC173" s="202"/>
      <c r="ED173" s="202"/>
      <c r="EE173" s="407"/>
      <c r="EF173" s="196">
        <f t="shared" si="197"/>
        <v>52</v>
      </c>
      <c r="EG173" s="202"/>
      <c r="EH173" s="579">
        <v>52</v>
      </c>
      <c r="EI173" s="603">
        <f t="shared" si="203"/>
        <v>0.93536392132006452</v>
      </c>
      <c r="EJ173" s="603">
        <f t="shared" si="204"/>
        <v>6.4636078679935469E-2</v>
      </c>
      <c r="EK173" s="579">
        <v>52</v>
      </c>
      <c r="EL173" s="603">
        <f t="shared" si="239"/>
        <v>0.94862739733166557</v>
      </c>
      <c r="EM173" s="603">
        <f t="shared" si="239"/>
        <v>5.1372602668334377E-2</v>
      </c>
      <c r="EN173" s="579">
        <v>52</v>
      </c>
      <c r="EO173" s="603">
        <f t="shared" si="243"/>
        <v>0.92652160397899708</v>
      </c>
      <c r="EP173" s="603">
        <f t="shared" si="243"/>
        <v>7.3478396021002881E-2</v>
      </c>
      <c r="EQ173" s="580"/>
      <c r="ER173" s="580"/>
      <c r="ES173" s="519"/>
      <c r="ET173" s="519"/>
      <c r="EU173" s="580"/>
      <c r="EV173" s="580"/>
      <c r="EW173" s="580"/>
      <c r="EX173" s="580"/>
      <c r="EY173" s="580"/>
      <c r="EZ173" s="580"/>
      <c r="FA173" s="580"/>
      <c r="FB173" s="580"/>
      <c r="FC173" s="580"/>
      <c r="FD173" s="580"/>
      <c r="FE173" s="580"/>
      <c r="FF173" s="580"/>
      <c r="FG173" s="580"/>
      <c r="FH173" s="580"/>
    </row>
    <row r="174" spans="1:164" x14ac:dyDescent="0.2">
      <c r="A174" s="187">
        <v>53</v>
      </c>
      <c r="B174" s="406"/>
      <c r="C174" s="407"/>
      <c r="D174" s="410">
        <f>D115/SUM(D115:E115)</f>
        <v>0.99099099099099097</v>
      </c>
      <c r="E174" s="411">
        <f>E115/SUM(D115:E115)</f>
        <v>9.0090090090090089E-3</v>
      </c>
      <c r="F174" s="408">
        <f>F115/SUM(F115:G115)</f>
        <v>0.91176470588235292</v>
      </c>
      <c r="G174" s="408">
        <f>G115/SUM(F115:G115)</f>
        <v>8.8235294117647065E-2</v>
      </c>
      <c r="H174" s="410">
        <f>H115/SUM(H115:I115)</f>
        <v>0.89389067524115751</v>
      </c>
      <c r="I174" s="411">
        <f>I115/SUM(H115:I115)</f>
        <v>0.10610932475884244</v>
      </c>
      <c r="J174" s="408">
        <f>J115/SUM(J115:K115)</f>
        <v>0.86842105263157898</v>
      </c>
      <c r="K174" s="408">
        <f>K115/SUM(J115:K115)</f>
        <v>0.13157894736842105</v>
      </c>
      <c r="L174" s="410">
        <f>L115/SUM(L115:M115)</f>
        <v>0.125</v>
      </c>
      <c r="M174" s="411">
        <f>M115/SUM(L115:M115)</f>
        <v>0.875</v>
      </c>
      <c r="N174" s="408">
        <f>N115/SUM(N115:O115)</f>
        <v>0.86</v>
      </c>
      <c r="O174" s="408">
        <f>O115/SUM(N115:O115)</f>
        <v>0.14000000000000001</v>
      </c>
      <c r="P174" s="406"/>
      <c r="Q174" s="407"/>
      <c r="R174" s="409"/>
      <c r="S174" s="409"/>
      <c r="T174" s="410">
        <f>T115/SUM(T115:U115)</f>
        <v>1</v>
      </c>
      <c r="U174" s="411">
        <f>U115/SUM(T115:U115)</f>
        <v>0</v>
      </c>
      <c r="V174" s="408">
        <f>V115/SUM(V115:W115)</f>
        <v>0.91666666666666663</v>
      </c>
      <c r="W174" s="408">
        <f>W115/SUM(V115:W115)</f>
        <v>8.3333333333333329E-2</v>
      </c>
      <c r="X174" s="406"/>
      <c r="Y174" s="407"/>
      <c r="Z174" s="409"/>
      <c r="AA174" s="409"/>
      <c r="AB174" s="406"/>
      <c r="AC174" s="407"/>
      <c r="AD174" s="409"/>
      <c r="AE174" s="409"/>
      <c r="AF174" s="406"/>
      <c r="AG174" s="202"/>
      <c r="AH174" s="416"/>
      <c r="AI174" s="419"/>
      <c r="AJ174" s="202"/>
      <c r="AK174" s="407"/>
      <c r="AL174" s="409"/>
      <c r="AM174" s="409"/>
      <c r="AN174" s="406"/>
      <c r="AO174" s="407"/>
      <c r="AP174" s="408">
        <f>AP115/SUM(AP115:AQ115)</f>
        <v>0.94117647058823528</v>
      </c>
      <c r="AQ174" s="408">
        <f>AQ115/SUM(AP115:AQ115)</f>
        <v>5.8823529411764705E-2</v>
      </c>
      <c r="AR174" s="406"/>
      <c r="AS174" s="407"/>
      <c r="AT174" s="408">
        <f>AT115/SUM(AT115:AU115)</f>
        <v>1</v>
      </c>
      <c r="AU174" s="408">
        <f t="shared" si="58"/>
        <v>0</v>
      </c>
      <c r="AV174" s="406"/>
      <c r="AW174" s="407"/>
      <c r="AX174" s="408">
        <f t="shared" si="86"/>
        <v>0.90322580645161288</v>
      </c>
      <c r="AY174" s="408">
        <f>AY115/SUM(AX115:AY115)</f>
        <v>9.6774193548387094E-2</v>
      </c>
      <c r="AZ174" s="426">
        <f>AZ115/SUM(AZ115:BA115)</f>
        <v>0.9</v>
      </c>
      <c r="BA174" s="422">
        <f>BA115/SUM(AZ115:BA115)</f>
        <v>0.1</v>
      </c>
      <c r="BB174" s="416"/>
      <c r="BC174" s="417"/>
      <c r="BD174" s="203"/>
      <c r="BE174" s="204"/>
      <c r="BF174" s="416"/>
      <c r="BG174" s="418"/>
      <c r="BH174" s="418"/>
      <c r="BI174" s="418"/>
      <c r="BJ174" s="418"/>
      <c r="BK174" s="418"/>
      <c r="BL174" s="416"/>
      <c r="BM174" s="418"/>
      <c r="BN174" s="418"/>
      <c r="BO174" s="418"/>
      <c r="BP174" s="418"/>
      <c r="BQ174" s="417"/>
      <c r="BR174" s="426">
        <f t="shared" ref="BR174:BW174" si="252">BR115/SUM($BR115:$BW115)</f>
        <v>0.9</v>
      </c>
      <c r="BS174" s="423">
        <f t="shared" si="252"/>
        <v>0.1</v>
      </c>
      <c r="BT174" s="423">
        <f t="shared" si="252"/>
        <v>0</v>
      </c>
      <c r="BU174" s="423">
        <f t="shared" si="252"/>
        <v>0</v>
      </c>
      <c r="BV174" s="423">
        <f t="shared" si="252"/>
        <v>0</v>
      </c>
      <c r="BW174" s="422">
        <f t="shared" si="252"/>
        <v>0</v>
      </c>
      <c r="BX174" s="416"/>
      <c r="BY174" s="418"/>
      <c r="BZ174" s="418"/>
      <c r="CA174" s="418"/>
      <c r="CB174" s="418"/>
      <c r="CC174" s="417"/>
      <c r="CD174" s="416" t="str">
        <f t="shared" ref="CD174:CI174" si="253">IFERROR(CD115/SUM($CD115:$CI115),"")</f>
        <v/>
      </c>
      <c r="CE174" s="418" t="str">
        <f t="shared" si="253"/>
        <v/>
      </c>
      <c r="CF174" s="418" t="str">
        <f t="shared" si="253"/>
        <v/>
      </c>
      <c r="CG174" s="418" t="str">
        <f t="shared" si="253"/>
        <v/>
      </c>
      <c r="CH174" s="418" t="str">
        <f t="shared" si="253"/>
        <v/>
      </c>
      <c r="CI174" s="417" t="str">
        <f t="shared" si="253"/>
        <v/>
      </c>
      <c r="CJ174" s="416"/>
      <c r="CK174" s="418"/>
      <c r="CL174" s="418"/>
      <c r="CM174" s="418"/>
      <c r="CN174" s="418"/>
      <c r="CO174" s="417"/>
      <c r="CP174" s="416"/>
      <c r="CQ174" s="418"/>
      <c r="CR174" s="418"/>
      <c r="CS174" s="418"/>
      <c r="CT174" s="418"/>
      <c r="CU174" s="417"/>
      <c r="CV174" s="416"/>
      <c r="CW174" s="418"/>
      <c r="CX174" s="418"/>
      <c r="CY174" s="418"/>
      <c r="CZ174" s="418"/>
      <c r="DA174" s="417"/>
      <c r="DB174" s="416"/>
      <c r="DC174" s="418"/>
      <c r="DD174" s="418"/>
      <c r="DE174" s="418"/>
      <c r="DF174" s="418"/>
      <c r="DG174" s="417"/>
      <c r="DH174" s="416"/>
      <c r="DI174" s="418"/>
      <c r="DJ174" s="418"/>
      <c r="DK174" s="418"/>
      <c r="DL174" s="418"/>
      <c r="DM174" s="417"/>
      <c r="DN174" s="416"/>
      <c r="DO174" s="418"/>
      <c r="DP174" s="418"/>
      <c r="DQ174" s="418"/>
      <c r="DR174" s="418"/>
      <c r="DS174" s="417"/>
      <c r="DT174" s="416"/>
      <c r="DU174" s="418"/>
      <c r="DV174" s="418"/>
      <c r="DW174" s="418"/>
      <c r="DX174" s="418"/>
      <c r="DY174" s="417"/>
      <c r="DZ174" s="416"/>
      <c r="EA174" s="418"/>
      <c r="EB174" s="418"/>
      <c r="EC174" s="418"/>
      <c r="ED174" s="418"/>
      <c r="EE174" s="417"/>
      <c r="EF174" s="196">
        <f t="shared" si="197"/>
        <v>53</v>
      </c>
      <c r="EG174" s="202"/>
      <c r="EH174" s="579">
        <v>53</v>
      </c>
      <c r="EI174" s="603">
        <f t="shared" si="203"/>
        <v>0.85926136403771636</v>
      </c>
      <c r="EJ174" s="603">
        <f t="shared" si="204"/>
        <v>0.14073863596228373</v>
      </c>
      <c r="EK174" s="579">
        <v>53</v>
      </c>
      <c r="EL174" s="603">
        <f t="shared" si="239"/>
        <v>0.93610056925996199</v>
      </c>
      <c r="EM174" s="603">
        <f t="shared" si="239"/>
        <v>6.3899430740037955E-2</v>
      </c>
      <c r="EN174" s="579">
        <v>53</v>
      </c>
      <c r="EO174" s="603">
        <f t="shared" si="243"/>
        <v>0.82084176142659349</v>
      </c>
      <c r="EP174" s="603">
        <f t="shared" si="243"/>
        <v>0.1791582385734066</v>
      </c>
      <c r="EQ174" s="580"/>
      <c r="ER174" s="580"/>
      <c r="ES174" s="519"/>
      <c r="ET174" s="519"/>
      <c r="EU174" s="580"/>
      <c r="EV174" s="580"/>
      <c r="EW174" s="580"/>
      <c r="EX174" s="580"/>
      <c r="EY174" s="580"/>
      <c r="EZ174" s="580"/>
      <c r="FA174" s="580"/>
      <c r="FB174" s="580"/>
      <c r="FC174" s="580"/>
      <c r="FD174" s="580"/>
      <c r="FE174" s="580"/>
      <c r="FF174" s="580"/>
      <c r="FG174" s="580"/>
      <c r="FH174" s="580"/>
    </row>
    <row r="175" spans="1:164" s="207" customFormat="1" x14ac:dyDescent="0.2">
      <c r="A175" s="205"/>
      <c r="B175" s="206"/>
      <c r="C175" s="206"/>
      <c r="D175" s="206"/>
      <c r="E175" s="206"/>
      <c r="F175" s="206"/>
      <c r="G175" s="206"/>
      <c r="H175" s="206"/>
      <c r="I175" s="206"/>
      <c r="J175" s="206"/>
      <c r="K175" s="206"/>
      <c r="L175" s="206"/>
      <c r="M175" s="206"/>
      <c r="N175" s="206"/>
      <c r="O175" s="206"/>
      <c r="P175" s="206"/>
      <c r="Q175" s="206"/>
      <c r="R175" s="206"/>
      <c r="S175" s="206"/>
      <c r="T175" s="206"/>
      <c r="U175" s="206"/>
      <c r="V175" s="206"/>
      <c r="W175" s="206"/>
      <c r="X175" s="206"/>
      <c r="Y175" s="206"/>
      <c r="Z175" s="206"/>
      <c r="AA175" s="206"/>
      <c r="AB175" s="206"/>
      <c r="AC175" s="206"/>
      <c r="AD175" s="206"/>
      <c r="AE175" s="206"/>
      <c r="AF175" s="206"/>
      <c r="AG175" s="206"/>
      <c r="AH175" s="199"/>
      <c r="AI175" s="199"/>
      <c r="AJ175" s="206"/>
      <c r="AK175" s="206"/>
      <c r="AL175" s="206"/>
      <c r="AM175" s="206"/>
      <c r="AN175" s="206"/>
      <c r="AO175" s="206"/>
      <c r="AP175" s="206"/>
      <c r="AQ175" s="206"/>
      <c r="AR175" s="206"/>
      <c r="AS175" s="206"/>
      <c r="AT175" s="206"/>
      <c r="AU175" s="206"/>
      <c r="AV175" s="206"/>
      <c r="AW175" s="206"/>
      <c r="AX175" s="206"/>
      <c r="AY175" s="206"/>
      <c r="AZ175" s="206"/>
      <c r="BA175" s="206"/>
      <c r="BB175" s="199"/>
      <c r="BC175" s="199"/>
      <c r="BD175" s="199"/>
      <c r="BE175" s="199"/>
      <c r="BF175" s="199"/>
      <c r="BG175" s="199"/>
      <c r="BH175" s="199"/>
      <c r="BI175" s="199"/>
      <c r="BJ175" s="199"/>
      <c r="BK175" s="199"/>
      <c r="BL175" s="199"/>
      <c r="BM175" s="199"/>
      <c r="BN175" s="199"/>
      <c r="BO175" s="199"/>
      <c r="BP175" s="199"/>
      <c r="BQ175" s="199"/>
      <c r="BR175" s="199"/>
      <c r="BS175" s="199"/>
      <c r="BT175" s="199"/>
      <c r="BU175" s="199"/>
      <c r="BV175" s="199"/>
      <c r="BW175" s="199"/>
      <c r="BX175" s="199"/>
      <c r="BY175" s="199"/>
      <c r="BZ175" s="199"/>
      <c r="CA175" s="199"/>
      <c r="CB175" s="199"/>
      <c r="CC175" s="199"/>
      <c r="CD175" s="199"/>
      <c r="CE175" s="199"/>
      <c r="CF175" s="199"/>
      <c r="CG175" s="199"/>
      <c r="CH175" s="199"/>
      <c r="CI175" s="199"/>
      <c r="CJ175" s="199"/>
      <c r="CK175" s="199"/>
      <c r="CL175" s="199"/>
      <c r="CM175" s="199"/>
      <c r="CN175" s="199"/>
      <c r="CO175" s="199"/>
      <c r="CP175" s="199"/>
      <c r="CQ175" s="199"/>
      <c r="CR175" s="199"/>
      <c r="CS175" s="199"/>
      <c r="CT175" s="199"/>
      <c r="CU175" s="199"/>
      <c r="CV175" s="199"/>
      <c r="CW175" s="199"/>
      <c r="CX175" s="199"/>
      <c r="CY175" s="199"/>
      <c r="CZ175" s="199"/>
      <c r="DA175" s="199"/>
      <c r="DB175" s="199"/>
      <c r="DC175" s="199"/>
      <c r="DD175" s="199"/>
      <c r="DE175" s="199"/>
      <c r="DF175" s="199"/>
      <c r="DG175" s="199"/>
      <c r="DH175" s="199"/>
      <c r="DI175" s="199"/>
      <c r="DJ175" s="199"/>
      <c r="DK175" s="199"/>
      <c r="DL175" s="199"/>
      <c r="DM175" s="199"/>
      <c r="DN175" s="199"/>
      <c r="DO175" s="199"/>
      <c r="DP175" s="199"/>
      <c r="DQ175" s="199"/>
      <c r="DR175" s="199"/>
      <c r="DS175" s="199"/>
      <c r="DT175" s="199"/>
      <c r="DU175" s="199"/>
      <c r="DV175" s="199"/>
      <c r="DW175" s="199"/>
      <c r="DX175" s="199"/>
      <c r="DY175" s="199"/>
      <c r="DZ175" s="199"/>
      <c r="EA175" s="199"/>
      <c r="EB175" s="199"/>
      <c r="EC175" s="199"/>
      <c r="ED175" s="199"/>
      <c r="EE175" s="199"/>
      <c r="EF175" s="199"/>
      <c r="EG175" s="124"/>
      <c r="EH175" s="249"/>
      <c r="EI175" s="581"/>
      <c r="EJ175" s="581"/>
      <c r="EK175" s="249"/>
      <c r="EL175" s="581"/>
      <c r="EM175" s="581"/>
      <c r="EN175" s="249"/>
      <c r="EO175" s="581"/>
      <c r="EP175" s="581"/>
      <c r="EQ175" s="607"/>
      <c r="ER175" s="607"/>
      <c r="ES175" s="581"/>
      <c r="ET175" s="581"/>
      <c r="EU175" s="607"/>
      <c r="EV175" s="607"/>
      <c r="EW175" s="607"/>
      <c r="EX175" s="607"/>
      <c r="EY175" s="607"/>
      <c r="EZ175" s="607"/>
      <c r="FA175" s="607"/>
      <c r="FB175" s="607"/>
      <c r="FC175" s="607"/>
      <c r="FD175" s="607"/>
      <c r="FE175" s="607"/>
      <c r="FF175" s="607"/>
      <c r="FG175" s="607"/>
      <c r="FH175" s="607"/>
    </row>
    <row r="176" spans="1:164" x14ac:dyDescent="0.2">
      <c r="BG176" s="135"/>
      <c r="EH176" s="579"/>
      <c r="EI176" s="519"/>
      <c r="EJ176" s="519"/>
      <c r="EK176" s="579"/>
      <c r="EL176" s="519"/>
      <c r="EM176" s="519"/>
      <c r="EN176" s="579"/>
      <c r="EO176" s="519"/>
      <c r="EP176" s="519"/>
      <c r="EQ176" s="580"/>
      <c r="ER176" s="580"/>
      <c r="ES176" s="519"/>
      <c r="ET176" s="519"/>
      <c r="EU176" s="580"/>
      <c r="EV176" s="580"/>
      <c r="EW176" s="580"/>
      <c r="EX176" s="580"/>
      <c r="EY176" s="580"/>
      <c r="EZ176" s="580"/>
      <c r="FA176" s="580"/>
      <c r="FB176" s="580"/>
      <c r="FC176" s="580"/>
      <c r="FD176" s="580"/>
      <c r="FE176" s="580"/>
      <c r="FF176" s="580"/>
      <c r="FG176" s="580"/>
      <c r="FH176" s="580"/>
    </row>
    <row r="177" spans="1:165" ht="12.75" x14ac:dyDescent="0.2">
      <c r="A177" s="126" t="s">
        <v>245</v>
      </c>
      <c r="BG177" s="135"/>
      <c r="EG177" s="208" t="s">
        <v>102</v>
      </c>
      <c r="EH177" s="579"/>
      <c r="EI177" s="519"/>
      <c r="EJ177" s="519"/>
      <c r="EK177" s="579"/>
      <c r="EL177" s="519"/>
      <c r="EM177" s="519"/>
      <c r="EN177" s="579"/>
      <c r="EO177" s="519"/>
      <c r="EP177" s="519"/>
      <c r="EQ177" s="580"/>
      <c r="ER177" s="580"/>
      <c r="ES177" s="519"/>
      <c r="ET177" s="519"/>
      <c r="EU177" s="580"/>
      <c r="EV177" s="580"/>
      <c r="EW177" s="580"/>
      <c r="EX177" s="580"/>
      <c r="EY177" s="580"/>
      <c r="EZ177" s="580"/>
      <c r="FA177" s="580"/>
      <c r="FB177" s="580"/>
      <c r="FC177" s="580"/>
      <c r="FD177" s="580"/>
      <c r="FE177" s="580"/>
      <c r="FF177" s="580"/>
      <c r="FG177" s="580"/>
      <c r="FH177" s="580"/>
    </row>
    <row r="178" spans="1:165" x14ac:dyDescent="0.2">
      <c r="A178" s="126"/>
      <c r="AI178" s="194" t="s">
        <v>85</v>
      </c>
      <c r="AJ178" s="27" t="s">
        <v>86</v>
      </c>
      <c r="BG178" s="135"/>
      <c r="EG178" s="135" t="s">
        <v>222</v>
      </c>
      <c r="EH178" s="579" t="s">
        <v>223</v>
      </c>
      <c r="EI178" s="519" t="s">
        <v>101</v>
      </c>
      <c r="EJ178" s="519"/>
      <c r="EK178" s="579"/>
      <c r="EL178" s="519"/>
      <c r="EM178" s="519"/>
      <c r="EN178" s="579"/>
      <c r="EO178" s="519"/>
      <c r="EP178" s="519"/>
      <c r="EQ178" s="580"/>
      <c r="ER178" s="580"/>
      <c r="ES178" s="519"/>
      <c r="ET178" s="519"/>
      <c r="EU178" s="580"/>
      <c r="EV178" s="580"/>
      <c r="EW178" s="580"/>
      <c r="EX178" s="580"/>
      <c r="EY178" s="580"/>
      <c r="EZ178" s="580"/>
      <c r="FA178" s="580"/>
      <c r="FB178" s="580"/>
      <c r="FC178" s="580"/>
      <c r="FD178" s="580"/>
      <c r="FE178" s="580"/>
      <c r="FF178" s="580"/>
      <c r="FG178" s="580"/>
      <c r="FH178" s="580"/>
    </row>
    <row r="179" spans="1:165" ht="26.25" customHeight="1" x14ac:dyDescent="0.2">
      <c r="A179" s="195" t="s">
        <v>87</v>
      </c>
      <c r="B179" s="487">
        <v>1984</v>
      </c>
      <c r="C179" s="488"/>
      <c r="D179" s="492">
        <v>1985</v>
      </c>
      <c r="E179" s="488"/>
      <c r="F179" s="492">
        <v>1986</v>
      </c>
      <c r="G179" s="488"/>
      <c r="H179" s="492">
        <v>1987</v>
      </c>
      <c r="I179" s="488"/>
      <c r="J179" s="492">
        <v>1988</v>
      </c>
      <c r="K179" s="488"/>
      <c r="L179" s="492">
        <v>1989</v>
      </c>
      <c r="M179" s="488"/>
      <c r="N179" s="492">
        <v>1990</v>
      </c>
      <c r="O179" s="488"/>
      <c r="P179" s="492">
        <v>1991</v>
      </c>
      <c r="Q179" s="488"/>
      <c r="R179" s="492">
        <v>1992</v>
      </c>
      <c r="S179" s="488"/>
      <c r="T179" s="492">
        <v>1993</v>
      </c>
      <c r="U179" s="488"/>
      <c r="V179" s="492">
        <v>1994</v>
      </c>
      <c r="W179" s="488"/>
      <c r="X179" s="492">
        <v>1995</v>
      </c>
      <c r="Y179" s="488"/>
      <c r="Z179" s="492">
        <v>1996</v>
      </c>
      <c r="AA179" s="488"/>
      <c r="AB179" s="492">
        <v>1997</v>
      </c>
      <c r="AC179" s="488"/>
      <c r="AD179" s="492">
        <v>1998</v>
      </c>
      <c r="AE179" s="488"/>
      <c r="AF179" s="494">
        <v>1999</v>
      </c>
      <c r="AG179" s="494"/>
      <c r="AH179" s="487">
        <v>2000</v>
      </c>
      <c r="AI179" s="209"/>
      <c r="AJ179" s="492">
        <v>2001</v>
      </c>
      <c r="AK179" s="488"/>
      <c r="AL179" s="492">
        <v>2002</v>
      </c>
      <c r="AM179" s="488"/>
      <c r="AN179" s="492">
        <v>2003</v>
      </c>
      <c r="AO179" s="488"/>
      <c r="AP179" s="492">
        <v>2004</v>
      </c>
      <c r="AQ179" s="488"/>
      <c r="AR179" s="492">
        <v>2005</v>
      </c>
      <c r="AS179" s="488"/>
      <c r="AT179" s="492">
        <v>2006</v>
      </c>
      <c r="AU179" s="488"/>
      <c r="AV179" s="492">
        <v>2007</v>
      </c>
      <c r="AW179" s="488"/>
      <c r="AX179" s="492">
        <v>2008</v>
      </c>
      <c r="AY179" s="488"/>
      <c r="AZ179" s="492">
        <v>2009</v>
      </c>
      <c r="BA179" s="488"/>
      <c r="BB179" s="487">
        <v>2010</v>
      </c>
      <c r="BC179" s="488"/>
      <c r="BD179" s="487">
        <v>2011</v>
      </c>
      <c r="BE179" s="488"/>
      <c r="BF179" s="502">
        <v>2012</v>
      </c>
      <c r="BG179" s="660"/>
      <c r="BH179" s="660"/>
      <c r="BI179" s="660"/>
      <c r="BJ179" s="660"/>
      <c r="BK179" s="660"/>
      <c r="BL179" s="657">
        <v>2013</v>
      </c>
      <c r="BM179" s="660"/>
      <c r="BN179" s="660"/>
      <c r="BO179" s="660"/>
      <c r="BP179" s="660"/>
      <c r="BQ179" s="658"/>
      <c r="BR179" s="805">
        <v>2014</v>
      </c>
      <c r="BS179" s="808"/>
      <c r="BT179" s="808"/>
      <c r="BU179" s="808"/>
      <c r="BV179" s="808"/>
      <c r="BW179" s="806"/>
      <c r="BX179" s="915">
        <v>2015</v>
      </c>
      <c r="BY179" s="917"/>
      <c r="BZ179" s="917"/>
      <c r="CA179" s="917"/>
      <c r="CB179" s="917"/>
      <c r="CC179" s="916"/>
      <c r="CD179" s="995">
        <v>2016</v>
      </c>
      <c r="CE179" s="999"/>
      <c r="CF179" s="999"/>
      <c r="CG179" s="999"/>
      <c r="CH179" s="999"/>
      <c r="CI179" s="996"/>
      <c r="CJ179" s="1101">
        <v>2017</v>
      </c>
      <c r="CK179" s="1104"/>
      <c r="CL179" s="1104"/>
      <c r="CM179" s="1104"/>
      <c r="CN179" s="1104"/>
      <c r="CO179" s="1102"/>
      <c r="CP179" s="1159">
        <v>2018</v>
      </c>
      <c r="CQ179" s="1162"/>
      <c r="CR179" s="1162"/>
      <c r="CS179" s="1162"/>
      <c r="CT179" s="1162"/>
      <c r="CU179" s="1160"/>
      <c r="CV179" s="1547">
        <v>2019</v>
      </c>
      <c r="CW179" s="1549"/>
      <c r="CX179" s="1549"/>
      <c r="CY179" s="1549"/>
      <c r="CZ179" s="1549"/>
      <c r="DA179" s="1548"/>
      <c r="DB179" s="1597">
        <v>2020</v>
      </c>
      <c r="DC179" s="1599"/>
      <c r="DD179" s="1599"/>
      <c r="DE179" s="1599"/>
      <c r="DF179" s="1599"/>
      <c r="DG179" s="1598"/>
      <c r="DH179" s="1623">
        <v>2021</v>
      </c>
      <c r="DI179" s="1625"/>
      <c r="DJ179" s="1625"/>
      <c r="DK179" s="1625"/>
      <c r="DL179" s="1625"/>
      <c r="DM179" s="1624"/>
      <c r="DN179" s="1666">
        <f>DN3</f>
        <v>2022</v>
      </c>
      <c r="DO179" s="1668"/>
      <c r="DP179" s="1668"/>
      <c r="DQ179" s="1668"/>
      <c r="DR179" s="1668"/>
      <c r="DS179" s="1667"/>
      <c r="DT179" s="1694">
        <f>DT3</f>
        <v>2023</v>
      </c>
      <c r="DU179" s="1697"/>
      <c r="DV179" s="1697"/>
      <c r="DW179" s="1697"/>
      <c r="DX179" s="1697"/>
      <c r="DY179" s="1695"/>
      <c r="DZ179" s="1735">
        <f>DZ3</f>
        <v>2024</v>
      </c>
      <c r="EA179" s="1737"/>
      <c r="EB179" s="1737"/>
      <c r="EC179" s="1737"/>
      <c r="ED179" s="1737"/>
      <c r="EE179" s="1736"/>
      <c r="EF179" s="674" t="str">
        <f t="shared" ref="EF179:EF210" si="254">A179</f>
        <v>MW</v>
      </c>
      <c r="EG179" s="515" t="s">
        <v>219</v>
      </c>
      <c r="EH179" s="608" t="s">
        <v>219</v>
      </c>
      <c r="EI179" s="608" t="s">
        <v>219</v>
      </c>
      <c r="EJ179" s="519"/>
      <c r="EK179" s="519"/>
      <c r="EL179" s="519"/>
      <c r="EM179" s="581"/>
      <c r="EN179" s="581"/>
      <c r="EO179" s="581"/>
      <c r="EP179" s="581"/>
      <c r="EQ179" s="581"/>
      <c r="ER179" s="581"/>
      <c r="ES179" s="581"/>
      <c r="ET179" s="581"/>
      <c r="EU179" s="581"/>
      <c r="EV179" s="581"/>
      <c r="EW179" s="581"/>
      <c r="EX179" s="581"/>
      <c r="EY179" s="581"/>
      <c r="EZ179" s="581"/>
      <c r="FA179" s="249"/>
      <c r="FB179" s="581"/>
      <c r="FC179" s="581"/>
      <c r="FD179" s="249"/>
      <c r="FE179" s="581"/>
      <c r="FF179" s="519"/>
      <c r="FG179" s="579"/>
      <c r="FH179" s="519"/>
      <c r="FI179" s="37"/>
    </row>
    <row r="180" spans="1:165" x14ac:dyDescent="0.2">
      <c r="A180" s="180">
        <v>1</v>
      </c>
      <c r="B180" s="211"/>
      <c r="C180" s="212"/>
      <c r="D180" s="211"/>
      <c r="E180" s="212"/>
      <c r="F180" s="213">
        <v>103</v>
      </c>
      <c r="G180" s="213"/>
      <c r="H180" s="211"/>
      <c r="I180" s="212"/>
      <c r="J180" s="205"/>
      <c r="K180" s="205"/>
      <c r="L180" s="214">
        <v>180</v>
      </c>
      <c r="M180" s="215"/>
      <c r="N180" s="213">
        <v>297</v>
      </c>
      <c r="O180" s="213"/>
      <c r="P180" s="211"/>
      <c r="Q180" s="212"/>
      <c r="R180" s="213">
        <v>348</v>
      </c>
      <c r="S180" s="213"/>
      <c r="T180" s="211"/>
      <c r="U180" s="212"/>
      <c r="V180" s="205"/>
      <c r="W180" s="205"/>
      <c r="X180" s="216">
        <v>232</v>
      </c>
      <c r="Y180" s="215"/>
      <c r="Z180" s="213">
        <v>222</v>
      </c>
      <c r="AA180" s="213"/>
      <c r="AB180" s="211"/>
      <c r="AC180" s="212"/>
      <c r="AD180" s="205"/>
      <c r="AE180" s="205"/>
      <c r="AF180" s="217"/>
      <c r="AG180" s="218"/>
      <c r="AH180" s="211"/>
      <c r="AI180" s="219"/>
      <c r="AJ180" s="220">
        <v>23</v>
      </c>
      <c r="AK180" s="221"/>
      <c r="AL180" s="205"/>
      <c r="AM180" s="205"/>
      <c r="AN180" s="211"/>
      <c r="AO180" s="212"/>
      <c r="AP180" s="205"/>
      <c r="AQ180" s="205"/>
      <c r="AR180" s="211"/>
      <c r="AS180" s="212"/>
      <c r="AT180" s="213">
        <v>30</v>
      </c>
      <c r="AU180" s="213"/>
      <c r="AV180" s="216">
        <v>15</v>
      </c>
      <c r="AW180" s="215"/>
      <c r="AX180" s="222">
        <v>60</v>
      </c>
      <c r="AY180" s="222"/>
      <c r="AZ180" s="211"/>
      <c r="BA180" s="212"/>
      <c r="BB180" s="217"/>
      <c r="BC180" s="223"/>
      <c r="BD180" s="217"/>
      <c r="BE180" s="223"/>
      <c r="BF180" s="558">
        <f>15+17+12</f>
        <v>44</v>
      </c>
      <c r="BG180" s="572"/>
      <c r="BH180" s="572"/>
      <c r="BI180" s="572"/>
      <c r="BJ180" s="572"/>
      <c r="BK180" s="572"/>
      <c r="BL180" s="558">
        <v>13</v>
      </c>
      <c r="BM180" s="572"/>
      <c r="BN180" s="572"/>
      <c r="BO180" s="572"/>
      <c r="BP180" s="572"/>
      <c r="BQ180" s="516"/>
      <c r="BR180" s="558">
        <v>9</v>
      </c>
      <c r="BS180" s="572"/>
      <c r="BT180" s="572"/>
      <c r="BU180" s="572"/>
      <c r="BV180" s="572"/>
      <c r="BW180" s="516"/>
      <c r="BX180" s="217"/>
      <c r="BY180" s="218"/>
      <c r="BZ180" s="218"/>
      <c r="CA180" s="218"/>
      <c r="CB180" s="218"/>
      <c r="CC180" s="223"/>
      <c r="CD180" s="217"/>
      <c r="CE180" s="218"/>
      <c r="CF180" s="218"/>
      <c r="CG180" s="218"/>
      <c r="CH180" s="218"/>
      <c r="CI180" s="223"/>
      <c r="CJ180" s="217"/>
      <c r="CK180" s="218"/>
      <c r="CL180" s="218"/>
      <c r="CM180" s="218"/>
      <c r="CN180" s="218"/>
      <c r="CO180" s="223"/>
      <c r="CP180" s="217"/>
      <c r="CQ180" s="218"/>
      <c r="CR180" s="218"/>
      <c r="CS180" s="218"/>
      <c r="CT180" s="218"/>
      <c r="CU180" s="223"/>
      <c r="CV180" s="217"/>
      <c r="CW180" s="218"/>
      <c r="CX180" s="218"/>
      <c r="CY180" s="218"/>
      <c r="CZ180" s="218"/>
      <c r="DA180" s="223"/>
      <c r="DB180" s="217"/>
      <c r="DC180" s="218"/>
      <c r="DD180" s="218"/>
      <c r="DE180" s="218"/>
      <c r="DF180" s="218"/>
      <c r="DG180" s="223"/>
      <c r="DH180" s="217"/>
      <c r="DI180" s="218"/>
      <c r="DJ180" s="218"/>
      <c r="DK180" s="218"/>
      <c r="DL180" s="218"/>
      <c r="DM180" s="223"/>
      <c r="DN180" s="217"/>
      <c r="DO180" s="218"/>
      <c r="DP180" s="218"/>
      <c r="DQ180" s="218"/>
      <c r="DR180" s="218"/>
      <c r="DS180" s="223"/>
      <c r="DT180" s="217"/>
      <c r="DU180" s="218"/>
      <c r="DV180" s="218"/>
      <c r="DW180" s="218"/>
      <c r="DX180" s="218"/>
      <c r="DY180" s="223"/>
      <c r="DZ180" s="217"/>
      <c r="EA180" s="218"/>
      <c r="EB180" s="218"/>
      <c r="EC180" s="218"/>
      <c r="ED180" s="218"/>
      <c r="EE180" s="223"/>
      <c r="EF180" s="675">
        <f t="shared" si="254"/>
        <v>1</v>
      </c>
      <c r="EG180" s="224">
        <f t="shared" ref="EG180:EG195" si="255">AVERAGE(D180:BD180)</f>
        <v>151</v>
      </c>
      <c r="EH180" s="602">
        <f t="shared" ref="EH180:EH195" si="256">AVERAGE(AJ180:BD180)</f>
        <v>32</v>
      </c>
      <c r="EI180" s="602">
        <f t="shared" ref="EI180:EI193" si="257">AVERAGE(D180:AI180)</f>
        <v>230.33333333333334</v>
      </c>
      <c r="EJ180" s="519"/>
      <c r="EK180" s="519"/>
      <c r="EL180" s="519"/>
      <c r="EM180" s="581"/>
      <c r="EN180" s="581"/>
      <c r="EO180" s="581"/>
      <c r="EP180" s="581"/>
      <c r="EQ180" s="581"/>
      <c r="ER180" s="581"/>
      <c r="ES180" s="581"/>
      <c r="ET180" s="581"/>
      <c r="EU180" s="581"/>
      <c r="EV180" s="581"/>
      <c r="EW180" s="581"/>
      <c r="EX180" s="581"/>
      <c r="EY180" s="581"/>
      <c r="EZ180" s="581"/>
      <c r="FA180" s="249"/>
      <c r="FB180" s="581"/>
      <c r="FC180" s="581"/>
      <c r="FD180" s="249"/>
      <c r="FE180" s="581"/>
      <c r="FF180" s="519"/>
      <c r="FG180" s="579"/>
      <c r="FH180" s="519"/>
      <c r="FI180" s="37"/>
    </row>
    <row r="181" spans="1:165" x14ac:dyDescent="0.2">
      <c r="A181" s="180">
        <v>2</v>
      </c>
      <c r="B181" s="211"/>
      <c r="C181" s="212"/>
      <c r="D181" s="211"/>
      <c r="E181" s="212"/>
      <c r="F181" s="213">
        <v>736</v>
      </c>
      <c r="G181" s="213"/>
      <c r="H181" s="216">
        <v>986</v>
      </c>
      <c r="I181" s="215"/>
      <c r="J181" s="205"/>
      <c r="K181" s="205"/>
      <c r="L181" s="216">
        <v>434</v>
      </c>
      <c r="M181" s="215"/>
      <c r="N181" s="213">
        <v>588</v>
      </c>
      <c r="O181" s="213"/>
      <c r="P181" s="216">
        <v>445</v>
      </c>
      <c r="Q181" s="215"/>
      <c r="R181" s="222">
        <v>126</v>
      </c>
      <c r="S181" s="222"/>
      <c r="T181" s="216">
        <v>25</v>
      </c>
      <c r="U181" s="215"/>
      <c r="V181" s="205"/>
      <c r="W181" s="205"/>
      <c r="X181" s="216">
        <v>260</v>
      </c>
      <c r="Y181" s="215"/>
      <c r="Z181" s="213">
        <v>147</v>
      </c>
      <c r="AA181" s="213"/>
      <c r="AB181" s="216">
        <v>30</v>
      </c>
      <c r="AC181" s="215"/>
      <c r="AD181" s="205"/>
      <c r="AE181" s="205"/>
      <c r="AF181" s="225">
        <v>1</v>
      </c>
      <c r="AG181" s="220"/>
      <c r="AH181" s="225">
        <v>69</v>
      </c>
      <c r="AI181" s="226"/>
      <c r="AJ181" s="227">
        <v>13</v>
      </c>
      <c r="AK181" s="215"/>
      <c r="AL181" s="213">
        <v>4</v>
      </c>
      <c r="AM181" s="213"/>
      <c r="AN181" s="225">
        <v>3</v>
      </c>
      <c r="AO181" s="221"/>
      <c r="AP181" s="222">
        <v>47</v>
      </c>
      <c r="AQ181" s="222"/>
      <c r="AR181" s="216">
        <v>131</v>
      </c>
      <c r="AS181" s="215"/>
      <c r="AT181" s="205"/>
      <c r="AU181" s="205"/>
      <c r="AV181" s="216">
        <v>210</v>
      </c>
      <c r="AW181" s="215"/>
      <c r="AX181" s="222">
        <v>29</v>
      </c>
      <c r="AY181" s="222"/>
      <c r="AZ181" s="216">
        <v>3</v>
      </c>
      <c r="BA181" s="215"/>
      <c r="BB181" s="216">
        <v>38</v>
      </c>
      <c r="BC181" s="215"/>
      <c r="BD181" s="225">
        <v>2</v>
      </c>
      <c r="BE181" s="221"/>
      <c r="BF181" s="565">
        <v>14</v>
      </c>
      <c r="BG181" s="220"/>
      <c r="BH181" s="220"/>
      <c r="BI181" s="220"/>
      <c r="BJ181" s="220"/>
      <c r="BK181" s="220"/>
      <c r="BL181" s="216">
        <v>18</v>
      </c>
      <c r="BM181" s="227"/>
      <c r="BN181" s="227"/>
      <c r="BO181" s="227"/>
      <c r="BP181" s="227"/>
      <c r="BQ181" s="215"/>
      <c r="BR181" s="216">
        <v>2</v>
      </c>
      <c r="BS181" s="227"/>
      <c r="BT181" s="227"/>
      <c r="BU181" s="227"/>
      <c r="BV181" s="227"/>
      <c r="BW181" s="215"/>
      <c r="BX181" s="211"/>
      <c r="BY181" s="196"/>
      <c r="BZ181" s="196"/>
      <c r="CA181" s="196"/>
      <c r="CB181" s="196"/>
      <c r="CC181" s="212"/>
      <c r="CD181" s="211"/>
      <c r="CE181" s="196"/>
      <c r="CF181" s="196"/>
      <c r="CG181" s="196"/>
      <c r="CH181" s="196"/>
      <c r="CI181" s="212"/>
      <c r="CJ181" s="211"/>
      <c r="CK181" s="196"/>
      <c r="CL181" s="196"/>
      <c r="CM181" s="196"/>
      <c r="CN181" s="196"/>
      <c r="CO181" s="212"/>
      <c r="CP181" s="211"/>
      <c r="CQ181" s="196"/>
      <c r="CR181" s="196"/>
      <c r="CS181" s="196"/>
      <c r="CT181" s="196"/>
      <c r="CU181" s="212"/>
      <c r="CV181" s="211"/>
      <c r="CW181" s="196"/>
      <c r="CX181" s="196"/>
      <c r="CY181" s="196"/>
      <c r="CZ181" s="196"/>
      <c r="DA181" s="212"/>
      <c r="DB181" s="211"/>
      <c r="DC181" s="196"/>
      <c r="DD181" s="196"/>
      <c r="DE181" s="196"/>
      <c r="DF181" s="196"/>
      <c r="DG181" s="212"/>
      <c r="DH181" s="211"/>
      <c r="DI181" s="196"/>
      <c r="DJ181" s="196"/>
      <c r="DK181" s="196"/>
      <c r="DL181" s="196"/>
      <c r="DM181" s="212"/>
      <c r="DN181" s="211"/>
      <c r="DO181" s="196"/>
      <c r="DP181" s="196"/>
      <c r="DQ181" s="196"/>
      <c r="DR181" s="196"/>
      <c r="DS181" s="212"/>
      <c r="DT181" s="211"/>
      <c r="DU181" s="196"/>
      <c r="DV181" s="196"/>
      <c r="DW181" s="196"/>
      <c r="DX181" s="196"/>
      <c r="DY181" s="212"/>
      <c r="DZ181" s="211"/>
      <c r="EA181" s="196"/>
      <c r="EB181" s="196"/>
      <c r="EC181" s="196"/>
      <c r="ED181" s="196"/>
      <c r="EE181" s="212"/>
      <c r="EF181" s="675">
        <f t="shared" si="254"/>
        <v>2</v>
      </c>
      <c r="EG181" s="224">
        <f t="shared" si="255"/>
        <v>196.68181818181819</v>
      </c>
      <c r="EH181" s="602">
        <f t="shared" si="256"/>
        <v>48</v>
      </c>
      <c r="EI181" s="602">
        <f t="shared" si="257"/>
        <v>320.58333333333331</v>
      </c>
      <c r="EJ181" s="519"/>
      <c r="EK181" s="519"/>
      <c r="EL181" s="519"/>
      <c r="EM181" s="581"/>
      <c r="EN181" s="581"/>
      <c r="EO181" s="581"/>
      <c r="EP181" s="581"/>
      <c r="EQ181" s="581"/>
      <c r="ER181" s="581"/>
      <c r="ES181" s="581"/>
      <c r="ET181" s="581"/>
      <c r="EU181" s="581"/>
      <c r="EV181" s="581"/>
      <c r="EW181" s="581"/>
      <c r="EX181" s="581"/>
      <c r="EY181" s="581"/>
      <c r="EZ181" s="581"/>
      <c r="FA181" s="249"/>
      <c r="FB181" s="581"/>
      <c r="FC181" s="581"/>
      <c r="FD181" s="249"/>
      <c r="FE181" s="581"/>
      <c r="FF181" s="519"/>
      <c r="FG181" s="579"/>
      <c r="FH181" s="519"/>
      <c r="FI181" s="37"/>
    </row>
    <row r="182" spans="1:165" x14ac:dyDescent="0.2">
      <c r="A182" s="180">
        <v>3</v>
      </c>
      <c r="B182" s="211"/>
      <c r="C182" s="212"/>
      <c r="D182" s="211"/>
      <c r="E182" s="212"/>
      <c r="F182" s="213">
        <v>971</v>
      </c>
      <c r="G182" s="213"/>
      <c r="H182" s="216">
        <v>602</v>
      </c>
      <c r="I182" s="215"/>
      <c r="J182" s="213">
        <v>934</v>
      </c>
      <c r="K182" s="213"/>
      <c r="L182" s="216">
        <v>468</v>
      </c>
      <c r="M182" s="215"/>
      <c r="N182" s="213">
        <v>681</v>
      </c>
      <c r="O182" s="213"/>
      <c r="P182" s="216">
        <v>117</v>
      </c>
      <c r="Q182" s="215"/>
      <c r="R182" s="213">
        <v>681</v>
      </c>
      <c r="S182" s="213"/>
      <c r="T182" s="225">
        <v>105</v>
      </c>
      <c r="U182" s="221"/>
      <c r="V182" s="222">
        <v>1</v>
      </c>
      <c r="W182" s="222"/>
      <c r="X182" s="216">
        <v>90</v>
      </c>
      <c r="Y182" s="215"/>
      <c r="Z182" s="213">
        <v>66</v>
      </c>
      <c r="AA182" s="213"/>
      <c r="AB182" s="225">
        <v>9</v>
      </c>
      <c r="AC182" s="221"/>
      <c r="AD182" s="205"/>
      <c r="AE182" s="205"/>
      <c r="AF182" s="211"/>
      <c r="AG182" s="196"/>
      <c r="AH182" s="225">
        <v>12</v>
      </c>
      <c r="AI182" s="226"/>
      <c r="AJ182" s="196"/>
      <c r="AK182" s="212"/>
      <c r="AL182" s="222">
        <v>25</v>
      </c>
      <c r="AM182" s="222"/>
      <c r="AN182" s="225">
        <v>2</v>
      </c>
      <c r="AO182" s="221"/>
      <c r="AP182" s="213">
        <v>48</v>
      </c>
      <c r="AQ182" s="213"/>
      <c r="AR182" s="216">
        <v>47</v>
      </c>
      <c r="AS182" s="215"/>
      <c r="AT182" s="213">
        <v>2</v>
      </c>
      <c r="AU182" s="213"/>
      <c r="AV182" s="216">
        <v>298</v>
      </c>
      <c r="AW182" s="215"/>
      <c r="AX182" s="222">
        <v>19</v>
      </c>
      <c r="AY182" s="222"/>
      <c r="AZ182" s="211"/>
      <c r="BA182" s="212"/>
      <c r="BB182" s="216">
        <v>16</v>
      </c>
      <c r="BC182" s="215"/>
      <c r="BD182" s="211"/>
      <c r="BE182" s="212"/>
      <c r="BF182" s="211"/>
      <c r="BG182" s="196"/>
      <c r="BH182" s="196"/>
      <c r="BI182" s="196"/>
      <c r="BJ182" s="196"/>
      <c r="BK182" s="196"/>
      <c r="BL182" s="216">
        <v>89</v>
      </c>
      <c r="BM182" s="227"/>
      <c r="BN182" s="227"/>
      <c r="BO182" s="227"/>
      <c r="BP182" s="227"/>
      <c r="BQ182" s="215"/>
      <c r="BR182" s="211"/>
      <c r="BS182" s="196"/>
      <c r="BT182" s="196"/>
      <c r="BU182" s="196"/>
      <c r="BV182" s="196"/>
      <c r="BW182" s="212"/>
      <c r="BX182" s="216">
        <v>36</v>
      </c>
      <c r="BY182" s="227"/>
      <c r="BZ182" s="227"/>
      <c r="CA182" s="227"/>
      <c r="CB182" s="227"/>
      <c r="CC182" s="215"/>
      <c r="CD182" s="211"/>
      <c r="CE182" s="196"/>
      <c r="CF182" s="196"/>
      <c r="CG182" s="196"/>
      <c r="CH182" s="196"/>
      <c r="CI182" s="212"/>
      <c r="CJ182" s="211"/>
      <c r="CK182" s="196"/>
      <c r="CL182" s="196"/>
      <c r="CM182" s="196"/>
      <c r="CN182" s="196"/>
      <c r="CO182" s="212"/>
      <c r="CP182" s="211"/>
      <c r="CQ182" s="196"/>
      <c r="CR182" s="196"/>
      <c r="CS182" s="196"/>
      <c r="CT182" s="196"/>
      <c r="CU182" s="212"/>
      <c r="CV182" s="211"/>
      <c r="CW182" s="196"/>
      <c r="CX182" s="196"/>
      <c r="CY182" s="196"/>
      <c r="CZ182" s="196"/>
      <c r="DA182" s="212"/>
      <c r="DB182" s="211"/>
      <c r="DC182" s="196"/>
      <c r="DD182" s="196"/>
      <c r="DE182" s="196"/>
      <c r="DF182" s="196"/>
      <c r="DG182" s="212"/>
      <c r="DH182" s="211"/>
      <c r="DI182" s="196"/>
      <c r="DJ182" s="196"/>
      <c r="DK182" s="196"/>
      <c r="DL182" s="196"/>
      <c r="DM182" s="212"/>
      <c r="DN182" s="211"/>
      <c r="DO182" s="196"/>
      <c r="DP182" s="196"/>
      <c r="DQ182" s="196"/>
      <c r="DR182" s="196"/>
      <c r="DS182" s="212"/>
      <c r="DT182" s="211"/>
      <c r="DU182" s="196"/>
      <c r="DV182" s="196"/>
      <c r="DW182" s="196"/>
      <c r="DX182" s="196"/>
      <c r="DY182" s="212"/>
      <c r="DZ182" s="211"/>
      <c r="EA182" s="196"/>
      <c r="EB182" s="196"/>
      <c r="EC182" s="196"/>
      <c r="ED182" s="196"/>
      <c r="EE182" s="212"/>
      <c r="EF182" s="675">
        <f t="shared" si="254"/>
        <v>3</v>
      </c>
      <c r="EG182" s="224">
        <f t="shared" si="255"/>
        <v>247.33333333333334</v>
      </c>
      <c r="EH182" s="602">
        <f t="shared" si="256"/>
        <v>57.125</v>
      </c>
      <c r="EI182" s="602">
        <f t="shared" si="257"/>
        <v>364.38461538461536</v>
      </c>
      <c r="EJ182" s="519"/>
      <c r="EK182" s="519"/>
      <c r="EL182" s="519"/>
      <c r="EM182" s="581"/>
      <c r="EN182" s="581"/>
      <c r="EO182" s="581"/>
      <c r="EP182" s="581"/>
      <c r="EQ182" s="581"/>
      <c r="ER182" s="581"/>
      <c r="ES182" s="581"/>
      <c r="ET182" s="581"/>
      <c r="EU182" s="581"/>
      <c r="EV182" s="581"/>
      <c r="EW182" s="581"/>
      <c r="EX182" s="581"/>
      <c r="EY182" s="581"/>
      <c r="EZ182" s="581"/>
      <c r="FA182" s="249"/>
      <c r="FB182" s="581"/>
      <c r="FC182" s="581"/>
      <c r="FD182" s="249"/>
      <c r="FE182" s="581"/>
      <c r="FF182" s="519"/>
      <c r="FG182" s="579"/>
      <c r="FH182" s="519"/>
      <c r="FI182" s="37"/>
    </row>
    <row r="183" spans="1:165" x14ac:dyDescent="0.2">
      <c r="A183" s="180">
        <v>4</v>
      </c>
      <c r="B183" s="211"/>
      <c r="C183" s="212"/>
      <c r="D183" s="211"/>
      <c r="E183" s="212"/>
      <c r="F183" s="213">
        <v>270</v>
      </c>
      <c r="G183" s="213"/>
      <c r="H183" s="216">
        <v>256</v>
      </c>
      <c r="I183" s="215"/>
      <c r="J183" s="213">
        <v>538</v>
      </c>
      <c r="K183" s="213"/>
      <c r="L183" s="216">
        <v>59</v>
      </c>
      <c r="M183" s="215"/>
      <c r="N183" s="213">
        <v>31</v>
      </c>
      <c r="O183" s="213"/>
      <c r="P183" s="216">
        <v>278</v>
      </c>
      <c r="Q183" s="215"/>
      <c r="R183" s="222">
        <v>95</v>
      </c>
      <c r="S183" s="222"/>
      <c r="T183" s="225">
        <v>11</v>
      </c>
      <c r="U183" s="221"/>
      <c r="V183" s="205"/>
      <c r="W183" s="205"/>
      <c r="X183" s="216">
        <v>65</v>
      </c>
      <c r="Y183" s="215"/>
      <c r="Z183" s="213">
        <v>6</v>
      </c>
      <c r="AA183" s="213"/>
      <c r="AB183" s="216">
        <v>4</v>
      </c>
      <c r="AC183" s="215"/>
      <c r="AD183" s="222">
        <v>35</v>
      </c>
      <c r="AE183" s="222"/>
      <c r="AF183" s="225">
        <v>25</v>
      </c>
      <c r="AG183" s="220"/>
      <c r="AH183" s="211"/>
      <c r="AI183" s="228"/>
      <c r="AJ183" s="196"/>
      <c r="AK183" s="212"/>
      <c r="AL183" s="222">
        <v>16</v>
      </c>
      <c r="AM183" s="222"/>
      <c r="AN183" s="211"/>
      <c r="AO183" s="212"/>
      <c r="AP183" s="213">
        <v>26</v>
      </c>
      <c r="AQ183" s="213"/>
      <c r="AR183" s="225">
        <v>43</v>
      </c>
      <c r="AS183" s="221"/>
      <c r="AT183" s="213">
        <v>6</v>
      </c>
      <c r="AU183" s="213"/>
      <c r="AV183" s="216">
        <v>114</v>
      </c>
      <c r="AW183" s="215"/>
      <c r="AX183" s="213">
        <v>22</v>
      </c>
      <c r="AY183" s="213"/>
      <c r="AZ183" s="216">
        <v>6</v>
      </c>
      <c r="BA183" s="215"/>
      <c r="BB183" s="216">
        <v>18</v>
      </c>
      <c r="BC183" s="215"/>
      <c r="BD183" s="211"/>
      <c r="BE183" s="212"/>
      <c r="BF183" s="225">
        <v>20</v>
      </c>
      <c r="BG183" s="220"/>
      <c r="BH183" s="220"/>
      <c r="BI183" s="220"/>
      <c r="BJ183" s="220"/>
      <c r="BK183" s="220"/>
      <c r="BL183" s="211"/>
      <c r="BM183" s="196"/>
      <c r="BN183" s="196"/>
      <c r="BO183" s="196"/>
      <c r="BP183" s="196"/>
      <c r="BQ183" s="212"/>
      <c r="BR183" s="216">
        <v>36</v>
      </c>
      <c r="BS183" s="227"/>
      <c r="BT183" s="227"/>
      <c r="BU183" s="227"/>
      <c r="BV183" s="227"/>
      <c r="BW183" s="215"/>
      <c r="BX183" s="216">
        <v>21</v>
      </c>
      <c r="BY183" s="227"/>
      <c r="BZ183" s="227"/>
      <c r="CA183" s="227"/>
      <c r="CB183" s="227"/>
      <c r="CC183" s="215"/>
      <c r="CD183" s="211"/>
      <c r="CE183" s="196"/>
      <c r="CF183" s="196"/>
      <c r="CG183" s="196"/>
      <c r="CH183" s="196"/>
      <c r="CI183" s="212"/>
      <c r="CJ183" s="211"/>
      <c r="CK183" s="196"/>
      <c r="CL183" s="196"/>
      <c r="CM183" s="196"/>
      <c r="CN183" s="196"/>
      <c r="CO183" s="212"/>
      <c r="CP183" s="211"/>
      <c r="CQ183" s="196"/>
      <c r="CR183" s="196"/>
      <c r="CS183" s="196"/>
      <c r="CT183" s="196"/>
      <c r="CU183" s="212"/>
      <c r="CV183" s="211"/>
      <c r="CW183" s="196"/>
      <c r="CX183" s="196"/>
      <c r="CY183" s="196"/>
      <c r="CZ183" s="196"/>
      <c r="DA183" s="212"/>
      <c r="DB183" s="211"/>
      <c r="DC183" s="196"/>
      <c r="DD183" s="196"/>
      <c r="DE183" s="196"/>
      <c r="DF183" s="196"/>
      <c r="DG183" s="212"/>
      <c r="DH183" s="211"/>
      <c r="DI183" s="196"/>
      <c r="DJ183" s="196"/>
      <c r="DK183" s="196"/>
      <c r="DL183" s="196"/>
      <c r="DM183" s="212"/>
      <c r="DN183" s="211"/>
      <c r="DO183" s="196"/>
      <c r="DP183" s="196"/>
      <c r="DQ183" s="196"/>
      <c r="DR183" s="196"/>
      <c r="DS183" s="212"/>
      <c r="DT183" s="211"/>
      <c r="DU183" s="196"/>
      <c r="DV183" s="196"/>
      <c r="DW183" s="196"/>
      <c r="DX183" s="196"/>
      <c r="DY183" s="212"/>
      <c r="DZ183" s="211"/>
      <c r="EA183" s="196"/>
      <c r="EB183" s="196"/>
      <c r="EC183" s="196"/>
      <c r="ED183" s="196"/>
      <c r="EE183" s="212"/>
      <c r="EF183" s="675">
        <f t="shared" si="254"/>
        <v>4</v>
      </c>
      <c r="EG183" s="224">
        <f t="shared" si="255"/>
        <v>91.61904761904762</v>
      </c>
      <c r="EH183" s="602">
        <f t="shared" si="256"/>
        <v>31.375</v>
      </c>
      <c r="EI183" s="602">
        <f t="shared" si="257"/>
        <v>128.69230769230768</v>
      </c>
      <c r="EJ183" s="519"/>
      <c r="EK183" s="519"/>
      <c r="EL183" s="519"/>
      <c r="EM183" s="581"/>
      <c r="EN183" s="581"/>
      <c r="EO183" s="581"/>
      <c r="EP183" s="581"/>
      <c r="EQ183" s="581"/>
      <c r="ER183" s="581"/>
      <c r="ES183" s="581"/>
      <c r="ET183" s="581"/>
      <c r="EU183" s="581"/>
      <c r="EV183" s="581"/>
      <c r="EW183" s="581"/>
      <c r="EX183" s="581"/>
      <c r="EY183" s="581"/>
      <c r="EZ183" s="581"/>
      <c r="FA183" s="249"/>
      <c r="FB183" s="581"/>
      <c r="FC183" s="581"/>
      <c r="FD183" s="249"/>
      <c r="FE183" s="581"/>
      <c r="FF183" s="519"/>
      <c r="FG183" s="579"/>
      <c r="FH183" s="519"/>
      <c r="FI183" s="37"/>
    </row>
    <row r="184" spans="1:165" x14ac:dyDescent="0.2">
      <c r="A184" s="180">
        <v>5</v>
      </c>
      <c r="B184" s="211"/>
      <c r="C184" s="212"/>
      <c r="D184" s="211"/>
      <c r="E184" s="212"/>
      <c r="F184" s="205"/>
      <c r="G184" s="205"/>
      <c r="H184" s="216">
        <v>694</v>
      </c>
      <c r="I184" s="215"/>
      <c r="J184" s="213">
        <v>217</v>
      </c>
      <c r="K184" s="213"/>
      <c r="L184" s="216">
        <v>65</v>
      </c>
      <c r="M184" s="215"/>
      <c r="N184" s="213">
        <v>100</v>
      </c>
      <c r="O184" s="213"/>
      <c r="P184" s="225">
        <v>32</v>
      </c>
      <c r="Q184" s="221"/>
      <c r="R184" s="213">
        <v>177</v>
      </c>
      <c r="S184" s="213"/>
      <c r="T184" s="225">
        <v>8</v>
      </c>
      <c r="U184" s="221"/>
      <c r="V184" s="213">
        <v>13</v>
      </c>
      <c r="W184" s="213"/>
      <c r="X184" s="216">
        <v>28</v>
      </c>
      <c r="Y184" s="215"/>
      <c r="Z184" s="213">
        <v>15</v>
      </c>
      <c r="AA184" s="213"/>
      <c r="AB184" s="216">
        <v>73</v>
      </c>
      <c r="AC184" s="215"/>
      <c r="AD184" s="213">
        <v>21</v>
      </c>
      <c r="AE184" s="213"/>
      <c r="AF184" s="225">
        <v>44</v>
      </c>
      <c r="AG184" s="220"/>
      <c r="AH184" s="225">
        <v>3</v>
      </c>
      <c r="AI184" s="226"/>
      <c r="AJ184" s="196"/>
      <c r="AK184" s="212"/>
      <c r="AL184" s="222">
        <v>16</v>
      </c>
      <c r="AM184" s="222"/>
      <c r="AN184" s="211"/>
      <c r="AO184" s="212"/>
      <c r="AP184" s="205"/>
      <c r="AQ184" s="205"/>
      <c r="AR184" s="211"/>
      <c r="AS184" s="212"/>
      <c r="AT184" s="213">
        <v>4</v>
      </c>
      <c r="AU184" s="213"/>
      <c r="AV184" s="216">
        <v>50</v>
      </c>
      <c r="AW184" s="215"/>
      <c r="AX184" s="213">
        <v>15</v>
      </c>
      <c r="AY184" s="213"/>
      <c r="AZ184" s="216">
        <v>10</v>
      </c>
      <c r="BA184" s="215"/>
      <c r="BB184" s="216">
        <v>6</v>
      </c>
      <c r="BC184" s="215"/>
      <c r="BD184" s="211"/>
      <c r="BE184" s="212"/>
      <c r="BF184" s="225">
        <f>2+20</f>
        <v>22</v>
      </c>
      <c r="BG184" s="220"/>
      <c r="BH184" s="220"/>
      <c r="BI184" s="220"/>
      <c r="BJ184" s="220"/>
      <c r="BK184" s="220"/>
      <c r="BL184" s="211"/>
      <c r="BM184" s="196"/>
      <c r="BN184" s="196"/>
      <c r="BO184" s="196"/>
      <c r="BP184" s="196"/>
      <c r="BQ184" s="212"/>
      <c r="BR184" s="216">
        <v>12</v>
      </c>
      <c r="BS184" s="227"/>
      <c r="BT184" s="227"/>
      <c r="BU184" s="227"/>
      <c r="BV184" s="227"/>
      <c r="BW184" s="215"/>
      <c r="BX184" s="216">
        <v>9</v>
      </c>
      <c r="BY184" s="227"/>
      <c r="BZ184" s="227"/>
      <c r="CA184" s="227"/>
      <c r="CB184" s="227"/>
      <c r="CC184" s="215"/>
      <c r="CD184" s="211"/>
      <c r="CE184" s="196"/>
      <c r="CF184" s="196"/>
      <c r="CG184" s="196"/>
      <c r="CH184" s="196"/>
      <c r="CI184" s="212"/>
      <c r="CJ184" s="211"/>
      <c r="CK184" s="196"/>
      <c r="CL184" s="196"/>
      <c r="CM184" s="196"/>
      <c r="CN184" s="196"/>
      <c r="CO184" s="212"/>
      <c r="CP184" s="211"/>
      <c r="CQ184" s="196"/>
      <c r="CR184" s="196"/>
      <c r="CS184" s="196"/>
      <c r="CT184" s="196"/>
      <c r="CU184" s="212"/>
      <c r="CV184" s="211"/>
      <c r="CW184" s="196"/>
      <c r="CX184" s="196"/>
      <c r="CY184" s="196"/>
      <c r="CZ184" s="196"/>
      <c r="DA184" s="212"/>
      <c r="DB184" s="211"/>
      <c r="DC184" s="196"/>
      <c r="DD184" s="196"/>
      <c r="DE184" s="196"/>
      <c r="DF184" s="196"/>
      <c r="DG184" s="212"/>
      <c r="DH184" s="211"/>
      <c r="DI184" s="196"/>
      <c r="DJ184" s="196"/>
      <c r="DK184" s="196"/>
      <c r="DL184" s="196"/>
      <c r="DM184" s="212"/>
      <c r="DN184" s="211"/>
      <c r="DO184" s="196"/>
      <c r="DP184" s="196"/>
      <c r="DQ184" s="196"/>
      <c r="DR184" s="196"/>
      <c r="DS184" s="212"/>
      <c r="DT184" s="211"/>
      <c r="DU184" s="196"/>
      <c r="DV184" s="196"/>
      <c r="DW184" s="196"/>
      <c r="DX184" s="196"/>
      <c r="DY184" s="212"/>
      <c r="DZ184" s="211"/>
      <c r="EA184" s="196"/>
      <c r="EB184" s="196"/>
      <c r="EC184" s="196"/>
      <c r="ED184" s="196"/>
      <c r="EE184" s="212"/>
      <c r="EF184" s="675">
        <f t="shared" si="254"/>
        <v>5</v>
      </c>
      <c r="EG184" s="224">
        <f t="shared" si="255"/>
        <v>79.55</v>
      </c>
      <c r="EH184" s="602">
        <f t="shared" si="256"/>
        <v>16.833333333333332</v>
      </c>
      <c r="EI184" s="602">
        <f t="shared" si="257"/>
        <v>106.42857142857143</v>
      </c>
      <c r="EJ184" s="519"/>
      <c r="EK184" s="519"/>
      <c r="EL184" s="519"/>
      <c r="EM184" s="581"/>
      <c r="EN184" s="581"/>
      <c r="EO184" s="581"/>
      <c r="EP184" s="581"/>
      <c r="EQ184" s="581"/>
      <c r="ER184" s="581"/>
      <c r="ES184" s="581"/>
      <c r="ET184" s="581"/>
      <c r="EU184" s="581"/>
      <c r="EV184" s="581"/>
      <c r="EW184" s="581"/>
      <c r="EX184" s="581"/>
      <c r="EY184" s="581"/>
      <c r="EZ184" s="581"/>
      <c r="FA184" s="249"/>
      <c r="FB184" s="581"/>
      <c r="FC184" s="581"/>
      <c r="FD184" s="249"/>
      <c r="FE184" s="581"/>
      <c r="FF184" s="519"/>
      <c r="FG184" s="579"/>
      <c r="FH184" s="519"/>
      <c r="FI184" s="37"/>
    </row>
    <row r="185" spans="1:165" x14ac:dyDescent="0.2">
      <c r="A185" s="180">
        <v>6</v>
      </c>
      <c r="B185" s="211"/>
      <c r="C185" s="212"/>
      <c r="D185" s="211"/>
      <c r="E185" s="212"/>
      <c r="F185" s="205"/>
      <c r="G185" s="205"/>
      <c r="H185" s="211"/>
      <c r="I185" s="212"/>
      <c r="J185" s="213">
        <v>164</v>
      </c>
      <c r="K185" s="213"/>
      <c r="L185" s="216">
        <v>23</v>
      </c>
      <c r="M185" s="215"/>
      <c r="N185" s="213">
        <v>89</v>
      </c>
      <c r="O185" s="213"/>
      <c r="P185" s="211"/>
      <c r="Q185" s="212"/>
      <c r="R185" s="205"/>
      <c r="S185" s="205"/>
      <c r="T185" s="216">
        <v>122</v>
      </c>
      <c r="U185" s="215"/>
      <c r="V185" s="229">
        <v>11</v>
      </c>
      <c r="W185" s="213"/>
      <c r="X185" s="216">
        <v>14</v>
      </c>
      <c r="Y185" s="215"/>
      <c r="Z185" s="213">
        <v>15</v>
      </c>
      <c r="AA185" s="213"/>
      <c r="AB185" s="216">
        <v>11</v>
      </c>
      <c r="AC185" s="215"/>
      <c r="AD185" s="205"/>
      <c r="AE185" s="205"/>
      <c r="AF185" s="225">
        <v>30</v>
      </c>
      <c r="AG185" s="220"/>
      <c r="AH185" s="225">
        <v>26</v>
      </c>
      <c r="AI185" s="226"/>
      <c r="AJ185" s="196"/>
      <c r="AK185" s="212"/>
      <c r="AL185" s="222">
        <v>24</v>
      </c>
      <c r="AM185" s="222"/>
      <c r="AN185" s="225">
        <v>4</v>
      </c>
      <c r="AO185" s="221"/>
      <c r="AP185" s="205"/>
      <c r="AQ185" s="205"/>
      <c r="AR185" s="216">
        <v>99</v>
      </c>
      <c r="AS185" s="215"/>
      <c r="AT185" s="213">
        <v>19</v>
      </c>
      <c r="AU185" s="213"/>
      <c r="AV185" s="216">
        <v>20</v>
      </c>
      <c r="AW185" s="215"/>
      <c r="AX185" s="213">
        <v>14</v>
      </c>
      <c r="AY185" s="213"/>
      <c r="AZ185" s="216">
        <v>1</v>
      </c>
      <c r="BA185" s="215"/>
      <c r="BB185" s="216">
        <v>15</v>
      </c>
      <c r="BC185" s="215"/>
      <c r="BD185" s="211"/>
      <c r="BE185" s="212"/>
      <c r="BF185" s="225">
        <v>6</v>
      </c>
      <c r="BG185" s="220"/>
      <c r="BH185" s="220"/>
      <c r="BI185" s="220"/>
      <c r="BJ185" s="220"/>
      <c r="BK185" s="220"/>
      <c r="BL185" s="211"/>
      <c r="BM185" s="196"/>
      <c r="BN185" s="196"/>
      <c r="BO185" s="196"/>
      <c r="BP185" s="196"/>
      <c r="BQ185" s="212"/>
      <c r="BR185" s="216">
        <v>22</v>
      </c>
      <c r="BS185" s="227"/>
      <c r="BT185" s="227"/>
      <c r="BU185" s="227"/>
      <c r="BV185" s="227"/>
      <c r="BW185" s="215"/>
      <c r="BX185" s="225">
        <v>3</v>
      </c>
      <c r="BY185" s="220"/>
      <c r="BZ185" s="220"/>
      <c r="CA185" s="220"/>
      <c r="CB185" s="220"/>
      <c r="CC185" s="221"/>
      <c r="CD185" s="211"/>
      <c r="CE185" s="196"/>
      <c r="CF185" s="196"/>
      <c r="CG185" s="196"/>
      <c r="CH185" s="196"/>
      <c r="CI185" s="212"/>
      <c r="CJ185" s="211"/>
      <c r="CK185" s="196"/>
      <c r="CL185" s="196"/>
      <c r="CM185" s="196"/>
      <c r="CN185" s="196"/>
      <c r="CO185" s="212"/>
      <c r="CP185" s="211"/>
      <c r="CQ185" s="196"/>
      <c r="CR185" s="196"/>
      <c r="CS185" s="196"/>
      <c r="CT185" s="196"/>
      <c r="CU185" s="212"/>
      <c r="CV185" s="211"/>
      <c r="CW185" s="196"/>
      <c r="CX185" s="196"/>
      <c r="CY185" s="196"/>
      <c r="CZ185" s="196"/>
      <c r="DA185" s="212"/>
      <c r="DB185" s="211"/>
      <c r="DC185" s="196"/>
      <c r="DD185" s="196"/>
      <c r="DE185" s="196"/>
      <c r="DF185" s="196"/>
      <c r="DG185" s="212"/>
      <c r="DH185" s="211"/>
      <c r="DI185" s="196"/>
      <c r="DJ185" s="196"/>
      <c r="DK185" s="196"/>
      <c r="DL185" s="196"/>
      <c r="DM185" s="212"/>
      <c r="DN185" s="211"/>
      <c r="DO185" s="196"/>
      <c r="DP185" s="196"/>
      <c r="DQ185" s="196"/>
      <c r="DR185" s="196"/>
      <c r="DS185" s="212"/>
      <c r="DT185" s="211"/>
      <c r="DU185" s="196"/>
      <c r="DV185" s="196"/>
      <c r="DW185" s="196"/>
      <c r="DX185" s="196"/>
      <c r="DY185" s="212"/>
      <c r="DZ185" s="211"/>
      <c r="EA185" s="196"/>
      <c r="EB185" s="196"/>
      <c r="EC185" s="196"/>
      <c r="ED185" s="196"/>
      <c r="EE185" s="212"/>
      <c r="EF185" s="675">
        <f t="shared" si="254"/>
        <v>6</v>
      </c>
      <c r="EG185" s="224">
        <f t="shared" si="255"/>
        <v>38.944444444444443</v>
      </c>
      <c r="EH185" s="602">
        <f t="shared" si="256"/>
        <v>24.5</v>
      </c>
      <c r="EI185" s="602">
        <f t="shared" si="257"/>
        <v>50.5</v>
      </c>
      <c r="EJ185" s="519"/>
      <c r="EK185" s="519"/>
      <c r="EL185" s="519"/>
      <c r="EM185" s="581"/>
      <c r="EN185" s="581"/>
      <c r="EO185" s="581"/>
      <c r="EP185" s="581"/>
      <c r="EQ185" s="581"/>
      <c r="ER185" s="581"/>
      <c r="ES185" s="581"/>
      <c r="ET185" s="581"/>
      <c r="EU185" s="581"/>
      <c r="EV185" s="581"/>
      <c r="EW185" s="581"/>
      <c r="EX185" s="581"/>
      <c r="EY185" s="581"/>
      <c r="EZ185" s="581"/>
      <c r="FA185" s="249"/>
      <c r="FB185" s="581"/>
      <c r="FC185" s="581"/>
      <c r="FD185" s="249"/>
      <c r="FE185" s="581"/>
      <c r="FF185" s="519"/>
      <c r="FG185" s="579"/>
      <c r="FH185" s="519"/>
      <c r="FI185" s="37"/>
    </row>
    <row r="186" spans="1:165" x14ac:dyDescent="0.2">
      <c r="A186" s="180">
        <v>7</v>
      </c>
      <c r="B186" s="211"/>
      <c r="C186" s="212"/>
      <c r="D186" s="211"/>
      <c r="E186" s="212"/>
      <c r="F186" s="205"/>
      <c r="G186" s="205"/>
      <c r="H186" s="211"/>
      <c r="I186" s="212"/>
      <c r="J186" s="213">
        <v>126</v>
      </c>
      <c r="K186" s="213"/>
      <c r="L186" s="216">
        <v>75</v>
      </c>
      <c r="M186" s="215"/>
      <c r="N186" s="229">
        <v>15</v>
      </c>
      <c r="O186" s="213"/>
      <c r="P186" s="216">
        <v>315</v>
      </c>
      <c r="Q186" s="215"/>
      <c r="R186" s="205"/>
      <c r="S186" s="205"/>
      <c r="T186" s="225">
        <v>41</v>
      </c>
      <c r="U186" s="221"/>
      <c r="V186" s="213">
        <v>9</v>
      </c>
      <c r="W186" s="213"/>
      <c r="X186" s="216">
        <v>20</v>
      </c>
      <c r="Y186" s="215"/>
      <c r="Z186" s="213">
        <v>11</v>
      </c>
      <c r="AA186" s="213"/>
      <c r="AB186" s="225">
        <v>8</v>
      </c>
      <c r="AC186" s="221"/>
      <c r="AD186" s="205"/>
      <c r="AE186" s="205"/>
      <c r="AF186" s="225">
        <v>20</v>
      </c>
      <c r="AG186" s="220"/>
      <c r="AH186" s="225">
        <v>5</v>
      </c>
      <c r="AI186" s="226"/>
      <c r="AJ186" s="196"/>
      <c r="AK186" s="212"/>
      <c r="AL186" s="230">
        <v>10</v>
      </c>
      <c r="AM186" s="222"/>
      <c r="AN186" s="211"/>
      <c r="AO186" s="212"/>
      <c r="AP186" s="231">
        <v>8</v>
      </c>
      <c r="AQ186" s="213"/>
      <c r="AR186" s="216">
        <v>14</v>
      </c>
      <c r="AS186" s="215"/>
      <c r="AT186" s="213">
        <v>40</v>
      </c>
      <c r="AU186" s="213"/>
      <c r="AV186" s="216">
        <v>33</v>
      </c>
      <c r="AW186" s="215"/>
      <c r="AX186" s="213">
        <v>8</v>
      </c>
      <c r="AY186" s="213"/>
      <c r="AZ186" s="216">
        <v>6</v>
      </c>
      <c r="BA186" s="215"/>
      <c r="BB186" s="216">
        <v>50</v>
      </c>
      <c r="BC186" s="215"/>
      <c r="BD186" s="225">
        <v>32</v>
      </c>
      <c r="BE186" s="221"/>
      <c r="BF186" s="225">
        <v>5</v>
      </c>
      <c r="BG186" s="220"/>
      <c r="BH186" s="220"/>
      <c r="BI186" s="220"/>
      <c r="BJ186" s="220"/>
      <c r="BK186" s="220"/>
      <c r="BL186" s="211"/>
      <c r="BM186" s="196"/>
      <c r="BN186" s="196"/>
      <c r="BO186" s="196"/>
      <c r="BP186" s="196"/>
      <c r="BQ186" s="212"/>
      <c r="BR186" s="216">
        <v>59</v>
      </c>
      <c r="BS186" s="227"/>
      <c r="BT186" s="227"/>
      <c r="BU186" s="227"/>
      <c r="BV186" s="227"/>
      <c r="BW186" s="215"/>
      <c r="BX186" s="211"/>
      <c r="BY186" s="196"/>
      <c r="BZ186" s="196"/>
      <c r="CA186" s="196"/>
      <c r="CB186" s="196"/>
      <c r="CC186" s="212"/>
      <c r="CD186" s="211"/>
      <c r="CE186" s="196"/>
      <c r="CF186" s="196"/>
      <c r="CG186" s="196"/>
      <c r="CH186" s="196"/>
      <c r="CI186" s="212"/>
      <c r="CJ186" s="211"/>
      <c r="CK186" s="196"/>
      <c r="CL186" s="196"/>
      <c r="CM186" s="196"/>
      <c r="CN186" s="196"/>
      <c r="CO186" s="212"/>
      <c r="CP186" s="211"/>
      <c r="CQ186" s="196"/>
      <c r="CR186" s="196"/>
      <c r="CS186" s="196"/>
      <c r="CT186" s="196"/>
      <c r="CU186" s="212"/>
      <c r="CV186" s="211"/>
      <c r="CW186" s="196"/>
      <c r="CX186" s="196"/>
      <c r="CY186" s="196"/>
      <c r="CZ186" s="196"/>
      <c r="DA186" s="212"/>
      <c r="DB186" s="211"/>
      <c r="DC186" s="196"/>
      <c r="DD186" s="196"/>
      <c r="DE186" s="196"/>
      <c r="DF186" s="196"/>
      <c r="DG186" s="212"/>
      <c r="DH186" s="211"/>
      <c r="DI186" s="196"/>
      <c r="DJ186" s="196"/>
      <c r="DK186" s="196"/>
      <c r="DL186" s="196"/>
      <c r="DM186" s="212"/>
      <c r="DN186" s="211"/>
      <c r="DO186" s="196"/>
      <c r="DP186" s="196"/>
      <c r="DQ186" s="196"/>
      <c r="DR186" s="196"/>
      <c r="DS186" s="212"/>
      <c r="DT186" s="211"/>
      <c r="DU186" s="196"/>
      <c r="DV186" s="196"/>
      <c r="DW186" s="196"/>
      <c r="DX186" s="196"/>
      <c r="DY186" s="212"/>
      <c r="DZ186" s="211"/>
      <c r="EA186" s="196"/>
      <c r="EB186" s="196"/>
      <c r="EC186" s="196"/>
      <c r="ED186" s="196"/>
      <c r="EE186" s="212"/>
      <c r="EF186" s="675">
        <f t="shared" si="254"/>
        <v>7</v>
      </c>
      <c r="EG186" s="224">
        <f t="shared" si="255"/>
        <v>42.3</v>
      </c>
      <c r="EH186" s="602">
        <f t="shared" si="256"/>
        <v>22.333333333333332</v>
      </c>
      <c r="EI186" s="602">
        <f t="shared" si="257"/>
        <v>58.636363636363633</v>
      </c>
      <c r="EJ186" s="519"/>
      <c r="EK186" s="519"/>
      <c r="EL186" s="519"/>
      <c r="EM186" s="581"/>
      <c r="EN186" s="581"/>
      <c r="EO186" s="581"/>
      <c r="EP186" s="581"/>
      <c r="EQ186" s="581"/>
      <c r="ER186" s="581"/>
      <c r="ES186" s="581"/>
      <c r="ET186" s="581"/>
      <c r="EU186" s="581"/>
      <c r="EV186" s="581"/>
      <c r="EW186" s="581"/>
      <c r="EX186" s="581"/>
      <c r="EY186" s="581"/>
      <c r="EZ186" s="581"/>
      <c r="FA186" s="249"/>
      <c r="FB186" s="581"/>
      <c r="FC186" s="581"/>
      <c r="FD186" s="249"/>
      <c r="FE186" s="581"/>
      <c r="FF186" s="519"/>
      <c r="FG186" s="579"/>
      <c r="FH186" s="519"/>
      <c r="FI186" s="37"/>
    </row>
    <row r="187" spans="1:165" x14ac:dyDescent="0.2">
      <c r="A187" s="180">
        <v>8</v>
      </c>
      <c r="B187" s="211"/>
      <c r="C187" s="212"/>
      <c r="D187" s="211"/>
      <c r="E187" s="212"/>
      <c r="F187" s="205"/>
      <c r="G187" s="205"/>
      <c r="H187" s="211"/>
      <c r="I187" s="212"/>
      <c r="J187" s="213">
        <v>53</v>
      </c>
      <c r="K187" s="213"/>
      <c r="L187" s="211"/>
      <c r="M187" s="212"/>
      <c r="N187" s="205"/>
      <c r="O187" s="205"/>
      <c r="P187" s="211"/>
      <c r="Q187" s="212"/>
      <c r="R187" s="205"/>
      <c r="S187" s="205"/>
      <c r="T187" s="225">
        <v>9</v>
      </c>
      <c r="U187" s="221"/>
      <c r="V187" s="229">
        <v>17</v>
      </c>
      <c r="W187" s="213"/>
      <c r="X187" s="216">
        <v>94</v>
      </c>
      <c r="Y187" s="215"/>
      <c r="Z187" s="229">
        <v>3</v>
      </c>
      <c r="AA187" s="213"/>
      <c r="AB187" s="216">
        <v>11</v>
      </c>
      <c r="AC187" s="215"/>
      <c r="AD187" s="205"/>
      <c r="AE187" s="205"/>
      <c r="AF187" s="225">
        <v>25</v>
      </c>
      <c r="AG187" s="220"/>
      <c r="AH187" s="225">
        <v>4</v>
      </c>
      <c r="AI187" s="226"/>
      <c r="AJ187" s="196"/>
      <c r="AK187" s="212"/>
      <c r="AL187" s="230">
        <v>10</v>
      </c>
      <c r="AM187" s="222"/>
      <c r="AN187" s="211"/>
      <c r="AO187" s="212"/>
      <c r="AP187" s="205"/>
      <c r="AQ187" s="205"/>
      <c r="AR187" s="216">
        <v>17</v>
      </c>
      <c r="AS187" s="215"/>
      <c r="AT187" s="213">
        <v>35</v>
      </c>
      <c r="AU187" s="213"/>
      <c r="AV187" s="216">
        <v>26</v>
      </c>
      <c r="AW187" s="215"/>
      <c r="AX187" s="213">
        <v>4</v>
      </c>
      <c r="AY187" s="213"/>
      <c r="AZ187" s="216">
        <v>10</v>
      </c>
      <c r="BA187" s="215"/>
      <c r="BB187" s="211"/>
      <c r="BC187" s="212"/>
      <c r="BD187" s="211"/>
      <c r="BE187" s="212"/>
      <c r="BF187" s="211"/>
      <c r="BG187" s="196"/>
      <c r="BH187" s="196"/>
      <c r="BI187" s="196"/>
      <c r="BJ187" s="196"/>
      <c r="BK187" s="196"/>
      <c r="BL187" s="937">
        <f>3*0.185</f>
        <v>0.55499999999999994</v>
      </c>
      <c r="BM187" s="227"/>
      <c r="BN187" s="227"/>
      <c r="BO187" s="227"/>
      <c r="BP187" s="227"/>
      <c r="BQ187" s="215"/>
      <c r="BR187" s="937">
        <f>10*0.185</f>
        <v>1.85</v>
      </c>
      <c r="BS187" s="227"/>
      <c r="BT187" s="227"/>
      <c r="BU187" s="227"/>
      <c r="BV187" s="227"/>
      <c r="BW187" s="215"/>
      <c r="BX187" s="1017">
        <v>5</v>
      </c>
      <c r="BY187" s="196"/>
      <c r="BZ187" s="196"/>
      <c r="CA187" s="196"/>
      <c r="CB187" s="196"/>
      <c r="CC187" s="212"/>
      <c r="CD187" s="211"/>
      <c r="CE187" s="196"/>
      <c r="CF187" s="196"/>
      <c r="CG187" s="196"/>
      <c r="CH187" s="196"/>
      <c r="CI187" s="212"/>
      <c r="CJ187" s="211"/>
      <c r="CK187" s="196"/>
      <c r="CL187" s="196"/>
      <c r="CM187" s="196"/>
      <c r="CN187" s="196"/>
      <c r="CO187" s="212"/>
      <c r="CP187" s="211"/>
      <c r="CQ187" s="196"/>
      <c r="CR187" s="196"/>
      <c r="CS187" s="196"/>
      <c r="CT187" s="196"/>
      <c r="CU187" s="212"/>
      <c r="CV187" s="211"/>
      <c r="CW187" s="196"/>
      <c r="CX187" s="196"/>
      <c r="CY187" s="196"/>
      <c r="CZ187" s="196"/>
      <c r="DA187" s="212"/>
      <c r="DB187" s="211"/>
      <c r="DC187" s="196"/>
      <c r="DD187" s="196"/>
      <c r="DE187" s="196"/>
      <c r="DF187" s="196"/>
      <c r="DG187" s="212"/>
      <c r="DH187" s="211"/>
      <c r="DI187" s="196"/>
      <c r="DJ187" s="196"/>
      <c r="DK187" s="196"/>
      <c r="DL187" s="196"/>
      <c r="DM187" s="212"/>
      <c r="DN187" s="211"/>
      <c r="DO187" s="196"/>
      <c r="DP187" s="196"/>
      <c r="DQ187" s="196"/>
      <c r="DR187" s="196"/>
      <c r="DS187" s="212"/>
      <c r="DT187" s="211"/>
      <c r="DU187" s="196"/>
      <c r="DV187" s="196"/>
      <c r="DW187" s="196"/>
      <c r="DX187" s="196"/>
      <c r="DY187" s="212"/>
      <c r="DZ187" s="211"/>
      <c r="EA187" s="196"/>
      <c r="EB187" s="196"/>
      <c r="EC187" s="196"/>
      <c r="ED187" s="196"/>
      <c r="EE187" s="212"/>
      <c r="EF187" s="675">
        <f t="shared" si="254"/>
        <v>8</v>
      </c>
      <c r="EG187" s="224">
        <f t="shared" si="255"/>
        <v>22.714285714285715</v>
      </c>
      <c r="EH187" s="602">
        <f t="shared" si="256"/>
        <v>17</v>
      </c>
      <c r="EI187" s="602">
        <f t="shared" si="257"/>
        <v>27</v>
      </c>
      <c r="EJ187" s="519"/>
      <c r="EK187" s="519"/>
      <c r="EL187" s="519"/>
      <c r="EM187" s="581"/>
      <c r="EN187" s="581"/>
      <c r="EO187" s="581"/>
      <c r="EP187" s="581"/>
      <c r="EQ187" s="581"/>
      <c r="ER187" s="581"/>
      <c r="ES187" s="581"/>
      <c r="ET187" s="581"/>
      <c r="EU187" s="581"/>
      <c r="EV187" s="581"/>
      <c r="EW187" s="581"/>
      <c r="EX187" s="581"/>
      <c r="EY187" s="581"/>
      <c r="EZ187" s="581"/>
      <c r="FA187" s="249"/>
      <c r="FB187" s="581"/>
      <c r="FC187" s="581"/>
      <c r="FD187" s="249"/>
      <c r="FE187" s="581"/>
      <c r="FF187" s="519"/>
      <c r="FG187" s="579"/>
      <c r="FH187" s="519"/>
      <c r="FI187" s="37"/>
    </row>
    <row r="188" spans="1:165" x14ac:dyDescent="0.2">
      <c r="A188" s="180">
        <v>9</v>
      </c>
      <c r="B188" s="211"/>
      <c r="C188" s="212"/>
      <c r="D188" s="211"/>
      <c r="E188" s="212"/>
      <c r="F188" s="205"/>
      <c r="G188" s="205"/>
      <c r="H188" s="211"/>
      <c r="I188" s="212"/>
      <c r="J188" s="205"/>
      <c r="K188" s="205"/>
      <c r="L188" s="211"/>
      <c r="M188" s="212"/>
      <c r="N188" s="205"/>
      <c r="O188" s="205"/>
      <c r="P188" s="211"/>
      <c r="Q188" s="212"/>
      <c r="R188" s="205"/>
      <c r="S188" s="205"/>
      <c r="T188" s="211"/>
      <c r="U188" s="212"/>
      <c r="V188" s="229">
        <v>2</v>
      </c>
      <c r="W188" s="213"/>
      <c r="X188" s="211"/>
      <c r="Y188" s="212"/>
      <c r="Z188" s="205"/>
      <c r="AA188" s="205"/>
      <c r="AB188" s="211"/>
      <c r="AC188" s="212"/>
      <c r="AD188" s="205"/>
      <c r="AE188" s="205"/>
      <c r="AF188" s="225">
        <v>30</v>
      </c>
      <c r="AG188" s="220"/>
      <c r="AH188" s="225">
        <v>2</v>
      </c>
      <c r="AI188" s="226"/>
      <c r="AJ188" s="196"/>
      <c r="AK188" s="212"/>
      <c r="AL188" s="230">
        <v>4</v>
      </c>
      <c r="AM188" s="222"/>
      <c r="AN188" s="214">
        <v>12</v>
      </c>
      <c r="AO188" s="215"/>
      <c r="AP188" s="232">
        <v>20</v>
      </c>
      <c r="AQ188" s="222"/>
      <c r="AR188" s="216">
        <v>31</v>
      </c>
      <c r="AS188" s="215"/>
      <c r="AT188" s="213">
        <v>32</v>
      </c>
      <c r="AU188" s="213"/>
      <c r="AV188" s="216">
        <v>25</v>
      </c>
      <c r="AW188" s="215"/>
      <c r="AX188" s="213">
        <v>15</v>
      </c>
      <c r="AY188" s="213"/>
      <c r="AZ188" s="216">
        <v>2</v>
      </c>
      <c r="BA188" s="215"/>
      <c r="BB188" s="211"/>
      <c r="BC188" s="212"/>
      <c r="BD188" s="216">
        <v>14</v>
      </c>
      <c r="BE188" s="215"/>
      <c r="BF188" s="211"/>
      <c r="BG188" s="196"/>
      <c r="BH188" s="196"/>
      <c r="BI188" s="196"/>
      <c r="BJ188" s="196"/>
      <c r="BK188" s="196"/>
      <c r="BL188" s="937">
        <f>6*0.185</f>
        <v>1.1099999999999999</v>
      </c>
      <c r="BM188" s="227"/>
      <c r="BN188" s="227"/>
      <c r="BO188" s="227"/>
      <c r="BP188" s="227"/>
      <c r="BQ188" s="215"/>
      <c r="BR188" s="937">
        <f>17*0.185</f>
        <v>3.145</v>
      </c>
      <c r="BS188" s="227"/>
      <c r="BT188" s="227"/>
      <c r="BU188" s="227"/>
      <c r="BV188" s="227"/>
      <c r="BW188" s="215"/>
      <c r="BX188" s="1018">
        <v>18</v>
      </c>
      <c r="BY188" s="196"/>
      <c r="BZ188" s="196"/>
      <c r="CA188" s="196"/>
      <c r="CB188" s="196"/>
      <c r="CC188" s="212"/>
      <c r="CD188" s="1017">
        <v>1</v>
      </c>
      <c r="CE188" s="196"/>
      <c r="CF188" s="196"/>
      <c r="CG188" s="196"/>
      <c r="CH188" s="196"/>
      <c r="CI188" s="212"/>
      <c r="CJ188" s="211"/>
      <c r="CK188" s="196"/>
      <c r="CL188" s="196"/>
      <c r="CM188" s="196"/>
      <c r="CN188" s="196"/>
      <c r="CO188" s="212"/>
      <c r="CP188" s="211"/>
      <c r="CQ188" s="196"/>
      <c r="CR188" s="196"/>
      <c r="CS188" s="196"/>
      <c r="CT188" s="196"/>
      <c r="CU188" s="212"/>
      <c r="CV188" s="211"/>
      <c r="CW188" s="196"/>
      <c r="CX188" s="196"/>
      <c r="CY188" s="196"/>
      <c r="CZ188" s="196"/>
      <c r="DA188" s="212"/>
      <c r="DB188" s="211"/>
      <c r="DC188" s="196"/>
      <c r="DD188" s="196"/>
      <c r="DE188" s="196"/>
      <c r="DF188" s="196"/>
      <c r="DG188" s="212"/>
      <c r="DH188" s="211"/>
      <c r="DI188" s="196"/>
      <c r="DJ188" s="196"/>
      <c r="DK188" s="196"/>
      <c r="DL188" s="196"/>
      <c r="DM188" s="212"/>
      <c r="DN188" s="211"/>
      <c r="DO188" s="196"/>
      <c r="DP188" s="196"/>
      <c r="DQ188" s="196"/>
      <c r="DR188" s="196"/>
      <c r="DS188" s="212"/>
      <c r="DT188" s="211"/>
      <c r="DU188" s="196"/>
      <c r="DV188" s="196"/>
      <c r="DW188" s="196"/>
      <c r="DX188" s="196"/>
      <c r="DY188" s="212"/>
      <c r="DZ188" s="211"/>
      <c r="EA188" s="196"/>
      <c r="EB188" s="196"/>
      <c r="EC188" s="196"/>
      <c r="ED188" s="196"/>
      <c r="EE188" s="212"/>
      <c r="EF188" s="675">
        <f t="shared" si="254"/>
        <v>9</v>
      </c>
      <c r="EG188" s="224">
        <f t="shared" si="255"/>
        <v>15.75</v>
      </c>
      <c r="EH188" s="602">
        <f t="shared" si="256"/>
        <v>17.222222222222221</v>
      </c>
      <c r="EI188" s="602">
        <f t="shared" si="257"/>
        <v>11.333333333333334</v>
      </c>
      <c r="EJ188" s="519"/>
      <c r="EK188" s="519"/>
      <c r="EL188" s="519"/>
      <c r="EM188" s="581"/>
      <c r="EN188" s="581"/>
      <c r="EO188" s="581"/>
      <c r="EP188" s="581"/>
      <c r="EQ188" s="581"/>
      <c r="ER188" s="581"/>
      <c r="ES188" s="581"/>
      <c r="ET188" s="581"/>
      <c r="EU188" s="581"/>
      <c r="EV188" s="581"/>
      <c r="EW188" s="581"/>
      <c r="EX188" s="581"/>
      <c r="EY188" s="581"/>
      <c r="EZ188" s="581"/>
      <c r="FA188" s="249"/>
      <c r="FB188" s="581"/>
      <c r="FC188" s="581"/>
      <c r="FD188" s="249"/>
      <c r="FE188" s="581"/>
      <c r="FF188" s="519"/>
      <c r="FG188" s="579"/>
      <c r="FH188" s="519"/>
      <c r="FI188" s="37"/>
    </row>
    <row r="189" spans="1:165" x14ac:dyDescent="0.2">
      <c r="A189" s="180">
        <v>10</v>
      </c>
      <c r="B189" s="211"/>
      <c r="C189" s="212"/>
      <c r="D189" s="211"/>
      <c r="E189" s="212"/>
      <c r="F189" s="205"/>
      <c r="G189" s="205"/>
      <c r="H189" s="211"/>
      <c r="I189" s="212"/>
      <c r="J189" s="230">
        <v>49</v>
      </c>
      <c r="K189" s="222"/>
      <c r="L189" s="211"/>
      <c r="M189" s="212"/>
      <c r="N189" s="205"/>
      <c r="O189" s="205"/>
      <c r="P189" s="211"/>
      <c r="Q189" s="212"/>
      <c r="R189" s="205"/>
      <c r="S189" s="205"/>
      <c r="T189" s="216">
        <v>12</v>
      </c>
      <c r="U189" s="215"/>
      <c r="V189" s="205"/>
      <c r="W189" s="205"/>
      <c r="X189" s="211"/>
      <c r="Y189" s="212"/>
      <c r="Z189" s="205"/>
      <c r="AA189" s="205"/>
      <c r="AB189" s="211"/>
      <c r="AC189" s="212"/>
      <c r="AD189" s="229">
        <v>13</v>
      </c>
      <c r="AE189" s="213"/>
      <c r="AF189" s="225">
        <v>30</v>
      </c>
      <c r="AG189" s="220"/>
      <c r="AH189" s="211"/>
      <c r="AI189" s="228"/>
      <c r="AJ189" s="196"/>
      <c r="AK189" s="212"/>
      <c r="AL189" s="205"/>
      <c r="AM189" s="205"/>
      <c r="AN189" s="211"/>
      <c r="AO189" s="212"/>
      <c r="AP189" s="205"/>
      <c r="AQ189" s="205"/>
      <c r="AR189" s="225">
        <v>15</v>
      </c>
      <c r="AS189" s="221"/>
      <c r="AT189" s="213">
        <v>36</v>
      </c>
      <c r="AU189" s="213"/>
      <c r="AV189" s="216">
        <v>21</v>
      </c>
      <c r="AW189" s="215"/>
      <c r="AX189" s="213">
        <v>12</v>
      </c>
      <c r="AY189" s="213"/>
      <c r="AZ189" s="216">
        <v>10</v>
      </c>
      <c r="BA189" s="215"/>
      <c r="BB189" s="211"/>
      <c r="BC189" s="212"/>
      <c r="BD189" s="211"/>
      <c r="BE189" s="212"/>
      <c r="BF189" s="211"/>
      <c r="BG189" s="196"/>
      <c r="BH189" s="196"/>
      <c r="BI189" s="196"/>
      <c r="BJ189" s="196"/>
      <c r="BK189" s="196"/>
      <c r="BL189" s="937">
        <f>8*0.185</f>
        <v>1.48</v>
      </c>
      <c r="BM189" s="227"/>
      <c r="BN189" s="227"/>
      <c r="BO189" s="227"/>
      <c r="BP189" s="227"/>
      <c r="BQ189" s="215"/>
      <c r="BR189" s="937">
        <f>(5+3)*0.185</f>
        <v>1.48</v>
      </c>
      <c r="BS189" s="227"/>
      <c r="BT189" s="227"/>
      <c r="BU189" s="227"/>
      <c r="BV189" s="227"/>
      <c r="BW189" s="215"/>
      <c r="BX189" s="1018">
        <v>21</v>
      </c>
      <c r="BY189" s="196"/>
      <c r="BZ189" s="196"/>
      <c r="CA189" s="196"/>
      <c r="CB189" s="196"/>
      <c r="CC189" s="212"/>
      <c r="CD189" s="1018"/>
      <c r="CE189" s="196"/>
      <c r="CF189" s="196"/>
      <c r="CG189" s="196"/>
      <c r="CH189" s="196"/>
      <c r="CI189" s="212"/>
      <c r="CJ189" s="211"/>
      <c r="CK189" s="196"/>
      <c r="CL189" s="196"/>
      <c r="CM189" s="196"/>
      <c r="CN189" s="196"/>
      <c r="CO189" s="212"/>
      <c r="CP189" s="211"/>
      <c r="CQ189" s="196"/>
      <c r="CR189" s="196"/>
      <c r="CS189" s="196"/>
      <c r="CT189" s="196"/>
      <c r="CU189" s="212"/>
      <c r="CV189" s="211"/>
      <c r="CW189" s="196"/>
      <c r="CX189" s="196"/>
      <c r="CY189" s="196"/>
      <c r="CZ189" s="196"/>
      <c r="DA189" s="212"/>
      <c r="DB189" s="211"/>
      <c r="DC189" s="196"/>
      <c r="DD189" s="196"/>
      <c r="DE189" s="196"/>
      <c r="DF189" s="196"/>
      <c r="DG189" s="212"/>
      <c r="DH189" s="211"/>
      <c r="DI189" s="196"/>
      <c r="DJ189" s="196"/>
      <c r="DK189" s="196"/>
      <c r="DL189" s="196"/>
      <c r="DM189" s="212"/>
      <c r="DN189" s="211"/>
      <c r="DO189" s="196"/>
      <c r="DP189" s="196"/>
      <c r="DQ189" s="196"/>
      <c r="DR189" s="196"/>
      <c r="DS189" s="212"/>
      <c r="DT189" s="211"/>
      <c r="DU189" s="196"/>
      <c r="DV189" s="196"/>
      <c r="DW189" s="196"/>
      <c r="DX189" s="196"/>
      <c r="DY189" s="212"/>
      <c r="DZ189" s="211"/>
      <c r="EA189" s="196"/>
      <c r="EB189" s="196"/>
      <c r="EC189" s="196"/>
      <c r="ED189" s="196"/>
      <c r="EE189" s="212"/>
      <c r="EF189" s="675">
        <f t="shared" si="254"/>
        <v>10</v>
      </c>
      <c r="EG189" s="224">
        <f t="shared" si="255"/>
        <v>22</v>
      </c>
      <c r="EH189" s="602">
        <f t="shared" si="256"/>
        <v>18.8</v>
      </c>
      <c r="EI189" s="602">
        <f t="shared" si="257"/>
        <v>26</v>
      </c>
      <c r="EJ189" s="519"/>
      <c r="EK189" s="519"/>
      <c r="EL189" s="519"/>
      <c r="EM189" s="581"/>
      <c r="EN189" s="581"/>
      <c r="EO189" s="581"/>
      <c r="EP189" s="581"/>
      <c r="EQ189" s="581"/>
      <c r="ER189" s="581"/>
      <c r="ES189" s="581"/>
      <c r="ET189" s="581"/>
      <c r="EU189" s="581"/>
      <c r="EV189" s="581"/>
      <c r="EW189" s="581"/>
      <c r="EX189" s="581"/>
      <c r="EY189" s="581"/>
      <c r="EZ189" s="581"/>
      <c r="FA189" s="249"/>
      <c r="FB189" s="581"/>
      <c r="FC189" s="581"/>
      <c r="FD189" s="249"/>
      <c r="FE189" s="581"/>
      <c r="FF189" s="519"/>
      <c r="FG189" s="579"/>
      <c r="FH189" s="519"/>
      <c r="FI189" s="37"/>
    </row>
    <row r="190" spans="1:165" x14ac:dyDescent="0.2">
      <c r="A190" s="180">
        <v>11</v>
      </c>
      <c r="B190" s="211"/>
      <c r="C190" s="212"/>
      <c r="D190" s="211"/>
      <c r="E190" s="212"/>
      <c r="F190" s="205"/>
      <c r="G190" s="205"/>
      <c r="H190" s="211"/>
      <c r="I190" s="212"/>
      <c r="J190" s="205"/>
      <c r="K190" s="205"/>
      <c r="L190" s="211"/>
      <c r="M190" s="212"/>
      <c r="N190" s="205"/>
      <c r="O190" s="205"/>
      <c r="P190" s="211"/>
      <c r="Q190" s="212"/>
      <c r="R190" s="205"/>
      <c r="S190" s="205"/>
      <c r="T190" s="211"/>
      <c r="U190" s="212"/>
      <c r="V190" s="213">
        <v>28</v>
      </c>
      <c r="W190" s="213"/>
      <c r="X190" s="211"/>
      <c r="Y190" s="212"/>
      <c r="Z190" s="205"/>
      <c r="AA190" s="205"/>
      <c r="AB190" s="211"/>
      <c r="AC190" s="212"/>
      <c r="AD190" s="205"/>
      <c r="AE190" s="205"/>
      <c r="AF190" s="225">
        <v>16</v>
      </c>
      <c r="AG190" s="220"/>
      <c r="AH190" s="225">
        <v>1</v>
      </c>
      <c r="AI190" s="226"/>
      <c r="AJ190" s="196"/>
      <c r="AK190" s="212"/>
      <c r="AL190" s="205"/>
      <c r="AM190" s="205"/>
      <c r="AN190" s="211"/>
      <c r="AO190" s="212"/>
      <c r="AP190" s="205"/>
      <c r="AQ190" s="205"/>
      <c r="AR190" s="211"/>
      <c r="AS190" s="212"/>
      <c r="AT190" s="213">
        <v>102</v>
      </c>
      <c r="AU190" s="213"/>
      <c r="AV190" s="216">
        <v>0</v>
      </c>
      <c r="AW190" s="215"/>
      <c r="AX190" s="213">
        <v>15</v>
      </c>
      <c r="AY190" s="213"/>
      <c r="AZ190" s="211"/>
      <c r="BA190" s="212"/>
      <c r="BB190" s="211"/>
      <c r="BC190" s="212"/>
      <c r="BD190" s="211"/>
      <c r="BE190" s="212"/>
      <c r="BF190" s="211"/>
      <c r="BG190" s="196"/>
      <c r="BH190" s="196"/>
      <c r="BI190" s="196"/>
      <c r="BJ190" s="196"/>
      <c r="BK190" s="196"/>
      <c r="BL190" s="937">
        <f>1*0.185</f>
        <v>0.185</v>
      </c>
      <c r="BM190" s="227"/>
      <c r="BN190" s="227"/>
      <c r="BO190" s="227"/>
      <c r="BP190" s="227"/>
      <c r="BQ190" s="215"/>
      <c r="BR190" s="937">
        <f>22*0.185</f>
        <v>4.07</v>
      </c>
      <c r="BS190" s="227"/>
      <c r="BT190" s="227"/>
      <c r="BU190" s="227"/>
      <c r="BV190" s="227"/>
      <c r="BW190" s="215"/>
      <c r="BX190" s="1018">
        <v>15</v>
      </c>
      <c r="BY190" s="196"/>
      <c r="BZ190" s="196"/>
      <c r="CA190" s="196"/>
      <c r="CB190" s="196"/>
      <c r="CC190" s="212"/>
      <c r="CD190" s="1018"/>
      <c r="CE190" s="196"/>
      <c r="CF190" s="196"/>
      <c r="CG190" s="196"/>
      <c r="CH190" s="196"/>
      <c r="CI190" s="212"/>
      <c r="CJ190" s="211"/>
      <c r="CK190" s="196"/>
      <c r="CL190" s="196"/>
      <c r="CM190" s="196"/>
      <c r="CN190" s="196"/>
      <c r="CO190" s="212"/>
      <c r="CP190" s="211"/>
      <c r="CQ190" s="196"/>
      <c r="CR190" s="196"/>
      <c r="CS190" s="196"/>
      <c r="CT190" s="196"/>
      <c r="CU190" s="212"/>
      <c r="CV190" s="211"/>
      <c r="CW190" s="196"/>
      <c r="CX190" s="196"/>
      <c r="CY190" s="196"/>
      <c r="CZ190" s="196"/>
      <c r="DA190" s="212"/>
      <c r="DB190" s="211"/>
      <c r="DC190" s="196"/>
      <c r="DD190" s="196"/>
      <c r="DE190" s="196"/>
      <c r="DF190" s="196"/>
      <c r="DG190" s="212"/>
      <c r="DH190" s="211"/>
      <c r="DI190" s="196"/>
      <c r="DJ190" s="196"/>
      <c r="DK190" s="196"/>
      <c r="DL190" s="196"/>
      <c r="DM190" s="212"/>
      <c r="DN190" s="211"/>
      <c r="DO190" s="196"/>
      <c r="DP190" s="196"/>
      <c r="DQ190" s="196"/>
      <c r="DR190" s="196"/>
      <c r="DS190" s="212"/>
      <c r="DT190" s="211"/>
      <c r="DU190" s="196"/>
      <c r="DV190" s="196"/>
      <c r="DW190" s="196"/>
      <c r="DX190" s="196"/>
      <c r="DY190" s="212"/>
      <c r="DZ190" s="211"/>
      <c r="EA190" s="196"/>
      <c r="EB190" s="196"/>
      <c r="EC190" s="196"/>
      <c r="ED190" s="196"/>
      <c r="EE190" s="212"/>
      <c r="EF190" s="675">
        <f t="shared" si="254"/>
        <v>11</v>
      </c>
      <c r="EG190" s="224">
        <f t="shared" si="255"/>
        <v>27</v>
      </c>
      <c r="EH190" s="602">
        <f t="shared" si="256"/>
        <v>39</v>
      </c>
      <c r="EI190" s="602">
        <f t="shared" si="257"/>
        <v>15</v>
      </c>
      <c r="EJ190" s="519"/>
      <c r="EK190" s="519"/>
      <c r="EL190" s="519"/>
      <c r="EM190" s="581"/>
      <c r="EN190" s="581"/>
      <c r="EO190" s="581"/>
      <c r="EP190" s="581"/>
      <c r="EQ190" s="581"/>
      <c r="ER190" s="581"/>
      <c r="ES190" s="581"/>
      <c r="ET190" s="581"/>
      <c r="EU190" s="581"/>
      <c r="EV190" s="581"/>
      <c r="EW190" s="581"/>
      <c r="EX190" s="581"/>
      <c r="EY190" s="581"/>
      <c r="EZ190" s="581"/>
      <c r="FA190" s="249"/>
      <c r="FB190" s="581"/>
      <c r="FC190" s="581"/>
      <c r="FD190" s="249"/>
      <c r="FE190" s="581"/>
      <c r="FF190" s="519"/>
      <c r="FG190" s="579"/>
      <c r="FH190" s="519"/>
      <c r="FI190" s="37"/>
    </row>
    <row r="191" spans="1:165" x14ac:dyDescent="0.2">
      <c r="A191" s="180">
        <v>12</v>
      </c>
      <c r="B191" s="211"/>
      <c r="C191" s="212"/>
      <c r="D191" s="211"/>
      <c r="E191" s="212"/>
      <c r="F191" s="205"/>
      <c r="G191" s="205"/>
      <c r="H191" s="211"/>
      <c r="I191" s="212"/>
      <c r="J191" s="205"/>
      <c r="K191" s="205"/>
      <c r="L191" s="211"/>
      <c r="M191" s="212"/>
      <c r="N191" s="205"/>
      <c r="O191" s="205"/>
      <c r="P191" s="211"/>
      <c r="Q191" s="212"/>
      <c r="R191" s="205"/>
      <c r="S191" s="205"/>
      <c r="T191" s="211"/>
      <c r="U191" s="212"/>
      <c r="V191" s="213">
        <v>13</v>
      </c>
      <c r="W191" s="213"/>
      <c r="X191" s="211"/>
      <c r="Y191" s="212"/>
      <c r="Z191" s="205"/>
      <c r="AA191" s="205"/>
      <c r="AB191" s="211"/>
      <c r="AC191" s="212"/>
      <c r="AD191" s="205"/>
      <c r="AE191" s="205"/>
      <c r="AF191" s="211"/>
      <c r="AG191" s="196"/>
      <c r="AH191" s="225">
        <v>5</v>
      </c>
      <c r="AI191" s="226"/>
      <c r="AJ191" s="196"/>
      <c r="AK191" s="212"/>
      <c r="AL191" s="205"/>
      <c r="AM191" s="205"/>
      <c r="AN191" s="211"/>
      <c r="AO191" s="212"/>
      <c r="AP191" s="205"/>
      <c r="AQ191" s="205"/>
      <c r="AR191" s="225">
        <v>5</v>
      </c>
      <c r="AS191" s="221"/>
      <c r="AT191" s="213">
        <v>27</v>
      </c>
      <c r="AU191" s="213"/>
      <c r="AV191" s="216">
        <v>45</v>
      </c>
      <c r="AW191" s="215"/>
      <c r="AX191" s="213">
        <v>53</v>
      </c>
      <c r="AY191" s="213"/>
      <c r="AZ191" s="216">
        <v>12</v>
      </c>
      <c r="BA191" s="215"/>
      <c r="BB191" s="211"/>
      <c r="BC191" s="212"/>
      <c r="BD191" s="211"/>
      <c r="BE191" s="212"/>
      <c r="BF191" s="227">
        <v>31</v>
      </c>
      <c r="BG191" s="227"/>
      <c r="BH191" s="227"/>
      <c r="BI191" s="227"/>
      <c r="BJ191" s="227"/>
      <c r="BK191" s="227"/>
      <c r="BL191" s="937">
        <f>6*0.185</f>
        <v>1.1099999999999999</v>
      </c>
      <c r="BM191" s="227"/>
      <c r="BN191" s="227"/>
      <c r="BO191" s="227"/>
      <c r="BP191" s="227"/>
      <c r="BQ191" s="215"/>
      <c r="BR191" s="937">
        <f>18*0.185</f>
        <v>3.33</v>
      </c>
      <c r="BS191" s="227"/>
      <c r="BT191" s="227"/>
      <c r="BU191" s="227"/>
      <c r="BV191" s="227"/>
      <c r="BW191" s="215"/>
      <c r="BX191" s="1018">
        <v>14</v>
      </c>
      <c r="BY191" s="196"/>
      <c r="BZ191" s="196"/>
      <c r="CA191" s="196"/>
      <c r="CB191" s="196"/>
      <c r="CC191" s="212"/>
      <c r="CD191" s="1018">
        <v>19</v>
      </c>
      <c r="CE191" s="196"/>
      <c r="CF191" s="196"/>
      <c r="CG191" s="196"/>
      <c r="CH191" s="196"/>
      <c r="CI191" s="212"/>
      <c r="CJ191" s="211"/>
      <c r="CK191" s="196"/>
      <c r="CL191" s="196"/>
      <c r="CM191" s="196"/>
      <c r="CN191" s="196"/>
      <c r="CO191" s="212"/>
      <c r="CP191" s="211"/>
      <c r="CQ191" s="196"/>
      <c r="CR191" s="196"/>
      <c r="CS191" s="196"/>
      <c r="CT191" s="196"/>
      <c r="CU191" s="212"/>
      <c r="CV191" s="211"/>
      <c r="CW191" s="196"/>
      <c r="CX191" s="196"/>
      <c r="CY191" s="196"/>
      <c r="CZ191" s="196"/>
      <c r="DA191" s="212"/>
      <c r="DB191" s="211"/>
      <c r="DC191" s="196"/>
      <c r="DD191" s="196"/>
      <c r="DE191" s="196"/>
      <c r="DF191" s="196"/>
      <c r="DG191" s="212"/>
      <c r="DH191" s="211"/>
      <c r="DI191" s="196"/>
      <c r="DJ191" s="196"/>
      <c r="DK191" s="196"/>
      <c r="DL191" s="196"/>
      <c r="DM191" s="212"/>
      <c r="DN191" s="211"/>
      <c r="DO191" s="196"/>
      <c r="DP191" s="196"/>
      <c r="DQ191" s="196"/>
      <c r="DR191" s="196"/>
      <c r="DS191" s="212"/>
      <c r="DT191" s="211"/>
      <c r="DU191" s="196"/>
      <c r="DV191" s="196"/>
      <c r="DW191" s="196"/>
      <c r="DX191" s="196"/>
      <c r="DY191" s="212"/>
      <c r="DZ191" s="211"/>
      <c r="EA191" s="196"/>
      <c r="EB191" s="196"/>
      <c r="EC191" s="196"/>
      <c r="ED191" s="196"/>
      <c r="EE191" s="212"/>
      <c r="EF191" s="675">
        <f t="shared" si="254"/>
        <v>12</v>
      </c>
      <c r="EG191" s="224">
        <f t="shared" si="255"/>
        <v>22.857142857142858</v>
      </c>
      <c r="EH191" s="602">
        <f t="shared" si="256"/>
        <v>28.4</v>
      </c>
      <c r="EI191" s="602">
        <f t="shared" si="257"/>
        <v>9</v>
      </c>
      <c r="EJ191" s="519"/>
      <c r="EK191" s="519"/>
      <c r="EL191" s="519"/>
      <c r="EM191" s="581"/>
      <c r="EN191" s="581"/>
      <c r="EO191" s="581"/>
      <c r="EP191" s="581"/>
      <c r="EQ191" s="581"/>
      <c r="ER191" s="581"/>
      <c r="ES191" s="581"/>
      <c r="ET191" s="581"/>
      <c r="EU191" s="581"/>
      <c r="EV191" s="581"/>
      <c r="EW191" s="581"/>
      <c r="EX191" s="581"/>
      <c r="EY191" s="581"/>
      <c r="EZ191" s="581"/>
      <c r="FA191" s="249"/>
      <c r="FB191" s="581"/>
      <c r="FC191" s="581"/>
      <c r="FD191" s="249"/>
      <c r="FE191" s="581"/>
      <c r="FF191" s="519"/>
      <c r="FG191" s="579"/>
      <c r="FH191" s="519"/>
      <c r="FI191" s="37"/>
    </row>
    <row r="192" spans="1:165" x14ac:dyDescent="0.2">
      <c r="A192" s="180">
        <v>13</v>
      </c>
      <c r="B192" s="211"/>
      <c r="C192" s="212"/>
      <c r="D192" s="211"/>
      <c r="E192" s="212"/>
      <c r="F192" s="205"/>
      <c r="G192" s="205"/>
      <c r="H192" s="211"/>
      <c r="I192" s="212"/>
      <c r="J192" s="205"/>
      <c r="K192" s="205"/>
      <c r="L192" s="211"/>
      <c r="M192" s="212"/>
      <c r="N192" s="205"/>
      <c r="O192" s="205"/>
      <c r="P192" s="211"/>
      <c r="Q192" s="212"/>
      <c r="R192" s="205"/>
      <c r="S192" s="205"/>
      <c r="T192" s="211"/>
      <c r="U192" s="212"/>
      <c r="V192" s="205"/>
      <c r="W192" s="205"/>
      <c r="X192" s="211"/>
      <c r="Y192" s="212"/>
      <c r="Z192" s="205"/>
      <c r="AA192" s="205"/>
      <c r="AB192" s="211"/>
      <c r="AC192" s="212"/>
      <c r="AD192" s="205"/>
      <c r="AE192" s="205"/>
      <c r="AF192" s="211"/>
      <c r="AG192" s="196"/>
      <c r="AH192" s="225">
        <v>10</v>
      </c>
      <c r="AI192" s="226"/>
      <c r="AJ192" s="196"/>
      <c r="AK192" s="212"/>
      <c r="AL192" s="205"/>
      <c r="AM192" s="205"/>
      <c r="AN192" s="211"/>
      <c r="AO192" s="212"/>
      <c r="AP192" s="231">
        <v>29</v>
      </c>
      <c r="AQ192" s="213"/>
      <c r="AR192" s="211"/>
      <c r="AS192" s="212"/>
      <c r="AT192" s="205"/>
      <c r="AU192" s="205"/>
      <c r="AV192" s="225">
        <v>95</v>
      </c>
      <c r="AW192" s="221"/>
      <c r="AX192" s="222">
        <v>4</v>
      </c>
      <c r="AY192" s="222"/>
      <c r="AZ192" s="216">
        <v>3</v>
      </c>
      <c r="BA192" s="215"/>
      <c r="BB192" s="211"/>
      <c r="BC192" s="212"/>
      <c r="BD192" s="211"/>
      <c r="BE192" s="212"/>
      <c r="BF192" s="227">
        <v>43</v>
      </c>
      <c r="BG192" s="227"/>
      <c r="BH192" s="227"/>
      <c r="BI192" s="227"/>
      <c r="BJ192" s="227"/>
      <c r="BK192" s="227"/>
      <c r="BL192" s="937">
        <f>11*0.185</f>
        <v>2.0350000000000001</v>
      </c>
      <c r="BM192" s="227"/>
      <c r="BN192" s="227"/>
      <c r="BO192" s="227"/>
      <c r="BP192" s="227"/>
      <c r="BQ192" s="215"/>
      <c r="BR192" s="937">
        <f>26*0.185</f>
        <v>4.8099999999999996</v>
      </c>
      <c r="BS192" s="227"/>
      <c r="BT192" s="227"/>
      <c r="BU192" s="227"/>
      <c r="BV192" s="227"/>
      <c r="BW192" s="215"/>
      <c r="BX192" s="1018">
        <v>7</v>
      </c>
      <c r="BY192" s="196"/>
      <c r="BZ192" s="196"/>
      <c r="CA192" s="196"/>
      <c r="CB192" s="196"/>
      <c r="CC192" s="212"/>
      <c r="CD192" s="1018">
        <v>18</v>
      </c>
      <c r="CE192" s="196"/>
      <c r="CF192" s="196"/>
      <c r="CG192" s="196"/>
      <c r="CH192" s="196"/>
      <c r="CI192" s="212"/>
      <c r="CJ192" s="211"/>
      <c r="CK192" s="196"/>
      <c r="CL192" s="196"/>
      <c r="CM192" s="196"/>
      <c r="CN192" s="196"/>
      <c r="CO192" s="212"/>
      <c r="CP192" s="211"/>
      <c r="CQ192" s="196"/>
      <c r="CR192" s="196"/>
      <c r="CS192" s="196"/>
      <c r="CT192" s="196"/>
      <c r="CU192" s="212"/>
      <c r="CV192" s="211"/>
      <c r="CW192" s="196"/>
      <c r="CX192" s="196"/>
      <c r="CY192" s="196"/>
      <c r="CZ192" s="196"/>
      <c r="DA192" s="212"/>
      <c r="DB192" s="211"/>
      <c r="DC192" s="196"/>
      <c r="DD192" s="196"/>
      <c r="DE192" s="196"/>
      <c r="DF192" s="196"/>
      <c r="DG192" s="212"/>
      <c r="DH192" s="211"/>
      <c r="DI192" s="196"/>
      <c r="DJ192" s="196"/>
      <c r="DK192" s="196"/>
      <c r="DL192" s="196"/>
      <c r="DM192" s="212"/>
      <c r="DN192" s="211"/>
      <c r="DO192" s="196"/>
      <c r="DP192" s="196"/>
      <c r="DQ192" s="196"/>
      <c r="DR192" s="196"/>
      <c r="DS192" s="212"/>
      <c r="DT192" s="211"/>
      <c r="DU192" s="196"/>
      <c r="DV192" s="196"/>
      <c r="DW192" s="196"/>
      <c r="DX192" s="196"/>
      <c r="DY192" s="212"/>
      <c r="DZ192" s="211"/>
      <c r="EA192" s="196"/>
      <c r="EB192" s="196"/>
      <c r="EC192" s="196"/>
      <c r="ED192" s="196"/>
      <c r="EE192" s="212"/>
      <c r="EF192" s="675">
        <f t="shared" si="254"/>
        <v>13</v>
      </c>
      <c r="EG192" s="224">
        <f t="shared" si="255"/>
        <v>28.2</v>
      </c>
      <c r="EH192" s="602">
        <f t="shared" si="256"/>
        <v>32.75</v>
      </c>
      <c r="EI192" s="602">
        <f t="shared" si="257"/>
        <v>10</v>
      </c>
      <c r="EJ192" s="519"/>
      <c r="EK192" s="519"/>
      <c r="EL192" s="519"/>
      <c r="EM192" s="581"/>
      <c r="EN192" s="581"/>
      <c r="EO192" s="581"/>
      <c r="EP192" s="581"/>
      <c r="EQ192" s="581"/>
      <c r="ER192" s="581"/>
      <c r="ES192" s="581"/>
      <c r="ET192" s="581"/>
      <c r="EU192" s="581"/>
      <c r="EV192" s="581"/>
      <c r="EW192" s="581"/>
      <c r="EX192" s="581"/>
      <c r="EY192" s="581"/>
      <c r="EZ192" s="581"/>
      <c r="FA192" s="249"/>
      <c r="FB192" s="581"/>
      <c r="FC192" s="581"/>
      <c r="FD192" s="249"/>
      <c r="FE192" s="581"/>
      <c r="FF192" s="519"/>
      <c r="FG192" s="579"/>
      <c r="FH192" s="519"/>
      <c r="FI192" s="37"/>
    </row>
    <row r="193" spans="1:165" x14ac:dyDescent="0.2">
      <c r="A193" s="180">
        <v>14</v>
      </c>
      <c r="B193" s="211"/>
      <c r="C193" s="212"/>
      <c r="D193" s="211"/>
      <c r="E193" s="212"/>
      <c r="F193" s="205"/>
      <c r="G193" s="205"/>
      <c r="H193" s="211"/>
      <c r="I193" s="212"/>
      <c r="J193" s="205"/>
      <c r="K193" s="205"/>
      <c r="L193" s="211"/>
      <c r="M193" s="212"/>
      <c r="N193" s="205"/>
      <c r="O193" s="205"/>
      <c r="P193" s="211"/>
      <c r="Q193" s="212"/>
      <c r="R193" s="205"/>
      <c r="S193" s="205"/>
      <c r="T193" s="211"/>
      <c r="U193" s="212"/>
      <c r="V193" s="205"/>
      <c r="W193" s="205"/>
      <c r="X193" s="211"/>
      <c r="Y193" s="212"/>
      <c r="Z193" s="205"/>
      <c r="AA193" s="205"/>
      <c r="AB193" s="211"/>
      <c r="AC193" s="212"/>
      <c r="AD193" s="205"/>
      <c r="AE193" s="205"/>
      <c r="AF193" s="211"/>
      <c r="AG193" s="196"/>
      <c r="AH193" s="225">
        <v>29</v>
      </c>
      <c r="AI193" s="226"/>
      <c r="AJ193" s="196"/>
      <c r="AK193" s="212"/>
      <c r="AL193" s="205"/>
      <c r="AM193" s="205"/>
      <c r="AN193" s="211"/>
      <c r="AO193" s="212"/>
      <c r="AP193" s="231">
        <v>32</v>
      </c>
      <c r="AQ193" s="213"/>
      <c r="AR193" s="211"/>
      <c r="AS193" s="212"/>
      <c r="AT193" s="205"/>
      <c r="AU193" s="205"/>
      <c r="AV193" s="216"/>
      <c r="AW193" s="215"/>
      <c r="AX193" s="205"/>
      <c r="AY193" s="205"/>
      <c r="AZ193" s="216">
        <v>4</v>
      </c>
      <c r="BA193" s="215"/>
      <c r="BB193" s="211"/>
      <c r="BC193" s="212"/>
      <c r="BD193" s="211"/>
      <c r="BE193" s="212"/>
      <c r="BF193" s="211"/>
      <c r="BG193" s="196"/>
      <c r="BH193" s="196"/>
      <c r="BI193" s="196"/>
      <c r="BJ193" s="196"/>
      <c r="BK193" s="196"/>
      <c r="BL193" s="937">
        <f>6*0.185</f>
        <v>1.1099999999999999</v>
      </c>
      <c r="BM193" s="227"/>
      <c r="BN193" s="227"/>
      <c r="BO193" s="227"/>
      <c r="BP193" s="227"/>
      <c r="BQ193" s="215"/>
      <c r="BR193" s="937">
        <f>21*0.185</f>
        <v>3.8849999999999998</v>
      </c>
      <c r="BS193" s="227"/>
      <c r="BT193" s="227"/>
      <c r="BU193" s="227"/>
      <c r="BV193" s="227"/>
      <c r="BW193" s="215"/>
      <c r="BX193" s="1018">
        <v>6</v>
      </c>
      <c r="BY193" s="196"/>
      <c r="BZ193" s="196"/>
      <c r="CA193" s="196"/>
      <c r="CB193" s="196"/>
      <c r="CC193" s="212"/>
      <c r="CD193" s="1018">
        <v>19</v>
      </c>
      <c r="CE193" s="196"/>
      <c r="CF193" s="196"/>
      <c r="CG193" s="196"/>
      <c r="CH193" s="196"/>
      <c r="CI193" s="212"/>
      <c r="CJ193" s="211"/>
      <c r="CK193" s="196"/>
      <c r="CL193" s="196"/>
      <c r="CM193" s="196"/>
      <c r="CN193" s="196"/>
      <c r="CO193" s="212"/>
      <c r="CP193" s="211"/>
      <c r="CQ193" s="196"/>
      <c r="CR193" s="196"/>
      <c r="CS193" s="196"/>
      <c r="CT193" s="196"/>
      <c r="CU193" s="212"/>
      <c r="CV193" s="211"/>
      <c r="CW193" s="196"/>
      <c r="CX193" s="196"/>
      <c r="CY193" s="196"/>
      <c r="CZ193" s="196"/>
      <c r="DA193" s="212"/>
      <c r="DB193" s="211"/>
      <c r="DC193" s="196"/>
      <c r="DD193" s="196"/>
      <c r="DE193" s="196"/>
      <c r="DF193" s="196"/>
      <c r="DG193" s="212"/>
      <c r="DH193" s="211"/>
      <c r="DI193" s="196"/>
      <c r="DJ193" s="196"/>
      <c r="DK193" s="196"/>
      <c r="DL193" s="196"/>
      <c r="DM193" s="212"/>
      <c r="DN193" s="211"/>
      <c r="DO193" s="196"/>
      <c r="DP193" s="196"/>
      <c r="DQ193" s="196"/>
      <c r="DR193" s="196"/>
      <c r="DS193" s="212"/>
      <c r="DT193" s="211"/>
      <c r="DU193" s="196"/>
      <c r="DV193" s="196"/>
      <c r="DW193" s="196"/>
      <c r="DX193" s="196"/>
      <c r="DY193" s="212"/>
      <c r="DZ193" s="211"/>
      <c r="EA193" s="196"/>
      <c r="EB193" s="196"/>
      <c r="EC193" s="196"/>
      <c r="ED193" s="196"/>
      <c r="EE193" s="212"/>
      <c r="EF193" s="675">
        <f t="shared" si="254"/>
        <v>14</v>
      </c>
      <c r="EG193" s="224">
        <f t="shared" si="255"/>
        <v>21.666666666666668</v>
      </c>
      <c r="EH193" s="602">
        <f t="shared" si="256"/>
        <v>18</v>
      </c>
      <c r="EI193" s="602">
        <f t="shared" si="257"/>
        <v>29</v>
      </c>
      <c r="EJ193" s="519"/>
      <c r="EK193" s="519"/>
      <c r="EL193" s="519"/>
      <c r="EM193" s="581"/>
      <c r="EN193" s="581"/>
      <c r="EO193" s="581"/>
      <c r="EP193" s="581"/>
      <c r="EQ193" s="581"/>
      <c r="ER193" s="581"/>
      <c r="ES193" s="581"/>
      <c r="ET193" s="581"/>
      <c r="EU193" s="581"/>
      <c r="EV193" s="581"/>
      <c r="EW193" s="581"/>
      <c r="EX193" s="581"/>
      <c r="EY193" s="581"/>
      <c r="EZ193" s="581"/>
      <c r="FA193" s="249"/>
      <c r="FB193" s="581"/>
      <c r="FC193" s="581"/>
      <c r="FD193" s="249"/>
      <c r="FE193" s="581"/>
      <c r="FF193" s="519"/>
      <c r="FG193" s="579"/>
      <c r="FH193" s="519"/>
      <c r="FI193" s="37"/>
    </row>
    <row r="194" spans="1:165" x14ac:dyDescent="0.2">
      <c r="A194" s="180">
        <v>15</v>
      </c>
      <c r="B194" s="211"/>
      <c r="C194" s="212"/>
      <c r="D194" s="211"/>
      <c r="E194" s="212"/>
      <c r="F194" s="205"/>
      <c r="G194" s="205"/>
      <c r="H194" s="211"/>
      <c r="I194" s="212"/>
      <c r="J194" s="205"/>
      <c r="K194" s="205"/>
      <c r="L194" s="211"/>
      <c r="M194" s="212"/>
      <c r="N194" s="205"/>
      <c r="O194" s="205"/>
      <c r="P194" s="211"/>
      <c r="Q194" s="212"/>
      <c r="R194" s="205"/>
      <c r="S194" s="205"/>
      <c r="T194" s="211"/>
      <c r="U194" s="212"/>
      <c r="V194" s="205"/>
      <c r="W194" s="205"/>
      <c r="X194" s="211"/>
      <c r="Y194" s="212"/>
      <c r="Z194" s="205"/>
      <c r="AA194" s="205"/>
      <c r="AB194" s="211"/>
      <c r="AC194" s="212"/>
      <c r="AD194" s="205"/>
      <c r="AE194" s="205"/>
      <c r="AF194" s="211"/>
      <c r="AG194" s="196"/>
      <c r="AH194" s="211"/>
      <c r="AI194" s="228"/>
      <c r="AJ194" s="196"/>
      <c r="AK194" s="212"/>
      <c r="AL194" s="205"/>
      <c r="AM194" s="205"/>
      <c r="AN194" s="211"/>
      <c r="AO194" s="212"/>
      <c r="AP194" s="205"/>
      <c r="AQ194" s="205"/>
      <c r="AR194" s="211"/>
      <c r="AS194" s="212"/>
      <c r="AT194" s="213">
        <v>15</v>
      </c>
      <c r="AU194" s="213"/>
      <c r="AV194" s="216"/>
      <c r="AW194" s="215"/>
      <c r="AX194" s="205"/>
      <c r="AY194" s="205"/>
      <c r="AZ194" s="216">
        <v>13</v>
      </c>
      <c r="BA194" s="215"/>
      <c r="BB194" s="211"/>
      <c r="BC194" s="212"/>
      <c r="BD194" s="211"/>
      <c r="BE194" s="212"/>
      <c r="BF194" s="211"/>
      <c r="BG194" s="196"/>
      <c r="BH194" s="196"/>
      <c r="BI194" s="196"/>
      <c r="BJ194" s="196"/>
      <c r="BK194" s="196"/>
      <c r="BL194" s="937">
        <f>2*0.185</f>
        <v>0.37</v>
      </c>
      <c r="BM194" s="227"/>
      <c r="BN194" s="227"/>
      <c r="BO194" s="227"/>
      <c r="BP194" s="227"/>
      <c r="BQ194" s="215"/>
      <c r="BR194" s="937">
        <f>15*0.185</f>
        <v>2.7749999999999999</v>
      </c>
      <c r="BS194" s="227"/>
      <c r="BT194" s="227"/>
      <c r="BU194" s="227"/>
      <c r="BV194" s="227"/>
      <c r="BW194" s="215"/>
      <c r="BX194" s="1018">
        <v>11</v>
      </c>
      <c r="BY194" s="196"/>
      <c r="BZ194" s="196"/>
      <c r="CA194" s="196"/>
      <c r="CB194" s="196"/>
      <c r="CC194" s="212"/>
      <c r="CD194" s="1018">
        <v>33</v>
      </c>
      <c r="CE194" s="196"/>
      <c r="CF194" s="196"/>
      <c r="CG194" s="196"/>
      <c r="CH194" s="196"/>
      <c r="CI194" s="212"/>
      <c r="CJ194" s="211"/>
      <c r="CK194" s="196"/>
      <c r="CL194" s="196"/>
      <c r="CM194" s="196"/>
      <c r="CN194" s="196"/>
      <c r="CO194" s="212"/>
      <c r="CP194" s="211"/>
      <c r="CQ194" s="196"/>
      <c r="CR194" s="196"/>
      <c r="CS194" s="196"/>
      <c r="CT194" s="196"/>
      <c r="CU194" s="212"/>
      <c r="CV194" s="211"/>
      <c r="CW194" s="196"/>
      <c r="CX194" s="196"/>
      <c r="CY194" s="196"/>
      <c r="CZ194" s="196"/>
      <c r="DA194" s="212"/>
      <c r="DB194" s="211"/>
      <c r="DC194" s="196"/>
      <c r="DD194" s="196"/>
      <c r="DE194" s="196"/>
      <c r="DF194" s="196"/>
      <c r="DG194" s="212"/>
      <c r="DH194" s="211"/>
      <c r="DI194" s="196"/>
      <c r="DJ194" s="196"/>
      <c r="DK194" s="196"/>
      <c r="DL194" s="196"/>
      <c r="DM194" s="212"/>
      <c r="DN194" s="211"/>
      <c r="DO194" s="196"/>
      <c r="DP194" s="196"/>
      <c r="DQ194" s="196"/>
      <c r="DR194" s="196"/>
      <c r="DS194" s="212"/>
      <c r="DT194" s="211"/>
      <c r="DU194" s="196"/>
      <c r="DV194" s="196"/>
      <c r="DW194" s="196"/>
      <c r="DX194" s="196"/>
      <c r="DY194" s="212"/>
      <c r="DZ194" s="211"/>
      <c r="EA194" s="196"/>
      <c r="EB194" s="196"/>
      <c r="EC194" s="196"/>
      <c r="ED194" s="196"/>
      <c r="EE194" s="212"/>
      <c r="EF194" s="675">
        <f t="shared" si="254"/>
        <v>15</v>
      </c>
      <c r="EG194" s="224">
        <f t="shared" si="255"/>
        <v>14</v>
      </c>
      <c r="EH194" s="602">
        <f t="shared" si="256"/>
        <v>14</v>
      </c>
      <c r="EI194" s="602">
        <v>0</v>
      </c>
      <c r="EJ194" s="519"/>
      <c r="EK194" s="519"/>
      <c r="EL194" s="519"/>
      <c r="EM194" s="581"/>
      <c r="EN194" s="581"/>
      <c r="EO194" s="581"/>
      <c r="EP194" s="581"/>
      <c r="EQ194" s="581"/>
      <c r="ER194" s="581"/>
      <c r="ES194" s="581"/>
      <c r="ET194" s="581"/>
      <c r="EU194" s="581"/>
      <c r="EV194" s="581"/>
      <c r="EW194" s="581"/>
      <c r="EX194" s="581"/>
      <c r="EY194" s="581"/>
      <c r="EZ194" s="581"/>
      <c r="FA194" s="249"/>
      <c r="FB194" s="581"/>
      <c r="FC194" s="581"/>
      <c r="FD194" s="249"/>
      <c r="FE194" s="581"/>
      <c r="FF194" s="519"/>
      <c r="FG194" s="579"/>
      <c r="FH194" s="519"/>
      <c r="FI194" s="37"/>
    </row>
    <row r="195" spans="1:165" x14ac:dyDescent="0.2">
      <c r="A195" s="180">
        <v>16</v>
      </c>
      <c r="B195" s="211"/>
      <c r="C195" s="212"/>
      <c r="D195" s="211"/>
      <c r="E195" s="212"/>
      <c r="F195" s="205"/>
      <c r="G195" s="205"/>
      <c r="H195" s="211"/>
      <c r="I195" s="212"/>
      <c r="J195" s="205"/>
      <c r="K195" s="205"/>
      <c r="L195" s="211"/>
      <c r="M195" s="212"/>
      <c r="N195" s="205"/>
      <c r="O195" s="205"/>
      <c r="P195" s="211"/>
      <c r="Q195" s="212"/>
      <c r="R195" s="205"/>
      <c r="S195" s="205"/>
      <c r="T195" s="233">
        <v>8</v>
      </c>
      <c r="U195" s="215"/>
      <c r="V195" s="205"/>
      <c r="W195" s="205"/>
      <c r="X195" s="211"/>
      <c r="Y195" s="212"/>
      <c r="Z195" s="205"/>
      <c r="AA195" s="205"/>
      <c r="AB195" s="211"/>
      <c r="AC195" s="212"/>
      <c r="AD195" s="205"/>
      <c r="AE195" s="205"/>
      <c r="AF195" s="211"/>
      <c r="AG195" s="196"/>
      <c r="AH195" s="211"/>
      <c r="AI195" s="228"/>
      <c r="AJ195" s="196"/>
      <c r="AK195" s="212"/>
      <c r="AL195" s="205"/>
      <c r="AM195" s="205"/>
      <c r="AN195" s="211"/>
      <c r="AO195" s="212"/>
      <c r="AP195" s="205"/>
      <c r="AQ195" s="205"/>
      <c r="AR195" s="234">
        <v>40</v>
      </c>
      <c r="AS195" s="215"/>
      <c r="AT195" s="205"/>
      <c r="AU195" s="205"/>
      <c r="AV195" s="211"/>
      <c r="AW195" s="212"/>
      <c r="AX195" s="205"/>
      <c r="AY195" s="205"/>
      <c r="AZ195" s="216">
        <v>6</v>
      </c>
      <c r="BA195" s="215"/>
      <c r="BB195" s="211"/>
      <c r="BC195" s="196"/>
      <c r="BD195" s="182">
        <v>61</v>
      </c>
      <c r="BE195" s="215"/>
      <c r="BF195" s="211"/>
      <c r="BG195" s="196"/>
      <c r="BH195" s="196"/>
      <c r="BI195" s="196"/>
      <c r="BJ195" s="196"/>
      <c r="BK195" s="196"/>
      <c r="BL195" s="937">
        <f>15*0.185</f>
        <v>2.7749999999999999</v>
      </c>
      <c r="BM195" s="227"/>
      <c r="BN195" s="227"/>
      <c r="BO195" s="227"/>
      <c r="BP195" s="227"/>
      <c r="BQ195" s="215"/>
      <c r="BR195" s="937">
        <f>13*0.185</f>
        <v>2.4049999999999998</v>
      </c>
      <c r="BS195" s="227"/>
      <c r="BT195" s="227"/>
      <c r="BU195" s="227"/>
      <c r="BV195" s="227"/>
      <c r="BW195" s="215"/>
      <c r="BX195" s="1018">
        <v>9</v>
      </c>
      <c r="BY195" s="196"/>
      <c r="BZ195" s="196"/>
      <c r="CA195" s="196"/>
      <c r="CB195" s="196"/>
      <c r="CC195" s="212"/>
      <c r="CD195" s="1018">
        <v>13</v>
      </c>
      <c r="CE195" s="196"/>
      <c r="CF195" s="196"/>
      <c r="CG195" s="196"/>
      <c r="CH195" s="196"/>
      <c r="CI195" s="212"/>
      <c r="CJ195" s="211"/>
      <c r="CK195" s="196"/>
      <c r="CL195" s="196"/>
      <c r="CM195" s="196"/>
      <c r="CN195" s="196"/>
      <c r="CO195" s="212"/>
      <c r="CP195" s="211"/>
      <c r="CQ195" s="196"/>
      <c r="CR195" s="196"/>
      <c r="CS195" s="196"/>
      <c r="CT195" s="196"/>
      <c r="CU195" s="212"/>
      <c r="CV195" s="211"/>
      <c r="CW195" s="196"/>
      <c r="CX195" s="196"/>
      <c r="CY195" s="196"/>
      <c r="CZ195" s="196"/>
      <c r="DA195" s="212"/>
      <c r="DB195" s="211"/>
      <c r="DC195" s="196"/>
      <c r="DD195" s="196"/>
      <c r="DE195" s="196"/>
      <c r="DF195" s="196"/>
      <c r="DG195" s="212"/>
      <c r="DH195" s="211"/>
      <c r="DI195" s="196"/>
      <c r="DJ195" s="196"/>
      <c r="DK195" s="196"/>
      <c r="DL195" s="196"/>
      <c r="DM195" s="212"/>
      <c r="DN195" s="211"/>
      <c r="DO195" s="196"/>
      <c r="DP195" s="196"/>
      <c r="DQ195" s="196"/>
      <c r="DR195" s="196"/>
      <c r="DS195" s="212"/>
      <c r="DT195" s="211"/>
      <c r="DU195" s="196"/>
      <c r="DV195" s="196"/>
      <c r="DW195" s="196"/>
      <c r="DX195" s="196"/>
      <c r="DY195" s="212"/>
      <c r="DZ195" s="211"/>
      <c r="EA195" s="196"/>
      <c r="EB195" s="196"/>
      <c r="EC195" s="196"/>
      <c r="ED195" s="196"/>
      <c r="EE195" s="212"/>
      <c r="EF195" s="675">
        <f t="shared" si="254"/>
        <v>16</v>
      </c>
      <c r="EG195" s="224">
        <f t="shared" si="255"/>
        <v>28.75</v>
      </c>
      <c r="EH195" s="602">
        <f t="shared" si="256"/>
        <v>35.666666666666664</v>
      </c>
      <c r="EI195" s="602">
        <f>AVERAGE(D195:AI195)</f>
        <v>8</v>
      </c>
      <c r="EJ195" s="519"/>
      <c r="EK195" s="519"/>
      <c r="EL195" s="519"/>
      <c r="EM195" s="581"/>
      <c r="EN195" s="581"/>
      <c r="EO195" s="581"/>
      <c r="EP195" s="581"/>
      <c r="EQ195" s="581"/>
      <c r="ER195" s="581"/>
      <c r="ES195" s="581"/>
      <c r="ET195" s="581"/>
      <c r="EU195" s="581"/>
      <c r="EV195" s="581"/>
      <c r="EW195" s="581"/>
      <c r="EX195" s="581"/>
      <c r="EY195" s="581"/>
      <c r="EZ195" s="581"/>
      <c r="FA195" s="249"/>
      <c r="FB195" s="581"/>
      <c r="FC195" s="581"/>
      <c r="FD195" s="249"/>
      <c r="FE195" s="581"/>
      <c r="FF195" s="519"/>
      <c r="FG195" s="579"/>
      <c r="FH195" s="519"/>
      <c r="FI195" s="37"/>
    </row>
    <row r="196" spans="1:165" x14ac:dyDescent="0.2">
      <c r="A196" s="187">
        <v>17</v>
      </c>
      <c r="B196" s="235"/>
      <c r="C196" s="236"/>
      <c r="D196" s="235"/>
      <c r="E196" s="236"/>
      <c r="F196" s="237"/>
      <c r="G196" s="237"/>
      <c r="H196" s="235"/>
      <c r="I196" s="236"/>
      <c r="J196" s="237"/>
      <c r="K196" s="237"/>
      <c r="L196" s="235"/>
      <c r="M196" s="236"/>
      <c r="N196" s="237"/>
      <c r="O196" s="237"/>
      <c r="P196" s="235"/>
      <c r="Q196" s="236"/>
      <c r="R196" s="237"/>
      <c r="S196" s="237"/>
      <c r="T196" s="235"/>
      <c r="U196" s="236"/>
      <c r="V196" s="237"/>
      <c r="W196" s="237"/>
      <c r="X196" s="235"/>
      <c r="Y196" s="236"/>
      <c r="Z196" s="237"/>
      <c r="AA196" s="237"/>
      <c r="AB196" s="235"/>
      <c r="AC196" s="236"/>
      <c r="AD196" s="237"/>
      <c r="AE196" s="237"/>
      <c r="AF196" s="235"/>
      <c r="AG196" s="237"/>
      <c r="AH196" s="235"/>
      <c r="AI196" s="238"/>
      <c r="AJ196" s="237"/>
      <c r="AK196" s="236"/>
      <c r="AL196" s="237"/>
      <c r="AM196" s="237"/>
      <c r="AN196" s="235"/>
      <c r="AO196" s="236"/>
      <c r="AP196" s="237"/>
      <c r="AQ196" s="237"/>
      <c r="AR196" s="235"/>
      <c r="AS196" s="236"/>
      <c r="AT196" s="237"/>
      <c r="AU196" s="237"/>
      <c r="AV196" s="235"/>
      <c r="AW196" s="236"/>
      <c r="AX196" s="237"/>
      <c r="AY196" s="237"/>
      <c r="AZ196" s="235"/>
      <c r="BA196" s="236"/>
      <c r="BB196" s="235"/>
      <c r="BC196" s="236"/>
      <c r="BD196" s="235"/>
      <c r="BE196" s="236"/>
      <c r="BF196" s="235"/>
      <c r="BG196" s="237"/>
      <c r="BH196" s="237"/>
      <c r="BI196" s="237"/>
      <c r="BJ196" s="237"/>
      <c r="BK196" s="237"/>
      <c r="BL196" s="938">
        <f>12*0.185</f>
        <v>2.2199999999999998</v>
      </c>
      <c r="BM196" s="244"/>
      <c r="BN196" s="244"/>
      <c r="BO196" s="244"/>
      <c r="BP196" s="244"/>
      <c r="BQ196" s="243"/>
      <c r="BR196" s="938">
        <f>(4+1)*0.185</f>
        <v>0.92500000000000004</v>
      </c>
      <c r="BS196" s="244"/>
      <c r="BT196" s="244"/>
      <c r="BU196" s="244"/>
      <c r="BV196" s="244"/>
      <c r="BW196" s="243"/>
      <c r="BX196" s="1019">
        <v>6</v>
      </c>
      <c r="BY196" s="237"/>
      <c r="BZ196" s="237"/>
      <c r="CA196" s="237"/>
      <c r="CB196" s="237"/>
      <c r="CC196" s="236"/>
      <c r="CD196" s="1019">
        <v>11</v>
      </c>
      <c r="CE196" s="237"/>
      <c r="CF196" s="237"/>
      <c r="CG196" s="237"/>
      <c r="CH196" s="237"/>
      <c r="CI196" s="236"/>
      <c r="CJ196" s="235"/>
      <c r="CK196" s="237"/>
      <c r="CL196" s="237"/>
      <c r="CM196" s="237"/>
      <c r="CN196" s="237"/>
      <c r="CO196" s="236"/>
      <c r="CP196" s="235"/>
      <c r="CQ196" s="237"/>
      <c r="CR196" s="237"/>
      <c r="CS196" s="237"/>
      <c r="CT196" s="237"/>
      <c r="CU196" s="236"/>
      <c r="CV196" s="235"/>
      <c r="CW196" s="237"/>
      <c r="CX196" s="237"/>
      <c r="CY196" s="237"/>
      <c r="CZ196" s="237"/>
      <c r="DA196" s="236"/>
      <c r="DB196" s="235"/>
      <c r="DC196" s="237"/>
      <c r="DD196" s="237"/>
      <c r="DE196" s="237"/>
      <c r="DF196" s="237"/>
      <c r="DG196" s="236"/>
      <c r="DH196" s="235"/>
      <c r="DI196" s="237"/>
      <c r="DJ196" s="237"/>
      <c r="DK196" s="237"/>
      <c r="DL196" s="237"/>
      <c r="DM196" s="236"/>
      <c r="DN196" s="235"/>
      <c r="DO196" s="237"/>
      <c r="DP196" s="237"/>
      <c r="DQ196" s="237"/>
      <c r="DR196" s="237"/>
      <c r="DS196" s="236"/>
      <c r="DT196" s="235"/>
      <c r="DU196" s="237"/>
      <c r="DV196" s="237"/>
      <c r="DW196" s="237"/>
      <c r="DX196" s="237"/>
      <c r="DY196" s="236"/>
      <c r="DZ196" s="235"/>
      <c r="EA196" s="237"/>
      <c r="EB196" s="237"/>
      <c r="EC196" s="237"/>
      <c r="ED196" s="237"/>
      <c r="EE196" s="236"/>
      <c r="EF196" s="675">
        <f t="shared" si="254"/>
        <v>17</v>
      </c>
      <c r="EG196" s="224">
        <v>0</v>
      </c>
      <c r="EH196" s="602">
        <v>0</v>
      </c>
      <c r="EI196" s="602">
        <v>0</v>
      </c>
      <c r="EJ196" s="519"/>
      <c r="EK196" s="519"/>
      <c r="EL196" s="519"/>
      <c r="EM196" s="581"/>
      <c r="EN196" s="581"/>
      <c r="EO196" s="581"/>
      <c r="EP196" s="581"/>
      <c r="EQ196" s="581"/>
      <c r="ER196" s="581"/>
      <c r="ES196" s="581"/>
      <c r="ET196" s="581"/>
      <c r="EU196" s="581"/>
      <c r="EV196" s="581"/>
      <c r="EW196" s="581"/>
      <c r="EX196" s="581"/>
      <c r="EY196" s="581"/>
      <c r="EZ196" s="581"/>
      <c r="FA196" s="249"/>
      <c r="FB196" s="581"/>
      <c r="FC196" s="581"/>
      <c r="FD196" s="249"/>
      <c r="FE196" s="581"/>
      <c r="FF196" s="519"/>
      <c r="FG196" s="579"/>
      <c r="FH196" s="519"/>
      <c r="FI196" s="37"/>
    </row>
    <row r="197" spans="1:165" x14ac:dyDescent="0.2">
      <c r="A197" s="156">
        <v>18</v>
      </c>
      <c r="B197" s="211"/>
      <c r="C197" s="212"/>
      <c r="D197" s="211"/>
      <c r="E197" s="212"/>
      <c r="F197" s="205"/>
      <c r="G197" s="205"/>
      <c r="H197" s="211"/>
      <c r="I197" s="212"/>
      <c r="J197" s="205"/>
      <c r="K197" s="205"/>
      <c r="L197" s="438">
        <f>1+(2*0.0661)</f>
        <v>1.1322000000000001</v>
      </c>
      <c r="M197" s="432"/>
      <c r="N197" s="205"/>
      <c r="O197" s="205"/>
      <c r="P197" s="211"/>
      <c r="Q197" s="212"/>
      <c r="R197" s="205"/>
      <c r="S197" s="205"/>
      <c r="T197" s="211"/>
      <c r="U197" s="212"/>
      <c r="V197" s="205"/>
      <c r="W197" s="205"/>
      <c r="X197" s="216"/>
      <c r="Y197" s="215"/>
      <c r="Z197" s="205"/>
      <c r="AA197" s="205"/>
      <c r="AB197" s="211"/>
      <c r="AC197" s="212"/>
      <c r="AD197" s="205"/>
      <c r="AE197" s="205"/>
      <c r="AF197" s="211"/>
      <c r="AG197" s="196"/>
      <c r="AH197" s="211"/>
      <c r="AI197" s="228"/>
      <c r="AJ197" s="227"/>
      <c r="AK197" s="215"/>
      <c r="AL197" s="205"/>
      <c r="AM197" s="205"/>
      <c r="AN197" s="211"/>
      <c r="AO197" s="212"/>
      <c r="AP197" s="205"/>
      <c r="AQ197" s="205"/>
      <c r="AR197" s="211"/>
      <c r="AS197" s="212"/>
      <c r="AT197" s="205"/>
      <c r="AU197" s="205"/>
      <c r="AV197" s="211"/>
      <c r="AW197" s="212"/>
      <c r="AX197" s="205"/>
      <c r="AY197" s="205"/>
      <c r="AZ197" s="211"/>
      <c r="BA197" s="212"/>
      <c r="BB197" s="211"/>
      <c r="BC197" s="212"/>
      <c r="BD197" s="504">
        <v>6</v>
      </c>
      <c r="BE197" s="505"/>
      <c r="BF197" s="217"/>
      <c r="BG197" s="218"/>
      <c r="BH197" s="218"/>
      <c r="BI197" s="218"/>
      <c r="BJ197" s="218"/>
      <c r="BK197" s="218"/>
      <c r="BL197" s="558">
        <f>9*0.185</f>
        <v>1.665</v>
      </c>
      <c r="BM197" s="572"/>
      <c r="BN197" s="572"/>
      <c r="BO197" s="572"/>
      <c r="BP197" s="572"/>
      <c r="BQ197" s="516"/>
      <c r="BR197" s="217"/>
      <c r="BS197" s="218"/>
      <c r="BT197" s="218"/>
      <c r="BU197" s="218"/>
      <c r="BV197" s="218"/>
      <c r="BW197" s="223"/>
      <c r="BX197" s="1020">
        <v>9</v>
      </c>
      <c r="BY197" s="218"/>
      <c r="BZ197" s="218"/>
      <c r="CA197" s="218"/>
      <c r="CB197" s="218"/>
      <c r="CC197" s="223"/>
      <c r="CD197" s="1020">
        <v>7</v>
      </c>
      <c r="CE197" s="218"/>
      <c r="CF197" s="218"/>
      <c r="CG197" s="218"/>
      <c r="CH197" s="218"/>
      <c r="CI197" s="223"/>
      <c r="CJ197" s="217"/>
      <c r="CK197" s="218"/>
      <c r="CL197" s="218"/>
      <c r="CM197" s="218"/>
      <c r="CN197" s="218"/>
      <c r="CO197" s="223"/>
      <c r="CP197" s="217"/>
      <c r="CQ197" s="218"/>
      <c r="CR197" s="218"/>
      <c r="CS197" s="218"/>
      <c r="CT197" s="218"/>
      <c r="CU197" s="223"/>
      <c r="CV197" s="217"/>
      <c r="CW197" s="218"/>
      <c r="CX197" s="218"/>
      <c r="CY197" s="218"/>
      <c r="CZ197" s="218"/>
      <c r="DA197" s="223"/>
      <c r="DB197" s="217"/>
      <c r="DC197" s="218"/>
      <c r="DD197" s="218"/>
      <c r="DE197" s="218"/>
      <c r="DF197" s="218"/>
      <c r="DG197" s="223"/>
      <c r="DH197" s="217"/>
      <c r="DI197" s="218"/>
      <c r="DJ197" s="218"/>
      <c r="DK197" s="218"/>
      <c r="DL197" s="218"/>
      <c r="DM197" s="223"/>
      <c r="DN197" s="217"/>
      <c r="DO197" s="218"/>
      <c r="DP197" s="218"/>
      <c r="DQ197" s="218"/>
      <c r="DR197" s="218"/>
      <c r="DS197" s="223"/>
      <c r="DT197" s="217"/>
      <c r="DU197" s="218"/>
      <c r="DV197" s="218"/>
      <c r="DW197" s="218"/>
      <c r="DX197" s="218"/>
      <c r="DY197" s="223"/>
      <c r="DZ197" s="217"/>
      <c r="EA197" s="218"/>
      <c r="EB197" s="218"/>
      <c r="EC197" s="218"/>
      <c r="ED197" s="218"/>
      <c r="EE197" s="223"/>
      <c r="EF197" s="675">
        <f t="shared" si="254"/>
        <v>18</v>
      </c>
      <c r="EG197" s="224">
        <f t="shared" ref="EG197:EG211" si="258">AVERAGE(D197:BD197)</f>
        <v>3.5661</v>
      </c>
      <c r="EH197" s="602">
        <f>AVERAGE(AJ197:BD197)</f>
        <v>6</v>
      </c>
      <c r="EI197" s="602">
        <v>0</v>
      </c>
      <c r="EJ197" s="519"/>
      <c r="EK197" s="519"/>
      <c r="EL197" s="519"/>
      <c r="EM197" s="581"/>
      <c r="EN197" s="581"/>
      <c r="EO197" s="581"/>
      <c r="EP197" s="581"/>
      <c r="EQ197" s="581"/>
      <c r="ER197" s="581"/>
      <c r="ES197" s="581"/>
      <c r="ET197" s="581"/>
      <c r="EU197" s="581"/>
      <c r="EV197" s="581"/>
      <c r="EW197" s="581"/>
      <c r="EX197" s="581"/>
      <c r="EY197" s="581"/>
      <c r="EZ197" s="581"/>
      <c r="FA197" s="249"/>
      <c r="FB197" s="581"/>
      <c r="FC197" s="581"/>
      <c r="FD197" s="249"/>
      <c r="FE197" s="581"/>
      <c r="FF197" s="519"/>
      <c r="FG197" s="579"/>
      <c r="FH197" s="519"/>
      <c r="FI197" s="37"/>
    </row>
    <row r="198" spans="1:165" x14ac:dyDescent="0.2">
      <c r="A198" s="159">
        <v>19</v>
      </c>
      <c r="B198" s="211"/>
      <c r="C198" s="212"/>
      <c r="D198" s="211"/>
      <c r="E198" s="212"/>
      <c r="F198" s="205"/>
      <c r="G198" s="205"/>
      <c r="H198" s="211"/>
      <c r="I198" s="212"/>
      <c r="J198" s="205"/>
      <c r="K198" s="205"/>
      <c r="L198" s="438">
        <f>5+(2*0.0661)</f>
        <v>5.1322000000000001</v>
      </c>
      <c r="M198" s="432"/>
      <c r="N198" s="205"/>
      <c r="O198" s="205"/>
      <c r="P198" s="211"/>
      <c r="Q198" s="212"/>
      <c r="R198" s="213"/>
      <c r="S198" s="213"/>
      <c r="T198" s="216"/>
      <c r="U198" s="215"/>
      <c r="V198" s="213"/>
      <c r="W198" s="213"/>
      <c r="X198" s="216"/>
      <c r="Y198" s="215"/>
      <c r="Z198" s="205"/>
      <c r="AA198" s="205"/>
      <c r="AB198" s="216"/>
      <c r="AC198" s="215"/>
      <c r="AD198" s="205"/>
      <c r="AE198" s="205"/>
      <c r="AF198" s="211"/>
      <c r="AG198" s="196"/>
      <c r="AH198" s="211"/>
      <c r="AI198" s="228"/>
      <c r="AJ198" s="227"/>
      <c r="AK198" s="215"/>
      <c r="AL198" s="213"/>
      <c r="AM198" s="213"/>
      <c r="AN198" s="211"/>
      <c r="AO198" s="212"/>
      <c r="AP198" s="213"/>
      <c r="AQ198" s="213"/>
      <c r="AR198" s="216"/>
      <c r="AS198" s="215"/>
      <c r="AT198" s="213"/>
      <c r="AU198" s="213"/>
      <c r="AV198" s="216"/>
      <c r="AW198" s="215"/>
      <c r="AX198" s="651">
        <f>24+(0.0661*17)</f>
        <v>25.123699999999999</v>
      </c>
      <c r="AY198" s="287"/>
      <c r="AZ198" s="651">
        <f>20+(0.0661*11)</f>
        <v>20.7271</v>
      </c>
      <c r="BA198" s="287"/>
      <c r="BB198" s="651">
        <f>22.286+(0.0661*16.714)</f>
        <v>23.390795400000002</v>
      </c>
      <c r="BC198" s="435"/>
      <c r="BD198" s="216">
        <v>5</v>
      </c>
      <c r="BE198" s="215"/>
      <c r="BF198" s="216">
        <v>17</v>
      </c>
      <c r="BG198" s="227"/>
      <c r="BH198" s="227"/>
      <c r="BI198" s="227"/>
      <c r="BJ198" s="227"/>
      <c r="BK198" s="227"/>
      <c r="BL198" s="783">
        <f>14+1</f>
        <v>15</v>
      </c>
      <c r="BM198" s="227"/>
      <c r="BN198" s="227"/>
      <c r="BO198" s="227"/>
      <c r="BP198" s="227"/>
      <c r="BQ198" s="215"/>
      <c r="BR198" s="216">
        <v>11</v>
      </c>
      <c r="BS198" s="227"/>
      <c r="BT198" s="227"/>
      <c r="BU198" s="227"/>
      <c r="BV198" s="227"/>
      <c r="BW198" s="215"/>
      <c r="BX198" s="216">
        <f>10+2</f>
        <v>12</v>
      </c>
      <c r="BY198" s="227"/>
      <c r="BZ198" s="227"/>
      <c r="CA198" s="227"/>
      <c r="CB198" s="227"/>
      <c r="CC198" s="215"/>
      <c r="CD198" s="216">
        <v>3</v>
      </c>
      <c r="CE198" s="227"/>
      <c r="CF198" s="227"/>
      <c r="CG198" s="227"/>
      <c r="CH198" s="227"/>
      <c r="CI198" s="215"/>
      <c r="CJ198" s="146"/>
      <c r="CK198" s="196"/>
      <c r="CL198" s="196"/>
      <c r="CM198" s="196"/>
      <c r="CN198" s="196"/>
      <c r="CO198" s="212"/>
      <c r="CP198" s="211"/>
      <c r="CQ198" s="196"/>
      <c r="CR198" s="196"/>
      <c r="CS198" s="196"/>
      <c r="CT198" s="196"/>
      <c r="CU198" s="212"/>
      <c r="CV198" s="211"/>
      <c r="CW198" s="196"/>
      <c r="CX198" s="196"/>
      <c r="CY198" s="196"/>
      <c r="CZ198" s="196"/>
      <c r="DA198" s="212"/>
      <c r="DB198" s="211"/>
      <c r="DC198" s="196"/>
      <c r="DD198" s="196"/>
      <c r="DE198" s="196"/>
      <c r="DF198" s="196"/>
      <c r="DG198" s="212"/>
      <c r="DH198" s="211"/>
      <c r="DI198" s="196"/>
      <c r="DJ198" s="196"/>
      <c r="DK198" s="196"/>
      <c r="DL198" s="196"/>
      <c r="DM198" s="212"/>
      <c r="DN198" s="211"/>
      <c r="DO198" s="196"/>
      <c r="DP198" s="196"/>
      <c r="DQ198" s="196"/>
      <c r="DR198" s="196"/>
      <c r="DS198" s="212"/>
      <c r="DT198" s="211"/>
      <c r="DU198" s="196"/>
      <c r="DV198" s="196"/>
      <c r="DW198" s="196"/>
      <c r="DX198" s="196"/>
      <c r="DY198" s="212"/>
      <c r="DZ198" s="211"/>
      <c r="EA198" s="196"/>
      <c r="EB198" s="196"/>
      <c r="EC198" s="196"/>
      <c r="ED198" s="196"/>
      <c r="EE198" s="212"/>
      <c r="EF198" s="675">
        <f t="shared" si="254"/>
        <v>19</v>
      </c>
      <c r="EG198" s="224">
        <f t="shared" si="258"/>
        <v>15.87475908</v>
      </c>
      <c r="EH198" s="602">
        <f>AVERAGE(AJ198:BD198)</f>
        <v>18.560398849999999</v>
      </c>
      <c r="EI198" s="602">
        <v>0</v>
      </c>
      <c r="EJ198" s="519"/>
      <c r="EK198" s="519"/>
      <c r="EL198" s="519"/>
      <c r="EM198" s="581"/>
      <c r="EN198" s="581"/>
      <c r="EO198" s="581"/>
      <c r="EP198" s="581"/>
      <c r="EQ198" s="581"/>
      <c r="ER198" s="581"/>
      <c r="ES198" s="581"/>
      <c r="ET198" s="581"/>
      <c r="EU198" s="581"/>
      <c r="EV198" s="581"/>
      <c r="EW198" s="581"/>
      <c r="EX198" s="581"/>
      <c r="EY198" s="581"/>
      <c r="EZ198" s="581"/>
      <c r="FA198" s="249"/>
      <c r="FB198" s="581"/>
      <c r="FC198" s="581"/>
      <c r="FD198" s="249"/>
      <c r="FE198" s="581"/>
      <c r="FF198" s="519"/>
      <c r="FG198" s="579"/>
      <c r="FH198" s="519"/>
      <c r="FI198" s="37"/>
    </row>
    <row r="199" spans="1:165" x14ac:dyDescent="0.2">
      <c r="A199" s="159">
        <v>20</v>
      </c>
      <c r="B199" s="211"/>
      <c r="C199" s="212"/>
      <c r="D199" s="211"/>
      <c r="E199" s="212"/>
      <c r="F199" s="205"/>
      <c r="G199" s="205"/>
      <c r="H199" s="211"/>
      <c r="I199" s="212"/>
      <c r="J199" s="205"/>
      <c r="K199" s="205"/>
      <c r="L199" s="438">
        <f>2+(2*0.0661)</f>
        <v>2.1322000000000001</v>
      </c>
      <c r="M199" s="432"/>
      <c r="N199" s="205"/>
      <c r="O199" s="205"/>
      <c r="P199" s="211"/>
      <c r="Q199" s="212"/>
      <c r="R199" s="205"/>
      <c r="S199" s="205"/>
      <c r="T199" s="216"/>
      <c r="U199" s="215"/>
      <c r="V199" s="229"/>
      <c r="W199" s="213"/>
      <c r="X199" s="216"/>
      <c r="Y199" s="215"/>
      <c r="Z199" s="213"/>
      <c r="AA199" s="213"/>
      <c r="AB199" s="211"/>
      <c r="AC199" s="212"/>
      <c r="AD199" s="213"/>
      <c r="AE199" s="213"/>
      <c r="AF199" s="211"/>
      <c r="AG199" s="196"/>
      <c r="AH199" s="211"/>
      <c r="AI199" s="228"/>
      <c r="AJ199" s="196"/>
      <c r="AK199" s="212"/>
      <c r="AL199" s="213"/>
      <c r="AM199" s="213"/>
      <c r="AN199" s="211"/>
      <c r="AO199" s="212"/>
      <c r="AP199" s="213"/>
      <c r="AQ199" s="213"/>
      <c r="AR199" s="211"/>
      <c r="AS199" s="212"/>
      <c r="AT199" s="205"/>
      <c r="AU199" s="205"/>
      <c r="AV199" s="216"/>
      <c r="AW199" s="215"/>
      <c r="AX199" s="289">
        <f>10+(0.0661*14)</f>
        <v>10.9254</v>
      </c>
      <c r="AY199" s="290"/>
      <c r="AZ199" s="264">
        <f>11+(0.0661*13)</f>
        <v>11.859299999999999</v>
      </c>
      <c r="BA199" s="265"/>
      <c r="BB199" s="264">
        <f>6+(0.0661*13)</f>
        <v>6.8593000000000002</v>
      </c>
      <c r="BC199" s="433"/>
      <c r="BD199" s="216">
        <f>10+22</f>
        <v>32</v>
      </c>
      <c r="BE199" s="215"/>
      <c r="BF199" s="216">
        <v>55</v>
      </c>
      <c r="BG199" s="227"/>
      <c r="BH199" s="227"/>
      <c r="BI199" s="227"/>
      <c r="BJ199" s="227"/>
      <c r="BK199" s="227"/>
      <c r="BL199" s="216">
        <v>84</v>
      </c>
      <c r="BM199" s="227"/>
      <c r="BN199" s="227"/>
      <c r="BO199" s="227"/>
      <c r="BP199" s="227"/>
      <c r="BQ199" s="215"/>
      <c r="BR199" s="216">
        <v>73</v>
      </c>
      <c r="BS199" s="227"/>
      <c r="BT199" s="227"/>
      <c r="BU199" s="227"/>
      <c r="BV199" s="227"/>
      <c r="BW199" s="215"/>
      <c r="BX199" s="225">
        <f>1+2+19.8</f>
        <v>22.8</v>
      </c>
      <c r="BY199" s="220"/>
      <c r="BZ199" s="220"/>
      <c r="CA199" s="220"/>
      <c r="CB199" s="220"/>
      <c r="CC199" s="221"/>
      <c r="CD199" s="216">
        <v>8</v>
      </c>
      <c r="CE199" s="227"/>
      <c r="CF199" s="227"/>
      <c r="CG199" s="227"/>
      <c r="CH199" s="227"/>
      <c r="CI199" s="215"/>
      <c r="CJ199" s="211"/>
      <c r="CK199" s="196"/>
      <c r="CL199" s="196"/>
      <c r="CM199" s="196"/>
      <c r="CN199" s="196"/>
      <c r="CO199" s="212"/>
      <c r="CP199" s="211"/>
      <c r="CQ199" s="196"/>
      <c r="CR199" s="196"/>
      <c r="CS199" s="196"/>
      <c r="CT199" s="196"/>
      <c r="CU199" s="212"/>
      <c r="CV199" s="211"/>
      <c r="CW199" s="196"/>
      <c r="CX199" s="196"/>
      <c r="CY199" s="196"/>
      <c r="CZ199" s="196"/>
      <c r="DA199" s="212"/>
      <c r="DB199" s="211"/>
      <c r="DC199" s="196"/>
      <c r="DD199" s="196"/>
      <c r="DE199" s="196"/>
      <c r="DF199" s="196"/>
      <c r="DG199" s="212"/>
      <c r="DH199" s="211"/>
      <c r="DI199" s="196"/>
      <c r="DJ199" s="196"/>
      <c r="DK199" s="196"/>
      <c r="DL199" s="196"/>
      <c r="DM199" s="212"/>
      <c r="DN199" s="211"/>
      <c r="DO199" s="196"/>
      <c r="DP199" s="196"/>
      <c r="DQ199" s="196"/>
      <c r="DR199" s="196"/>
      <c r="DS199" s="212"/>
      <c r="DT199" s="211"/>
      <c r="DU199" s="196"/>
      <c r="DV199" s="196"/>
      <c r="DW199" s="196"/>
      <c r="DX199" s="196"/>
      <c r="DY199" s="212"/>
      <c r="DZ199" s="211"/>
      <c r="EA199" s="196"/>
      <c r="EB199" s="196"/>
      <c r="EC199" s="196"/>
      <c r="ED199" s="196"/>
      <c r="EE199" s="212"/>
      <c r="EF199" s="675">
        <f t="shared" si="254"/>
        <v>20</v>
      </c>
      <c r="EG199" s="224">
        <f t="shared" si="258"/>
        <v>12.755240000000001</v>
      </c>
      <c r="EH199" s="602">
        <f>AVERAGE(AJ199:BD199)</f>
        <v>15.411000000000001</v>
      </c>
      <c r="EI199" s="602">
        <v>0</v>
      </c>
      <c r="EJ199" s="519"/>
      <c r="EK199" s="519"/>
      <c r="EL199" s="519"/>
      <c r="EM199" s="581"/>
      <c r="EN199" s="581"/>
      <c r="EO199" s="581"/>
      <c r="EP199" s="581"/>
      <c r="EQ199" s="581"/>
      <c r="ER199" s="581"/>
      <c r="ES199" s="581"/>
      <c r="ET199" s="581"/>
      <c r="EU199" s="581"/>
      <c r="EV199" s="581"/>
      <c r="EW199" s="581"/>
      <c r="EX199" s="581"/>
      <c r="EY199" s="581"/>
      <c r="EZ199" s="581"/>
      <c r="FA199" s="249"/>
      <c r="FB199" s="581"/>
      <c r="FC199" s="581"/>
      <c r="FD199" s="249"/>
      <c r="FE199" s="581"/>
      <c r="FF199" s="519"/>
      <c r="FG199" s="579"/>
      <c r="FH199" s="519"/>
      <c r="FI199" s="37"/>
    </row>
    <row r="200" spans="1:165" x14ac:dyDescent="0.2">
      <c r="A200" s="159">
        <v>21</v>
      </c>
      <c r="B200" s="211"/>
      <c r="C200" s="212"/>
      <c r="D200" s="211"/>
      <c r="E200" s="212"/>
      <c r="F200" s="205"/>
      <c r="G200" s="205"/>
      <c r="H200" s="211"/>
      <c r="I200" s="212"/>
      <c r="J200" s="205"/>
      <c r="K200" s="205"/>
      <c r="L200" s="438">
        <f>26.6+(68.7*0.661)</f>
        <v>72.010700000000014</v>
      </c>
      <c r="M200" s="432"/>
      <c r="N200" s="205"/>
      <c r="O200" s="205"/>
      <c r="P200" s="211"/>
      <c r="Q200" s="212"/>
      <c r="R200" s="213"/>
      <c r="S200" s="213"/>
      <c r="T200" s="216"/>
      <c r="U200" s="215"/>
      <c r="V200" s="213"/>
      <c r="W200" s="213"/>
      <c r="X200" s="211"/>
      <c r="Y200" s="212"/>
      <c r="Z200" s="213"/>
      <c r="AA200" s="213"/>
      <c r="AB200" s="211"/>
      <c r="AC200" s="212"/>
      <c r="AD200" s="213"/>
      <c r="AE200" s="213"/>
      <c r="AF200" s="211"/>
      <c r="AG200" s="196"/>
      <c r="AH200" s="211"/>
      <c r="AI200" s="228"/>
      <c r="AJ200" s="196"/>
      <c r="AK200" s="212"/>
      <c r="AL200" s="213"/>
      <c r="AM200" s="213"/>
      <c r="AN200" s="211"/>
      <c r="AO200" s="212"/>
      <c r="AP200" s="213"/>
      <c r="AQ200" s="213"/>
      <c r="AR200" s="211"/>
      <c r="AS200" s="212"/>
      <c r="AT200" s="213"/>
      <c r="AU200" s="213"/>
      <c r="AV200" s="211"/>
      <c r="AW200" s="212"/>
      <c r="AX200" s="185"/>
      <c r="AY200" s="185"/>
      <c r="AZ200" s="575">
        <f>3+(0.0661*6)</f>
        <v>3.3966000000000003</v>
      </c>
      <c r="BA200" s="290"/>
      <c r="BB200" s="289">
        <f>3+(0.0661*11)</f>
        <v>3.7271000000000001</v>
      </c>
      <c r="BC200" s="290"/>
      <c r="BD200" s="216">
        <f>6+24</f>
        <v>30</v>
      </c>
      <c r="BE200" s="215"/>
      <c r="BF200" s="216">
        <v>21</v>
      </c>
      <c r="BG200" s="227"/>
      <c r="BH200" s="227"/>
      <c r="BI200" s="227"/>
      <c r="BJ200" s="227"/>
      <c r="BK200" s="227"/>
      <c r="BL200" s="216">
        <v>66</v>
      </c>
      <c r="BM200" s="227"/>
      <c r="BN200" s="227"/>
      <c r="BO200" s="227"/>
      <c r="BP200" s="227"/>
      <c r="BQ200" s="215"/>
      <c r="BR200" s="216">
        <v>48</v>
      </c>
      <c r="BS200" s="227"/>
      <c r="BT200" s="227"/>
      <c r="BU200" s="227"/>
      <c r="BV200" s="227"/>
      <c r="BW200" s="215"/>
      <c r="BX200" s="216">
        <f>2+0+9.8</f>
        <v>11.8</v>
      </c>
      <c r="BY200" s="227"/>
      <c r="BZ200" s="227"/>
      <c r="CA200" s="227"/>
      <c r="CB200" s="227"/>
      <c r="CC200" s="215"/>
      <c r="CD200" s="216">
        <v>5</v>
      </c>
      <c r="CE200" s="227"/>
      <c r="CF200" s="227"/>
      <c r="CG200" s="227"/>
      <c r="CH200" s="227"/>
      <c r="CI200" s="215"/>
      <c r="CJ200" s="211"/>
      <c r="CK200" s="196"/>
      <c r="CL200" s="196"/>
      <c r="CM200" s="196"/>
      <c r="CN200" s="196"/>
      <c r="CO200" s="212"/>
      <c r="CP200" s="211"/>
      <c r="CQ200" s="196"/>
      <c r="CR200" s="196"/>
      <c r="CS200" s="196"/>
      <c r="CT200" s="196"/>
      <c r="CU200" s="212"/>
      <c r="CV200" s="211"/>
      <c r="CW200" s="196"/>
      <c r="CX200" s="196"/>
      <c r="CY200" s="196"/>
      <c r="CZ200" s="196"/>
      <c r="DA200" s="212"/>
      <c r="DB200" s="211"/>
      <c r="DC200" s="196"/>
      <c r="DD200" s="196"/>
      <c r="DE200" s="196"/>
      <c r="DF200" s="196"/>
      <c r="DG200" s="212"/>
      <c r="DH200" s="211"/>
      <c r="DI200" s="196"/>
      <c r="DJ200" s="196"/>
      <c r="DK200" s="196"/>
      <c r="DL200" s="196"/>
      <c r="DM200" s="212"/>
      <c r="DN200" s="211"/>
      <c r="DO200" s="196"/>
      <c r="DP200" s="196"/>
      <c r="DQ200" s="196"/>
      <c r="DR200" s="196"/>
      <c r="DS200" s="212"/>
      <c r="DT200" s="211"/>
      <c r="DU200" s="196"/>
      <c r="DV200" s="196"/>
      <c r="DW200" s="196"/>
      <c r="DX200" s="196"/>
      <c r="DY200" s="212"/>
      <c r="DZ200" s="211"/>
      <c r="EA200" s="196"/>
      <c r="EB200" s="196"/>
      <c r="EC200" s="196"/>
      <c r="ED200" s="196"/>
      <c r="EE200" s="212"/>
      <c r="EF200" s="675">
        <f t="shared" si="254"/>
        <v>21</v>
      </c>
      <c r="EG200" s="224">
        <f t="shared" si="258"/>
        <v>27.283600000000007</v>
      </c>
      <c r="EH200" s="602">
        <f>AVERAGE(AJ200:BD200)</f>
        <v>12.374566666666666</v>
      </c>
      <c r="EI200" s="602">
        <f t="shared" ref="EI200:EI211" si="259">AVERAGE(D200:AI200)</f>
        <v>72.010700000000014</v>
      </c>
      <c r="EJ200" s="519"/>
      <c r="EK200" s="519"/>
      <c r="EL200" s="519"/>
      <c r="EM200" s="581"/>
      <c r="EN200" s="581"/>
      <c r="EO200" s="581"/>
      <c r="EP200" s="581"/>
      <c r="EQ200" s="581"/>
      <c r="ER200" s="581"/>
      <c r="ES200" s="581"/>
      <c r="ET200" s="581"/>
      <c r="EU200" s="581"/>
      <c r="EV200" s="581"/>
      <c r="EW200" s="581"/>
      <c r="EX200" s="581"/>
      <c r="EY200" s="581"/>
      <c r="EZ200" s="581"/>
      <c r="FA200" s="249"/>
      <c r="FB200" s="581"/>
      <c r="FC200" s="581"/>
      <c r="FD200" s="249"/>
      <c r="FE200" s="581"/>
      <c r="FF200" s="519"/>
      <c r="FG200" s="579"/>
      <c r="FH200" s="519"/>
      <c r="FI200" s="37"/>
    </row>
    <row r="201" spans="1:165" ht="12.75" customHeight="1" x14ac:dyDescent="0.25">
      <c r="A201" s="159">
        <v>22</v>
      </c>
      <c r="B201" s="211"/>
      <c r="C201" s="212"/>
      <c r="D201" s="211"/>
      <c r="E201" s="212"/>
      <c r="F201" s="205"/>
      <c r="G201" s="205"/>
      <c r="H201" s="211"/>
      <c r="I201" s="212"/>
      <c r="J201" s="205"/>
      <c r="K201" s="205"/>
      <c r="L201" s="438">
        <f>8.3+(8.3*0.0661)</f>
        <v>8.84863</v>
      </c>
      <c r="M201" s="432"/>
      <c r="N201" s="205"/>
      <c r="O201" s="205"/>
      <c r="P201" s="211"/>
      <c r="Q201" s="212"/>
      <c r="R201" s="213"/>
      <c r="S201" s="213"/>
      <c r="T201" s="216"/>
      <c r="U201" s="215"/>
      <c r="V201" s="213"/>
      <c r="W201" s="213"/>
      <c r="X201" s="216"/>
      <c r="Y201" s="215"/>
      <c r="Z201" s="205"/>
      <c r="AA201" s="205"/>
      <c r="AB201" s="216"/>
      <c r="AC201" s="215"/>
      <c r="AD201" s="213"/>
      <c r="AE201" s="213"/>
      <c r="AF201" s="211"/>
      <c r="AG201" s="196"/>
      <c r="AH201" s="211"/>
      <c r="AI201" s="228"/>
      <c r="AJ201" s="196"/>
      <c r="AK201" s="212"/>
      <c r="AL201" s="213"/>
      <c r="AM201" s="213"/>
      <c r="AN201" s="211"/>
      <c r="AO201" s="212"/>
      <c r="AP201" s="205"/>
      <c r="AQ201" s="205"/>
      <c r="AR201" s="211"/>
      <c r="AS201" s="212"/>
      <c r="AT201" s="205"/>
      <c r="AU201" s="205"/>
      <c r="AV201" s="216"/>
      <c r="AW201" s="215"/>
      <c r="AX201" s="654">
        <f>3+(0.0661*6)</f>
        <v>3.3966000000000003</v>
      </c>
      <c r="AY201" s="655"/>
      <c r="AZ201" s="261"/>
      <c r="BA201" s="262"/>
      <c r="BB201" s="261"/>
      <c r="BC201" s="262"/>
      <c r="BD201"/>
      <c r="BE201" s="506"/>
      <c r="BF201" s="182">
        <v>59</v>
      </c>
      <c r="BG201" s="188"/>
      <c r="BH201" s="188"/>
      <c r="BI201" s="188"/>
      <c r="BJ201" s="188"/>
      <c r="BK201" s="188"/>
      <c r="BL201" s="146"/>
      <c r="BM201" s="135"/>
      <c r="BN201" s="135"/>
      <c r="BO201" s="135"/>
      <c r="BP201" s="135"/>
      <c r="BQ201" s="131"/>
      <c r="BR201" s="182">
        <v>14</v>
      </c>
      <c r="BS201" s="188"/>
      <c r="BT201" s="188"/>
      <c r="BU201" s="188"/>
      <c r="BV201" s="188"/>
      <c r="BW201" s="183"/>
      <c r="BX201" s="146"/>
      <c r="BY201" s="135"/>
      <c r="BZ201" s="135"/>
      <c r="CA201" s="135"/>
      <c r="CB201" s="135"/>
      <c r="CC201" s="131"/>
      <c r="CD201" s="146"/>
      <c r="CE201" s="135"/>
      <c r="CF201" s="135"/>
      <c r="CG201" s="135"/>
      <c r="CH201" s="135"/>
      <c r="CI201" s="131"/>
      <c r="CJ201" s="146"/>
      <c r="CK201" s="135"/>
      <c r="CL201" s="135"/>
      <c r="CM201" s="135"/>
      <c r="CN201" s="135"/>
      <c r="CO201" s="131"/>
      <c r="CP201" s="146"/>
      <c r="CQ201" s="135"/>
      <c r="CR201" s="135"/>
      <c r="CS201" s="135"/>
      <c r="CT201" s="135"/>
      <c r="CU201" s="131"/>
      <c r="CV201" s="146"/>
      <c r="CW201" s="135"/>
      <c r="CX201" s="135"/>
      <c r="CY201" s="135"/>
      <c r="CZ201" s="135"/>
      <c r="DA201" s="131"/>
      <c r="DB201" s="146"/>
      <c r="DC201" s="135"/>
      <c r="DD201" s="135"/>
      <c r="DE201" s="135"/>
      <c r="DF201" s="135"/>
      <c r="DG201" s="131"/>
      <c r="DH201" s="146"/>
      <c r="DI201" s="135"/>
      <c r="DJ201" s="135"/>
      <c r="DK201" s="135"/>
      <c r="DL201" s="135"/>
      <c r="DM201" s="131"/>
      <c r="DN201" s="146"/>
      <c r="DO201" s="135"/>
      <c r="DP201" s="135"/>
      <c r="DQ201" s="135"/>
      <c r="DR201" s="135"/>
      <c r="DS201" s="131"/>
      <c r="DT201" s="146"/>
      <c r="DU201" s="135"/>
      <c r="DV201" s="135"/>
      <c r="DW201" s="135"/>
      <c r="DX201" s="135"/>
      <c r="DY201" s="131"/>
      <c r="DZ201" s="146"/>
      <c r="EA201" s="135"/>
      <c r="EB201" s="135"/>
      <c r="EC201" s="135"/>
      <c r="ED201" s="135"/>
      <c r="EE201" s="131"/>
      <c r="EF201" s="675">
        <f t="shared" si="254"/>
        <v>22</v>
      </c>
      <c r="EG201" s="224">
        <f t="shared" si="258"/>
        <v>6.1226149999999997</v>
      </c>
      <c r="EH201" s="602">
        <f>AVERAGE(AJ201:BD201)</f>
        <v>3.3966000000000003</v>
      </c>
      <c r="EI201" s="602">
        <f t="shared" si="259"/>
        <v>8.84863</v>
      </c>
      <c r="EJ201" s="519"/>
      <c r="EK201" s="519"/>
      <c r="EL201" s="519"/>
      <c r="EM201" s="581"/>
      <c r="EN201" s="581"/>
      <c r="EO201" s="581"/>
      <c r="EP201" s="581"/>
      <c r="EQ201" s="581"/>
      <c r="ER201" s="581"/>
      <c r="ES201" s="581"/>
      <c r="ET201" s="581"/>
      <c r="EU201" s="581"/>
      <c r="EV201" s="581"/>
      <c r="EW201" s="581"/>
      <c r="EX201" s="581"/>
      <c r="EY201" s="581"/>
      <c r="EZ201" s="581"/>
      <c r="FA201" s="249"/>
      <c r="FB201" s="581"/>
      <c r="FC201" s="581"/>
      <c r="FD201" s="249"/>
      <c r="FE201" s="581"/>
      <c r="FF201" s="519"/>
      <c r="FG201" s="579"/>
      <c r="FH201" s="519"/>
      <c r="FI201" s="37"/>
    </row>
    <row r="202" spans="1:165" x14ac:dyDescent="0.2">
      <c r="A202" s="159">
        <v>23</v>
      </c>
      <c r="B202" s="211"/>
      <c r="C202" s="212"/>
      <c r="D202" s="211"/>
      <c r="E202" s="212"/>
      <c r="F202" s="205"/>
      <c r="G202" s="205"/>
      <c r="H202" s="211"/>
      <c r="I202" s="212"/>
      <c r="J202" s="205"/>
      <c r="K202" s="205"/>
      <c r="L202" s="438">
        <f>0+(5*0.0661)</f>
        <v>0.33050000000000002</v>
      </c>
      <c r="M202" s="432"/>
      <c r="N202" s="213"/>
      <c r="O202" s="213"/>
      <c r="P202" s="211"/>
      <c r="Q202" s="212"/>
      <c r="R202" s="205"/>
      <c r="S202" s="205"/>
      <c r="T202" s="211"/>
      <c r="U202" s="212"/>
      <c r="V202" s="213"/>
      <c r="W202" s="213"/>
      <c r="X202" s="216"/>
      <c r="Y202" s="215"/>
      <c r="Z202" s="205"/>
      <c r="AA202" s="205"/>
      <c r="AB202" s="211"/>
      <c r="AC202" s="212"/>
      <c r="AD202" s="205"/>
      <c r="AE202" s="205"/>
      <c r="AF202" s="211"/>
      <c r="AG202" s="196"/>
      <c r="AH202" s="211"/>
      <c r="AI202" s="228"/>
      <c r="AJ202" s="196"/>
      <c r="AK202" s="212"/>
      <c r="AL202" s="205"/>
      <c r="AM202" s="205"/>
      <c r="AN202" s="211"/>
      <c r="AO202" s="212"/>
      <c r="AP202" s="205"/>
      <c r="AQ202" s="205"/>
      <c r="AR202" s="216"/>
      <c r="AS202" s="215"/>
      <c r="AT202" s="213"/>
      <c r="AU202" s="213"/>
      <c r="AV202" s="211"/>
      <c r="AW202" s="212"/>
      <c r="AX202" s="185"/>
      <c r="AY202" s="185"/>
      <c r="AZ202" s="261"/>
      <c r="BA202" s="262"/>
      <c r="BB202" s="261"/>
      <c r="BC202" s="262"/>
      <c r="BD202" s="211"/>
      <c r="BE202" s="212"/>
      <c r="BF202" s="211"/>
      <c r="BG202" s="196"/>
      <c r="BH202" s="196"/>
      <c r="BI202" s="196"/>
      <c r="BJ202" s="196"/>
      <c r="BK202" s="196"/>
      <c r="BL202" s="211"/>
      <c r="BM202" s="196"/>
      <c r="BN202" s="196"/>
      <c r="BO202" s="196"/>
      <c r="BP202" s="196"/>
      <c r="BQ202" s="212"/>
      <c r="BR202" s="211"/>
      <c r="BS202" s="196"/>
      <c r="BT202" s="196"/>
      <c r="BU202" s="196"/>
      <c r="BV202" s="196"/>
      <c r="BW202" s="212"/>
      <c r="BX202" s="211"/>
      <c r="BY202" s="196"/>
      <c r="BZ202" s="196"/>
      <c r="CA202" s="196"/>
      <c r="CB202" s="196"/>
      <c r="CC202" s="212"/>
      <c r="CD202" s="211"/>
      <c r="CE202" s="196"/>
      <c r="CF202" s="196"/>
      <c r="CG202" s="196"/>
      <c r="CH202" s="196"/>
      <c r="CI202" s="212"/>
      <c r="CJ202" s="211"/>
      <c r="CK202" s="196"/>
      <c r="CL202" s="196"/>
      <c r="CM202" s="196"/>
      <c r="CN202" s="196"/>
      <c r="CO202" s="212"/>
      <c r="CP202" s="211"/>
      <c r="CQ202" s="196"/>
      <c r="CR202" s="196"/>
      <c r="CS202" s="196"/>
      <c r="CT202" s="196"/>
      <c r="CU202" s="212"/>
      <c r="CV202" s="211"/>
      <c r="CW202" s="196"/>
      <c r="CX202" s="196"/>
      <c r="CY202" s="196"/>
      <c r="CZ202" s="196"/>
      <c r="DA202" s="212"/>
      <c r="DB202" s="211"/>
      <c r="DC202" s="196"/>
      <c r="DD202" s="196"/>
      <c r="DE202" s="196"/>
      <c r="DF202" s="196"/>
      <c r="DG202" s="212"/>
      <c r="DH202" s="211"/>
      <c r="DI202" s="196"/>
      <c r="DJ202" s="196"/>
      <c r="DK202" s="196"/>
      <c r="DL202" s="196"/>
      <c r="DM202" s="212"/>
      <c r="DN202" s="211"/>
      <c r="DO202" s="196"/>
      <c r="DP202" s="196"/>
      <c r="DQ202" s="196"/>
      <c r="DR202" s="196"/>
      <c r="DS202" s="212"/>
      <c r="DT202" s="211"/>
      <c r="DU202" s="196"/>
      <c r="DV202" s="196"/>
      <c r="DW202" s="196"/>
      <c r="DX202" s="196"/>
      <c r="DY202" s="212"/>
      <c r="DZ202" s="211"/>
      <c r="EA202" s="196"/>
      <c r="EB202" s="196"/>
      <c r="EC202" s="196"/>
      <c r="ED202" s="196"/>
      <c r="EE202" s="212"/>
      <c r="EF202" s="675">
        <f t="shared" si="254"/>
        <v>23</v>
      </c>
      <c r="EG202" s="224">
        <f t="shared" si="258"/>
        <v>0.33050000000000002</v>
      </c>
      <c r="EH202" s="602">
        <v>0</v>
      </c>
      <c r="EI202" s="602">
        <f t="shared" si="259"/>
        <v>0.33050000000000002</v>
      </c>
      <c r="EJ202" s="519"/>
      <c r="EK202" s="519"/>
      <c r="EL202" s="519"/>
      <c r="EM202" s="581"/>
      <c r="EN202" s="581"/>
      <c r="EO202" s="581"/>
      <c r="EP202" s="581"/>
      <c r="EQ202" s="581"/>
      <c r="ER202" s="581"/>
      <c r="ES202" s="581"/>
      <c r="ET202" s="581"/>
      <c r="EU202" s="581"/>
      <c r="EV202" s="581"/>
      <c r="EW202" s="581"/>
      <c r="EX202" s="581"/>
      <c r="EY202" s="581"/>
      <c r="EZ202" s="581"/>
      <c r="FA202" s="249"/>
      <c r="FB202" s="581"/>
      <c r="FC202" s="581"/>
      <c r="FD202" s="249"/>
      <c r="FE202" s="581"/>
      <c r="FF202" s="519"/>
      <c r="FG202" s="579"/>
      <c r="FH202" s="519"/>
      <c r="FI202" s="37"/>
    </row>
    <row r="203" spans="1:165" x14ac:dyDescent="0.2">
      <c r="A203" s="161">
        <v>24</v>
      </c>
      <c r="B203" s="211"/>
      <c r="C203" s="212"/>
      <c r="D203" s="211"/>
      <c r="E203" s="212"/>
      <c r="F203" s="196"/>
      <c r="G203" s="196"/>
      <c r="H203" s="211"/>
      <c r="I203" s="212"/>
      <c r="J203" s="196"/>
      <c r="K203" s="196"/>
      <c r="L203" s="438">
        <f>1+(6*0.0661)</f>
        <v>1.3966000000000001</v>
      </c>
      <c r="M203" s="432"/>
      <c r="N203" s="196"/>
      <c r="O203" s="196"/>
      <c r="P203" s="211"/>
      <c r="Q203" s="212"/>
      <c r="R203" s="227"/>
      <c r="S203" s="227"/>
      <c r="T203" s="216"/>
      <c r="U203" s="215"/>
      <c r="V203" s="227"/>
      <c r="W203" s="227"/>
      <c r="X203" s="211"/>
      <c r="Y203" s="212"/>
      <c r="Z203" s="196"/>
      <c r="AA203" s="196"/>
      <c r="AB203" s="211"/>
      <c r="AC203" s="212"/>
      <c r="AD203" s="227"/>
      <c r="AE203" s="227"/>
      <c r="AF203" s="211"/>
      <c r="AG203" s="196"/>
      <c r="AH203" s="211"/>
      <c r="AI203" s="228"/>
      <c r="AJ203" s="196"/>
      <c r="AK203" s="212"/>
      <c r="AL203" s="196"/>
      <c r="AM203" s="196"/>
      <c r="AN203" s="211"/>
      <c r="AO203" s="212"/>
      <c r="AP203" s="196"/>
      <c r="AQ203" s="196"/>
      <c r="AR203" s="211"/>
      <c r="AS203" s="212"/>
      <c r="AT203" s="196"/>
      <c r="AU203" s="196"/>
      <c r="AV203" s="216"/>
      <c r="AW203" s="215"/>
      <c r="AX203" s="227"/>
      <c r="AY203" s="227"/>
      <c r="AZ203" s="211"/>
      <c r="BA203" s="212"/>
      <c r="BB203" s="211"/>
      <c r="BC203" s="212"/>
      <c r="BD203" s="211"/>
      <c r="BE203" s="212"/>
      <c r="BF203" s="211"/>
      <c r="BG203" s="196"/>
      <c r="BH203" s="196"/>
      <c r="BI203" s="196"/>
      <c r="BJ203" s="196"/>
      <c r="BK203" s="196"/>
      <c r="BL203" s="211"/>
      <c r="BM203" s="196"/>
      <c r="BN203" s="196"/>
      <c r="BO203" s="196"/>
      <c r="BP203" s="196"/>
      <c r="BQ203" s="212"/>
      <c r="BR203" s="225"/>
      <c r="BS203" s="220"/>
      <c r="BT203" s="220"/>
      <c r="BU203" s="220"/>
      <c r="BV203" s="220"/>
      <c r="BW203" s="221"/>
      <c r="BX203" s="211"/>
      <c r="BY203" s="196"/>
      <c r="BZ203" s="196"/>
      <c r="CA203" s="196"/>
      <c r="CB203" s="196"/>
      <c r="CC203" s="212"/>
      <c r="CD203" s="211"/>
      <c r="CE203" s="196"/>
      <c r="CF203" s="196"/>
      <c r="CG203" s="196"/>
      <c r="CH203" s="196"/>
      <c r="CI203" s="212"/>
      <c r="CJ203" s="211"/>
      <c r="CK203" s="196"/>
      <c r="CL203" s="196"/>
      <c r="CM203" s="196"/>
      <c r="CN203" s="196"/>
      <c r="CO203" s="212"/>
      <c r="CP203" s="211"/>
      <c r="CQ203" s="196"/>
      <c r="CR203" s="196"/>
      <c r="CS203" s="196"/>
      <c r="CT203" s="196"/>
      <c r="CU203" s="212"/>
      <c r="CV203" s="211"/>
      <c r="CW203" s="196"/>
      <c r="CX203" s="196"/>
      <c r="CY203" s="196"/>
      <c r="CZ203" s="196"/>
      <c r="DA203" s="212"/>
      <c r="DB203" s="211"/>
      <c r="DC203" s="196"/>
      <c r="DD203" s="196"/>
      <c r="DE203" s="196"/>
      <c r="DF203" s="196"/>
      <c r="DG203" s="212"/>
      <c r="DH203" s="211"/>
      <c r="DI203" s="196"/>
      <c r="DJ203" s="196"/>
      <c r="DK203" s="196"/>
      <c r="DL203" s="196"/>
      <c r="DM203" s="212"/>
      <c r="DN203" s="211"/>
      <c r="DO203" s="196"/>
      <c r="DP203" s="196"/>
      <c r="DQ203" s="196"/>
      <c r="DR203" s="196"/>
      <c r="DS203" s="212"/>
      <c r="DT203" s="211"/>
      <c r="DU203" s="196"/>
      <c r="DV203" s="196"/>
      <c r="DW203" s="196"/>
      <c r="DX203" s="196"/>
      <c r="DY203" s="212"/>
      <c r="DZ203" s="211"/>
      <c r="EA203" s="196"/>
      <c r="EB203" s="196"/>
      <c r="EC203" s="196"/>
      <c r="ED203" s="196"/>
      <c r="EE203" s="212"/>
      <c r="EF203" s="675">
        <f t="shared" si="254"/>
        <v>24</v>
      </c>
      <c r="EG203" s="224">
        <f t="shared" si="258"/>
        <v>1.3966000000000001</v>
      </c>
      <c r="EH203" s="602">
        <v>0</v>
      </c>
      <c r="EI203" s="602">
        <f t="shared" si="259"/>
        <v>1.3966000000000001</v>
      </c>
      <c r="EJ203" s="519"/>
      <c r="EK203" s="519"/>
      <c r="EL203" s="519"/>
      <c r="EM203" s="581"/>
      <c r="EN203" s="581"/>
      <c r="EO203" s="581"/>
      <c r="EP203" s="581"/>
      <c r="EQ203" s="581"/>
      <c r="ER203" s="581"/>
      <c r="ES203" s="581"/>
      <c r="ET203" s="581"/>
      <c r="EU203" s="581"/>
      <c r="EV203" s="581"/>
      <c r="EW203" s="581"/>
      <c r="EX203" s="581"/>
      <c r="EY203" s="581"/>
      <c r="EZ203" s="581"/>
      <c r="FA203" s="249"/>
      <c r="FB203" s="581"/>
      <c r="FC203" s="581"/>
      <c r="FD203" s="249"/>
      <c r="FE203" s="581"/>
      <c r="FF203" s="519"/>
      <c r="FG203" s="579"/>
      <c r="FH203" s="519"/>
      <c r="FI203" s="37"/>
    </row>
    <row r="204" spans="1:165" s="207" customFormat="1" x14ac:dyDescent="0.2">
      <c r="A204" s="159">
        <v>25</v>
      </c>
      <c r="B204" s="196"/>
      <c r="C204" s="212"/>
      <c r="D204" s="196"/>
      <c r="E204" s="212"/>
      <c r="F204" s="220">
        <v>12</v>
      </c>
      <c r="G204" s="221"/>
      <c r="H204" s="220">
        <v>3</v>
      </c>
      <c r="I204" s="221"/>
      <c r="J204" s="196"/>
      <c r="K204" s="212"/>
      <c r="L204" s="220">
        <v>2</v>
      </c>
      <c r="M204" s="221"/>
      <c r="N204" s="196"/>
      <c r="O204" s="212"/>
      <c r="P204" s="220">
        <v>2</v>
      </c>
      <c r="Q204" s="221"/>
      <c r="R204" s="220">
        <v>2</v>
      </c>
      <c r="S204" s="221"/>
      <c r="T204" s="220">
        <v>6</v>
      </c>
      <c r="U204" s="221"/>
      <c r="V204" s="227"/>
      <c r="W204" s="215"/>
      <c r="X204" s="227"/>
      <c r="Y204" s="215"/>
      <c r="Z204" s="196"/>
      <c r="AA204" s="212"/>
      <c r="AB204" s="196"/>
      <c r="AC204" s="212"/>
      <c r="AD204" s="196"/>
      <c r="AE204" s="212"/>
      <c r="AF204" s="196"/>
      <c r="AG204" s="212"/>
      <c r="AH204" s="196"/>
      <c r="AI204" s="228"/>
      <c r="AJ204" s="196"/>
      <c r="AK204" s="212"/>
      <c r="AL204" s="196"/>
      <c r="AM204" s="212"/>
      <c r="AN204" s="196"/>
      <c r="AO204" s="212"/>
      <c r="AP204" s="196"/>
      <c r="AQ204" s="212"/>
      <c r="AR204" s="227"/>
      <c r="AS204" s="215"/>
      <c r="AT204" s="227"/>
      <c r="AU204" s="215"/>
      <c r="AV204" s="196"/>
      <c r="AW204" s="212"/>
      <c r="AX204" s="196"/>
      <c r="AY204" s="212"/>
      <c r="AZ204" s="196"/>
      <c r="BA204" s="212"/>
      <c r="BB204" s="211"/>
      <c r="BC204" s="212"/>
      <c r="BD204" s="211"/>
      <c r="BE204" s="212"/>
      <c r="BF204" s="216">
        <v>20</v>
      </c>
      <c r="BG204" s="227"/>
      <c r="BH204" s="227"/>
      <c r="BI204" s="227"/>
      <c r="BJ204" s="227"/>
      <c r="BK204" s="227"/>
      <c r="BL204" s="216">
        <v>2</v>
      </c>
      <c r="BM204" s="227"/>
      <c r="BN204" s="227"/>
      <c r="BO204" s="227"/>
      <c r="BP204" s="227"/>
      <c r="BQ204" s="215"/>
      <c r="BR204" s="216">
        <v>14</v>
      </c>
      <c r="BS204" s="227"/>
      <c r="BT204" s="227"/>
      <c r="BU204" s="227"/>
      <c r="BV204" s="227"/>
      <c r="BW204" s="215"/>
      <c r="BX204" s="211"/>
      <c r="BY204" s="196"/>
      <c r="BZ204" s="196"/>
      <c r="CA204" s="196"/>
      <c r="CB204" s="196"/>
      <c r="CC204" s="212"/>
      <c r="CD204" s="211"/>
      <c r="CE204" s="196"/>
      <c r="CF204" s="196"/>
      <c r="CG204" s="196"/>
      <c r="CH204" s="196"/>
      <c r="CI204" s="212"/>
      <c r="CJ204" s="211"/>
      <c r="CK204" s="196"/>
      <c r="CL204" s="196"/>
      <c r="CM204" s="196"/>
      <c r="CN204" s="196"/>
      <c r="CO204" s="212"/>
      <c r="CP204" s="211"/>
      <c r="CQ204" s="196"/>
      <c r="CR204" s="196"/>
      <c r="CS204" s="196"/>
      <c r="CT204" s="196"/>
      <c r="CU204" s="212"/>
      <c r="CV204" s="211"/>
      <c r="CW204" s="196"/>
      <c r="CX204" s="196"/>
      <c r="CY204" s="196"/>
      <c r="CZ204" s="196"/>
      <c r="DA204" s="212"/>
      <c r="DB204" s="211"/>
      <c r="DC204" s="196"/>
      <c r="DD204" s="196"/>
      <c r="DE204" s="196"/>
      <c r="DF204" s="196"/>
      <c r="DG204" s="212"/>
      <c r="DH204" s="211"/>
      <c r="DI204" s="196"/>
      <c r="DJ204" s="196"/>
      <c r="DK204" s="196"/>
      <c r="DL204" s="196"/>
      <c r="DM204" s="212"/>
      <c r="DN204" s="211"/>
      <c r="DO204" s="196"/>
      <c r="DP204" s="196"/>
      <c r="DQ204" s="196"/>
      <c r="DR204" s="196"/>
      <c r="DS204" s="212"/>
      <c r="DT204" s="211"/>
      <c r="DU204" s="196"/>
      <c r="DV204" s="196"/>
      <c r="DW204" s="196"/>
      <c r="DX204" s="196"/>
      <c r="DY204" s="212"/>
      <c r="DZ204" s="211"/>
      <c r="EA204" s="196"/>
      <c r="EB204" s="196"/>
      <c r="EC204" s="196"/>
      <c r="ED204" s="196"/>
      <c r="EE204" s="212"/>
      <c r="EF204" s="675">
        <f t="shared" si="254"/>
        <v>25</v>
      </c>
      <c r="EG204" s="224">
        <f t="shared" si="258"/>
        <v>4.5</v>
      </c>
      <c r="EH204" s="602">
        <v>0</v>
      </c>
      <c r="EI204" s="602">
        <f t="shared" si="259"/>
        <v>4.5</v>
      </c>
      <c r="EJ204" s="581"/>
      <c r="EK204" s="581"/>
      <c r="EL204" s="581"/>
      <c r="EM204" s="581"/>
      <c r="EN204" s="581"/>
      <c r="EO204" s="581"/>
      <c r="EP204" s="581"/>
      <c r="EQ204" s="581"/>
      <c r="ER204" s="581"/>
      <c r="ES204" s="581"/>
      <c r="ET204" s="581"/>
      <c r="EU204" s="581"/>
      <c r="EV204" s="581"/>
      <c r="EW204" s="581"/>
      <c r="EX204" s="581"/>
      <c r="EY204" s="581"/>
      <c r="EZ204" s="581"/>
      <c r="FA204" s="249"/>
      <c r="FB204" s="581"/>
      <c r="FC204" s="581"/>
      <c r="FD204" s="249"/>
      <c r="FE204" s="581"/>
      <c r="FF204" s="581"/>
      <c r="FG204" s="249"/>
      <c r="FH204" s="581"/>
      <c r="FI204" s="124"/>
    </row>
    <row r="205" spans="1:165" x14ac:dyDescent="0.2">
      <c r="A205" s="159">
        <v>26</v>
      </c>
      <c r="B205" s="235"/>
      <c r="C205" s="236"/>
      <c r="D205" s="239">
        <v>1</v>
      </c>
      <c r="E205" s="240"/>
      <c r="F205" s="241">
        <v>9</v>
      </c>
      <c r="G205" s="241"/>
      <c r="H205" s="239">
        <v>3</v>
      </c>
      <c r="I205" s="240"/>
      <c r="J205" s="241">
        <v>5</v>
      </c>
      <c r="K205" s="241"/>
      <c r="L205" s="239">
        <v>5</v>
      </c>
      <c r="M205" s="240"/>
      <c r="N205" s="237"/>
      <c r="O205" s="237"/>
      <c r="P205" s="239">
        <v>2</v>
      </c>
      <c r="Q205" s="240"/>
      <c r="R205" s="241">
        <v>1</v>
      </c>
      <c r="S205" s="241"/>
      <c r="T205" s="242">
        <v>1</v>
      </c>
      <c r="U205" s="243"/>
      <c r="V205" s="244">
        <v>1</v>
      </c>
      <c r="W205" s="244"/>
      <c r="X205" s="235"/>
      <c r="Y205" s="236"/>
      <c r="Z205" s="237"/>
      <c r="AA205" s="237"/>
      <c r="AB205" s="235"/>
      <c r="AC205" s="236"/>
      <c r="AD205" s="237"/>
      <c r="AE205" s="237"/>
      <c r="AF205" s="235"/>
      <c r="AG205" s="237"/>
      <c r="AH205" s="235"/>
      <c r="AI205" s="238"/>
      <c r="AJ205" s="237"/>
      <c r="AK205" s="236"/>
      <c r="AL205" s="237"/>
      <c r="AM205" s="237"/>
      <c r="AN205" s="235"/>
      <c r="AO205" s="236"/>
      <c r="AP205" s="237"/>
      <c r="AQ205" s="237"/>
      <c r="AR205" s="235"/>
      <c r="AS205" s="236"/>
      <c r="AT205" s="237"/>
      <c r="AU205" s="237"/>
      <c r="AV205" s="235"/>
      <c r="AW205" s="236"/>
      <c r="AX205" s="244">
        <v>3</v>
      </c>
      <c r="AY205" s="244"/>
      <c r="AZ205" s="235"/>
      <c r="BA205" s="236"/>
      <c r="BB205" s="242"/>
      <c r="BC205" s="243"/>
      <c r="BD205" s="216">
        <v>8</v>
      </c>
      <c r="BE205" s="215"/>
      <c r="BF205" s="242">
        <v>3</v>
      </c>
      <c r="BG205" s="244"/>
      <c r="BH205" s="244"/>
      <c r="BI205" s="244"/>
      <c r="BJ205" s="244"/>
      <c r="BK205" s="244"/>
      <c r="BL205" s="242">
        <v>4</v>
      </c>
      <c r="BM205" s="244"/>
      <c r="BN205" s="244"/>
      <c r="BO205" s="244"/>
      <c r="BP205" s="244"/>
      <c r="BQ205" s="243"/>
      <c r="BR205" s="242">
        <v>1</v>
      </c>
      <c r="BS205" s="244"/>
      <c r="BT205" s="244"/>
      <c r="BU205" s="244"/>
      <c r="BV205" s="244"/>
      <c r="BW205" s="243"/>
      <c r="BX205" s="242">
        <f>2+0+0</f>
        <v>2</v>
      </c>
      <c r="BY205" s="244"/>
      <c r="BZ205" s="244"/>
      <c r="CA205" s="244"/>
      <c r="CB205" s="244"/>
      <c r="CC205" s="243"/>
      <c r="CD205" s="242">
        <v>3</v>
      </c>
      <c r="CE205" s="244"/>
      <c r="CF205" s="244"/>
      <c r="CG205" s="244"/>
      <c r="CH205" s="244"/>
      <c r="CI205" s="243"/>
      <c r="CJ205" s="235"/>
      <c r="CK205" s="237"/>
      <c r="CL205" s="237"/>
      <c r="CM205" s="237"/>
      <c r="CN205" s="237"/>
      <c r="CO205" s="236"/>
      <c r="CP205" s="235"/>
      <c r="CQ205" s="237"/>
      <c r="CR205" s="237"/>
      <c r="CS205" s="237"/>
      <c r="CT205" s="237"/>
      <c r="CU205" s="236"/>
      <c r="CV205" s="235"/>
      <c r="CW205" s="237"/>
      <c r="CX205" s="237"/>
      <c r="CY205" s="237"/>
      <c r="CZ205" s="237"/>
      <c r="DA205" s="236"/>
      <c r="DB205" s="235"/>
      <c r="DC205" s="237"/>
      <c r="DD205" s="237"/>
      <c r="DE205" s="237"/>
      <c r="DF205" s="237"/>
      <c r="DG205" s="236"/>
      <c r="DH205" s="235"/>
      <c r="DI205" s="237"/>
      <c r="DJ205" s="237"/>
      <c r="DK205" s="237"/>
      <c r="DL205" s="237"/>
      <c r="DM205" s="236"/>
      <c r="DN205" s="235"/>
      <c r="DO205" s="237"/>
      <c r="DP205" s="237"/>
      <c r="DQ205" s="237"/>
      <c r="DR205" s="237"/>
      <c r="DS205" s="236"/>
      <c r="DT205" s="235"/>
      <c r="DU205" s="237"/>
      <c r="DV205" s="237"/>
      <c r="DW205" s="237"/>
      <c r="DX205" s="237"/>
      <c r="DY205" s="236"/>
      <c r="DZ205" s="235"/>
      <c r="EA205" s="237"/>
      <c r="EB205" s="237"/>
      <c r="EC205" s="237"/>
      <c r="ED205" s="237"/>
      <c r="EE205" s="236"/>
      <c r="EF205" s="675">
        <f t="shared" si="254"/>
        <v>26</v>
      </c>
      <c r="EG205" s="224">
        <f t="shared" si="258"/>
        <v>3.5454545454545454</v>
      </c>
      <c r="EH205" s="602">
        <f t="shared" ref="EH205:EH211" si="260">AVERAGE(AJ205:BD205)</f>
        <v>5.5</v>
      </c>
      <c r="EI205" s="602">
        <f t="shared" si="259"/>
        <v>3.1111111111111112</v>
      </c>
      <c r="EJ205" s="519"/>
      <c r="EK205" s="519"/>
      <c r="EL205" s="519"/>
      <c r="EM205" s="581"/>
      <c r="EN205" s="581"/>
      <c r="EO205" s="581"/>
      <c r="EP205" s="581"/>
      <c r="EQ205" s="581"/>
      <c r="ER205" s="581"/>
      <c r="ES205" s="581"/>
      <c r="ET205" s="581"/>
      <c r="EU205" s="581"/>
      <c r="EV205" s="581"/>
      <c r="EW205" s="581"/>
      <c r="EX205" s="581"/>
      <c r="EY205" s="581"/>
      <c r="EZ205" s="581"/>
      <c r="FA205" s="249"/>
      <c r="FB205" s="581"/>
      <c r="FC205" s="581"/>
      <c r="FD205" s="249"/>
      <c r="FE205" s="581"/>
      <c r="FF205" s="519"/>
      <c r="FG205" s="579"/>
      <c r="FH205" s="519"/>
      <c r="FI205" s="37"/>
    </row>
    <row r="206" spans="1:165" x14ac:dyDescent="0.2">
      <c r="A206" s="166">
        <v>27</v>
      </c>
      <c r="B206" s="211"/>
      <c r="C206" s="212"/>
      <c r="D206" s="225">
        <v>21</v>
      </c>
      <c r="E206" s="221"/>
      <c r="F206" s="222">
        <v>13</v>
      </c>
      <c r="G206" s="222"/>
      <c r="H206" s="225">
        <v>2</v>
      </c>
      <c r="I206" s="221"/>
      <c r="J206" s="222">
        <v>5</v>
      </c>
      <c r="K206" s="222"/>
      <c r="L206" s="225">
        <v>4</v>
      </c>
      <c r="M206" s="221"/>
      <c r="N206" s="222">
        <v>10</v>
      </c>
      <c r="O206" s="222"/>
      <c r="P206" s="225">
        <v>2</v>
      </c>
      <c r="Q206" s="221"/>
      <c r="R206" s="205"/>
      <c r="S206" s="205"/>
      <c r="T206" s="216">
        <v>2</v>
      </c>
      <c r="U206" s="215"/>
      <c r="V206" s="222">
        <v>11</v>
      </c>
      <c r="W206" s="222"/>
      <c r="X206" s="211"/>
      <c r="Y206" s="212"/>
      <c r="Z206" s="205"/>
      <c r="AA206" s="205"/>
      <c r="AB206" s="211"/>
      <c r="AC206" s="212"/>
      <c r="AD206" s="205"/>
      <c r="AE206" s="205"/>
      <c r="AF206" s="211"/>
      <c r="AG206" s="196"/>
      <c r="AH206" s="211"/>
      <c r="AI206" s="228"/>
      <c r="AJ206" s="196"/>
      <c r="AK206" s="212"/>
      <c r="AL206" s="205"/>
      <c r="AM206" s="205"/>
      <c r="AN206" s="211"/>
      <c r="AO206" s="212"/>
      <c r="AP206" s="205"/>
      <c r="AQ206" s="205"/>
      <c r="AR206" s="211"/>
      <c r="AS206" s="212"/>
      <c r="AT206" s="222">
        <v>5</v>
      </c>
      <c r="AU206" s="222"/>
      <c r="AV206" s="211"/>
      <c r="AW206" s="212"/>
      <c r="AX206" s="213">
        <v>6</v>
      </c>
      <c r="AY206" s="213"/>
      <c r="AZ206" s="211"/>
      <c r="BA206" s="212"/>
      <c r="BB206" s="211"/>
      <c r="BC206" s="196"/>
      <c r="BD206" s="517">
        <v>4</v>
      </c>
      <c r="BE206" s="516"/>
      <c r="BF206" s="572">
        <v>16</v>
      </c>
      <c r="BG206" s="572"/>
      <c r="BH206" s="572"/>
      <c r="BI206" s="572"/>
      <c r="BJ206" s="572"/>
      <c r="BK206" s="572"/>
      <c r="BL206" s="558">
        <f>2+1</f>
        <v>3</v>
      </c>
      <c r="BM206" s="572"/>
      <c r="BN206" s="572"/>
      <c r="BO206" s="572"/>
      <c r="BP206" s="572"/>
      <c r="BQ206" s="516"/>
      <c r="BR206" s="558">
        <v>5</v>
      </c>
      <c r="BS206" s="572"/>
      <c r="BT206" s="572"/>
      <c r="BU206" s="572"/>
      <c r="BV206" s="572"/>
      <c r="BW206" s="516"/>
      <c r="BX206" s="558">
        <f>4+7+1+0.185</f>
        <v>12.185</v>
      </c>
      <c r="BY206" s="572"/>
      <c r="BZ206" s="572"/>
      <c r="CA206" s="572"/>
      <c r="CB206" s="572"/>
      <c r="CC206" s="516"/>
      <c r="CD206" s="504">
        <v>2</v>
      </c>
      <c r="CE206" s="1137"/>
      <c r="CF206" s="1137"/>
      <c r="CG206" s="1137"/>
      <c r="CH206" s="1137"/>
      <c r="CI206" s="505"/>
      <c r="CJ206" s="217"/>
      <c r="CK206" s="218"/>
      <c r="CL206" s="218"/>
      <c r="CM206" s="218"/>
      <c r="CN206" s="218"/>
      <c r="CO206" s="223"/>
      <c r="CP206" s="217"/>
      <c r="CQ206" s="218"/>
      <c r="CR206" s="218"/>
      <c r="CS206" s="218"/>
      <c r="CT206" s="218"/>
      <c r="CU206" s="223"/>
      <c r="CV206" s="217"/>
      <c r="CW206" s="218"/>
      <c r="CX206" s="218"/>
      <c r="CY206" s="218"/>
      <c r="CZ206" s="218"/>
      <c r="DA206" s="223"/>
      <c r="DB206" s="217"/>
      <c r="DC206" s="218"/>
      <c r="DD206" s="218"/>
      <c r="DE206" s="218"/>
      <c r="DF206" s="218"/>
      <c r="DG206" s="223"/>
      <c r="DH206" s="217"/>
      <c r="DI206" s="218"/>
      <c r="DJ206" s="218"/>
      <c r="DK206" s="218"/>
      <c r="DL206" s="218"/>
      <c r="DM206" s="223"/>
      <c r="DN206" s="217"/>
      <c r="DO206" s="218"/>
      <c r="DP206" s="218"/>
      <c r="DQ206" s="218"/>
      <c r="DR206" s="218"/>
      <c r="DS206" s="223"/>
      <c r="DT206" s="217"/>
      <c r="DU206" s="218"/>
      <c r="DV206" s="218"/>
      <c r="DW206" s="218"/>
      <c r="DX206" s="218"/>
      <c r="DY206" s="223"/>
      <c r="DZ206" s="217"/>
      <c r="EA206" s="218"/>
      <c r="EB206" s="218"/>
      <c r="EC206" s="218"/>
      <c r="ED206" s="218"/>
      <c r="EE206" s="223"/>
      <c r="EF206" s="675">
        <f t="shared" si="254"/>
        <v>27</v>
      </c>
      <c r="EG206" s="224">
        <f t="shared" si="258"/>
        <v>7.083333333333333</v>
      </c>
      <c r="EH206" s="602">
        <f t="shared" si="260"/>
        <v>5</v>
      </c>
      <c r="EI206" s="602">
        <f t="shared" si="259"/>
        <v>7.7777777777777777</v>
      </c>
      <c r="EJ206" s="519"/>
      <c r="EK206" s="519"/>
      <c r="EL206" s="519"/>
      <c r="EM206" s="581"/>
      <c r="EN206" s="581"/>
      <c r="EO206" s="581"/>
      <c r="EP206" s="581"/>
      <c r="EQ206" s="581"/>
      <c r="ER206" s="581"/>
      <c r="ES206" s="581"/>
      <c r="ET206" s="581"/>
      <c r="EU206" s="581"/>
      <c r="EV206" s="581"/>
      <c r="EW206" s="581"/>
      <c r="EX206" s="581"/>
      <c r="EY206" s="581"/>
      <c r="EZ206" s="581"/>
      <c r="FA206" s="249"/>
      <c r="FB206" s="581"/>
      <c r="FC206" s="581"/>
      <c r="FD206" s="249"/>
      <c r="FE206" s="581"/>
      <c r="FF206" s="519"/>
      <c r="FG206" s="579"/>
      <c r="FH206" s="519"/>
      <c r="FI206" s="37"/>
    </row>
    <row r="207" spans="1:165" x14ac:dyDescent="0.2">
      <c r="A207" s="159">
        <v>28</v>
      </c>
      <c r="B207" s="211"/>
      <c r="C207" s="212"/>
      <c r="D207" s="225">
        <v>27</v>
      </c>
      <c r="E207" s="221"/>
      <c r="F207" s="222">
        <v>10</v>
      </c>
      <c r="G207" s="222"/>
      <c r="H207" s="211"/>
      <c r="I207" s="212"/>
      <c r="J207" s="222">
        <v>41</v>
      </c>
      <c r="K207" s="222"/>
      <c r="L207" s="225">
        <v>15</v>
      </c>
      <c r="M207" s="221"/>
      <c r="N207" s="205"/>
      <c r="O207" s="205"/>
      <c r="P207" s="211"/>
      <c r="Q207" s="212"/>
      <c r="R207" s="222">
        <v>3</v>
      </c>
      <c r="S207" s="222"/>
      <c r="T207" s="211"/>
      <c r="U207" s="212"/>
      <c r="V207" s="213"/>
      <c r="W207" s="213"/>
      <c r="X207" s="211"/>
      <c r="Y207" s="212"/>
      <c r="Z207" s="205"/>
      <c r="AA207" s="205"/>
      <c r="AB207" s="211"/>
      <c r="AC207" s="212"/>
      <c r="AD207" s="205"/>
      <c r="AE207" s="205"/>
      <c r="AF207" s="211"/>
      <c r="AG207" s="196"/>
      <c r="AH207" s="211"/>
      <c r="AI207" s="228"/>
      <c r="AJ207" s="196"/>
      <c r="AK207" s="212"/>
      <c r="AL207" s="205"/>
      <c r="AM207" s="205"/>
      <c r="AN207" s="211"/>
      <c r="AO207" s="212"/>
      <c r="AP207" s="205"/>
      <c r="AQ207" s="205"/>
      <c r="AR207" s="211"/>
      <c r="AS207" s="212"/>
      <c r="AT207" s="205"/>
      <c r="AU207" s="205"/>
      <c r="AV207" s="225">
        <v>2</v>
      </c>
      <c r="AW207" s="221"/>
      <c r="AX207" s="213">
        <v>12</v>
      </c>
      <c r="AY207" s="213"/>
      <c r="AZ207" s="216">
        <v>1</v>
      </c>
      <c r="BA207" s="215"/>
      <c r="BB207" s="216"/>
      <c r="BC207" s="215"/>
      <c r="BD207" s="211"/>
      <c r="BE207" s="212"/>
      <c r="BF207" s="216">
        <v>4</v>
      </c>
      <c r="BG207" s="227"/>
      <c r="BH207" s="227"/>
      <c r="BI207" s="227"/>
      <c r="BJ207" s="227"/>
      <c r="BK207" s="227"/>
      <c r="BL207" s="216">
        <v>2</v>
      </c>
      <c r="BM207" s="227"/>
      <c r="BN207" s="227"/>
      <c r="BO207" s="227"/>
      <c r="BP207" s="227"/>
      <c r="BQ207" s="215"/>
      <c r="BR207" s="216">
        <v>1</v>
      </c>
      <c r="BS207" s="227"/>
      <c r="BT207" s="227"/>
      <c r="BU207" s="227"/>
      <c r="BV207" s="227"/>
      <c r="BW207" s="215"/>
      <c r="BX207" s="216">
        <f>3+6+0</f>
        <v>9</v>
      </c>
      <c r="BY207" s="227"/>
      <c r="BZ207" s="227"/>
      <c r="CA207" s="227"/>
      <c r="CB207" s="227"/>
      <c r="CC207" s="215"/>
      <c r="CD207" s="216">
        <v>2</v>
      </c>
      <c r="CE207" s="227"/>
      <c r="CF207" s="227"/>
      <c r="CG207" s="227"/>
      <c r="CH207" s="227"/>
      <c r="CI207" s="215"/>
      <c r="CJ207" s="211"/>
      <c r="CK207" s="196"/>
      <c r="CL207" s="196"/>
      <c r="CM207" s="196"/>
      <c r="CN207" s="196"/>
      <c r="CO207" s="212"/>
      <c r="CP207" s="211"/>
      <c r="CQ207" s="196"/>
      <c r="CR207" s="196"/>
      <c r="CS207" s="196"/>
      <c r="CT207" s="196"/>
      <c r="CU207" s="212"/>
      <c r="CV207" s="211"/>
      <c r="CW207" s="196"/>
      <c r="CX207" s="196"/>
      <c r="CY207" s="196"/>
      <c r="CZ207" s="196"/>
      <c r="DA207" s="212"/>
      <c r="DB207" s="211"/>
      <c r="DC207" s="196"/>
      <c r="DD207" s="196"/>
      <c r="DE207" s="196"/>
      <c r="DF207" s="196"/>
      <c r="DG207" s="212"/>
      <c r="DH207" s="211"/>
      <c r="DI207" s="196"/>
      <c r="DJ207" s="196"/>
      <c r="DK207" s="196"/>
      <c r="DL207" s="196"/>
      <c r="DM207" s="212"/>
      <c r="DN207" s="211"/>
      <c r="DO207" s="196"/>
      <c r="DP207" s="196"/>
      <c r="DQ207" s="196"/>
      <c r="DR207" s="196"/>
      <c r="DS207" s="212"/>
      <c r="DT207" s="211"/>
      <c r="DU207" s="196"/>
      <c r="DV207" s="196"/>
      <c r="DW207" s="196"/>
      <c r="DX207" s="196"/>
      <c r="DY207" s="212"/>
      <c r="DZ207" s="211"/>
      <c r="EA207" s="196"/>
      <c r="EB207" s="196"/>
      <c r="EC207" s="196"/>
      <c r="ED207" s="196"/>
      <c r="EE207" s="212"/>
      <c r="EF207" s="675">
        <f t="shared" si="254"/>
        <v>28</v>
      </c>
      <c r="EG207" s="224">
        <f t="shared" si="258"/>
        <v>13.875</v>
      </c>
      <c r="EH207" s="602">
        <f t="shared" si="260"/>
        <v>5</v>
      </c>
      <c r="EI207" s="602">
        <f t="shared" si="259"/>
        <v>19.2</v>
      </c>
      <c r="EJ207" s="519"/>
      <c r="EK207" s="519"/>
      <c r="EL207" s="519"/>
      <c r="EM207" s="581"/>
      <c r="EN207" s="581"/>
      <c r="EO207" s="581"/>
      <c r="EP207" s="581"/>
      <c r="EQ207" s="581"/>
      <c r="ER207" s="581"/>
      <c r="ES207" s="581"/>
      <c r="ET207" s="581"/>
      <c r="EU207" s="581"/>
      <c r="EV207" s="581"/>
      <c r="EW207" s="581"/>
      <c r="EX207" s="581"/>
      <c r="EY207" s="581"/>
      <c r="EZ207" s="581"/>
      <c r="FA207" s="249"/>
      <c r="FB207" s="581"/>
      <c r="FC207" s="581"/>
      <c r="FD207" s="249"/>
      <c r="FE207" s="581"/>
      <c r="FF207" s="519"/>
      <c r="FG207" s="579"/>
      <c r="FH207" s="519"/>
      <c r="FI207" s="37"/>
    </row>
    <row r="208" spans="1:165" x14ac:dyDescent="0.2">
      <c r="A208" s="159">
        <v>29</v>
      </c>
      <c r="B208" s="211"/>
      <c r="C208" s="212"/>
      <c r="D208" s="225">
        <v>7</v>
      </c>
      <c r="E208" s="221"/>
      <c r="F208" s="222">
        <v>6</v>
      </c>
      <c r="G208" s="222"/>
      <c r="H208" s="211"/>
      <c r="I208" s="212"/>
      <c r="J208" s="222">
        <v>25</v>
      </c>
      <c r="K208" s="222"/>
      <c r="L208" s="225">
        <v>29</v>
      </c>
      <c r="M208" s="221"/>
      <c r="N208" s="222">
        <v>11</v>
      </c>
      <c r="O208" s="222"/>
      <c r="P208" s="211"/>
      <c r="Q208" s="212"/>
      <c r="R208" s="222">
        <v>1</v>
      </c>
      <c r="S208" s="222"/>
      <c r="T208" s="211"/>
      <c r="U208" s="212"/>
      <c r="V208" s="205"/>
      <c r="W208" s="205"/>
      <c r="X208" s="211"/>
      <c r="Y208" s="212"/>
      <c r="Z208" s="205"/>
      <c r="AA208" s="205"/>
      <c r="AB208" s="211"/>
      <c r="AC208" s="212"/>
      <c r="AD208" s="222">
        <v>5</v>
      </c>
      <c r="AE208" s="222"/>
      <c r="AF208" s="211"/>
      <c r="AG208" s="196"/>
      <c r="AH208" s="211"/>
      <c r="AI208" s="228"/>
      <c r="AJ208" s="196"/>
      <c r="AK208" s="212"/>
      <c r="AL208" s="205"/>
      <c r="AM208" s="205"/>
      <c r="AN208" s="211"/>
      <c r="AO208" s="212"/>
      <c r="AP208" s="205"/>
      <c r="AQ208" s="205"/>
      <c r="AR208" s="211"/>
      <c r="AS208" s="212"/>
      <c r="AT208" s="205"/>
      <c r="AU208" s="205"/>
      <c r="AV208" s="211"/>
      <c r="AW208" s="212"/>
      <c r="AX208" s="213">
        <v>2</v>
      </c>
      <c r="AY208" s="213"/>
      <c r="AZ208" s="211"/>
      <c r="BA208" s="212"/>
      <c r="BB208" s="216">
        <v>3</v>
      </c>
      <c r="BC208" s="215"/>
      <c r="BD208" s="211"/>
      <c r="BE208" s="212"/>
      <c r="BF208" s="211"/>
      <c r="BG208" s="196"/>
      <c r="BH208" s="196"/>
      <c r="BI208" s="196"/>
      <c r="BJ208" s="196"/>
      <c r="BK208" s="196"/>
      <c r="BL208" s="211"/>
      <c r="BM208" s="196"/>
      <c r="BN208" s="196"/>
      <c r="BO208" s="196"/>
      <c r="BP208" s="196"/>
      <c r="BQ208" s="212"/>
      <c r="BR208" s="216">
        <v>2</v>
      </c>
      <c r="BS208" s="227"/>
      <c r="BT208" s="227"/>
      <c r="BU208" s="227"/>
      <c r="BV208" s="227"/>
      <c r="BW208" s="215"/>
      <c r="BX208" s="211"/>
      <c r="BY208" s="196"/>
      <c r="BZ208" s="196"/>
      <c r="CA208" s="196"/>
      <c r="CB208" s="196"/>
      <c r="CC208" s="212"/>
      <c r="CD208" s="216">
        <v>4</v>
      </c>
      <c r="CE208" s="227"/>
      <c r="CF208" s="227"/>
      <c r="CG208" s="227"/>
      <c r="CH208" s="227"/>
      <c r="CI208" s="215"/>
      <c r="CJ208" s="211"/>
      <c r="CK208" s="196"/>
      <c r="CL208" s="196"/>
      <c r="CM208" s="196"/>
      <c r="CN208" s="196"/>
      <c r="CO208" s="212"/>
      <c r="CP208" s="211"/>
      <c r="CQ208" s="196"/>
      <c r="CR208" s="196"/>
      <c r="CS208" s="196"/>
      <c r="CT208" s="196"/>
      <c r="CU208" s="212"/>
      <c r="CV208" s="211"/>
      <c r="CW208" s="196"/>
      <c r="CX208" s="196"/>
      <c r="CY208" s="196"/>
      <c r="CZ208" s="196"/>
      <c r="DA208" s="212"/>
      <c r="DB208" s="211"/>
      <c r="DC208" s="196"/>
      <c r="DD208" s="196"/>
      <c r="DE208" s="196"/>
      <c r="DF208" s="196"/>
      <c r="DG208" s="212"/>
      <c r="DH208" s="211"/>
      <c r="DI208" s="196"/>
      <c r="DJ208" s="196"/>
      <c r="DK208" s="196"/>
      <c r="DL208" s="196"/>
      <c r="DM208" s="212"/>
      <c r="DN208" s="211"/>
      <c r="DO208" s="196"/>
      <c r="DP208" s="196"/>
      <c r="DQ208" s="196"/>
      <c r="DR208" s="196"/>
      <c r="DS208" s="212"/>
      <c r="DT208" s="211"/>
      <c r="DU208" s="196"/>
      <c r="DV208" s="196"/>
      <c r="DW208" s="196"/>
      <c r="DX208" s="196"/>
      <c r="DY208" s="212"/>
      <c r="DZ208" s="211"/>
      <c r="EA208" s="196"/>
      <c r="EB208" s="196"/>
      <c r="EC208" s="196"/>
      <c r="ED208" s="196"/>
      <c r="EE208" s="212"/>
      <c r="EF208" s="675">
        <f t="shared" si="254"/>
        <v>29</v>
      </c>
      <c r="EG208" s="224">
        <f t="shared" si="258"/>
        <v>9.8888888888888893</v>
      </c>
      <c r="EH208" s="602">
        <f t="shared" si="260"/>
        <v>2.5</v>
      </c>
      <c r="EI208" s="602">
        <f t="shared" si="259"/>
        <v>12</v>
      </c>
      <c r="EJ208" s="519"/>
      <c r="EK208" s="519"/>
      <c r="EL208" s="519"/>
      <c r="EM208" s="581"/>
      <c r="EN208" s="581"/>
      <c r="EO208" s="581"/>
      <c r="EP208" s="581"/>
      <c r="EQ208" s="581"/>
      <c r="ER208" s="581"/>
      <c r="ES208" s="581"/>
      <c r="ET208" s="581"/>
      <c r="EU208" s="581"/>
      <c r="EV208" s="581"/>
      <c r="EW208" s="581"/>
      <c r="EX208" s="581"/>
      <c r="EY208" s="581"/>
      <c r="EZ208" s="581"/>
      <c r="FA208" s="249"/>
      <c r="FB208" s="581"/>
      <c r="FC208" s="581"/>
      <c r="FD208" s="249"/>
      <c r="FE208" s="581"/>
      <c r="FF208" s="519"/>
      <c r="FG208" s="579"/>
      <c r="FH208" s="519"/>
      <c r="FI208" s="37"/>
    </row>
    <row r="209" spans="1:165" x14ac:dyDescent="0.2">
      <c r="A209" s="159">
        <v>30</v>
      </c>
      <c r="B209" s="211"/>
      <c r="C209" s="212"/>
      <c r="D209" s="225">
        <v>7</v>
      </c>
      <c r="E209" s="221"/>
      <c r="F209" s="222">
        <v>2</v>
      </c>
      <c r="G209" s="222"/>
      <c r="H209" s="211"/>
      <c r="I209" s="212"/>
      <c r="J209" s="222">
        <v>65</v>
      </c>
      <c r="K209" s="222"/>
      <c r="L209" s="211"/>
      <c r="M209" s="212"/>
      <c r="N209" s="205"/>
      <c r="O209" s="205"/>
      <c r="P209" s="211"/>
      <c r="Q209" s="212"/>
      <c r="R209" s="222">
        <v>1</v>
      </c>
      <c r="S209" s="222"/>
      <c r="T209" s="211"/>
      <c r="U209" s="212"/>
      <c r="V209" s="205"/>
      <c r="W209" s="205"/>
      <c r="X209" s="211"/>
      <c r="Y209" s="212"/>
      <c r="Z209" s="205"/>
      <c r="AA209" s="205"/>
      <c r="AB209" s="211"/>
      <c r="AC209" s="212"/>
      <c r="AD209" s="222">
        <v>2</v>
      </c>
      <c r="AE209" s="222"/>
      <c r="AF209" s="211"/>
      <c r="AG209" s="196"/>
      <c r="AH209" s="211"/>
      <c r="AI209" s="228"/>
      <c r="AJ209" s="196"/>
      <c r="AK209" s="212"/>
      <c r="AL209" s="205"/>
      <c r="AM209" s="205"/>
      <c r="AN209" s="211"/>
      <c r="AO209" s="212"/>
      <c r="AP209" s="205"/>
      <c r="AQ209" s="205"/>
      <c r="AR209" s="211"/>
      <c r="AS209" s="212"/>
      <c r="AT209" s="205"/>
      <c r="AU209" s="205"/>
      <c r="AV209" s="211"/>
      <c r="AW209" s="212"/>
      <c r="AX209" s="213">
        <v>6</v>
      </c>
      <c r="AY209" s="213"/>
      <c r="AZ209" s="216">
        <v>1</v>
      </c>
      <c r="BA209" s="215"/>
      <c r="BB209" s="216">
        <v>2</v>
      </c>
      <c r="BC209" s="215"/>
      <c r="BD209" s="211"/>
      <c r="BE209" s="212"/>
      <c r="BF209" s="211"/>
      <c r="BG209" s="196"/>
      <c r="BH209" s="196"/>
      <c r="BI209" s="196"/>
      <c r="BJ209" s="196"/>
      <c r="BK209" s="196"/>
      <c r="BL209" s="211"/>
      <c r="BM209" s="196"/>
      <c r="BN209" s="196"/>
      <c r="BO209" s="196"/>
      <c r="BP209" s="196"/>
      <c r="BQ209" s="212"/>
      <c r="BR209" s="216">
        <v>2</v>
      </c>
      <c r="BS209" s="227"/>
      <c r="BT209" s="227"/>
      <c r="BU209" s="227"/>
      <c r="BV209" s="227"/>
      <c r="BW209" s="215"/>
      <c r="BX209" s="211"/>
      <c r="BY209" s="196"/>
      <c r="BZ209" s="196"/>
      <c r="CA209" s="196"/>
      <c r="CB209" s="196"/>
      <c r="CC209" s="212"/>
      <c r="CD209" s="211"/>
      <c r="CE209" s="196"/>
      <c r="CF209" s="196"/>
      <c r="CG209" s="196"/>
      <c r="CH209" s="196"/>
      <c r="CI209" s="212"/>
      <c r="CJ209" s="211"/>
      <c r="CK209" s="196"/>
      <c r="CL209" s="196"/>
      <c r="CM209" s="196"/>
      <c r="CN209" s="196"/>
      <c r="CO209" s="212"/>
      <c r="CP209" s="211"/>
      <c r="CQ209" s="196"/>
      <c r="CR209" s="196"/>
      <c r="CS209" s="196"/>
      <c r="CT209" s="196"/>
      <c r="CU209" s="212"/>
      <c r="CV209" s="211"/>
      <c r="CW209" s="196"/>
      <c r="CX209" s="196"/>
      <c r="CY209" s="196"/>
      <c r="CZ209" s="196"/>
      <c r="DA209" s="212"/>
      <c r="DB209" s="211"/>
      <c r="DC209" s="196"/>
      <c r="DD209" s="196"/>
      <c r="DE209" s="196"/>
      <c r="DF209" s="196"/>
      <c r="DG209" s="212"/>
      <c r="DH209" s="211"/>
      <c r="DI209" s="196"/>
      <c r="DJ209" s="196"/>
      <c r="DK209" s="196"/>
      <c r="DL209" s="196"/>
      <c r="DM209" s="212"/>
      <c r="DN209" s="211"/>
      <c r="DO209" s="196"/>
      <c r="DP209" s="196"/>
      <c r="DQ209" s="196"/>
      <c r="DR209" s="196"/>
      <c r="DS209" s="212"/>
      <c r="DT209" s="211"/>
      <c r="DU209" s="196"/>
      <c r="DV209" s="196"/>
      <c r="DW209" s="196"/>
      <c r="DX209" s="196"/>
      <c r="DY209" s="212"/>
      <c r="DZ209" s="211"/>
      <c r="EA209" s="196"/>
      <c r="EB209" s="196"/>
      <c r="EC209" s="196"/>
      <c r="ED209" s="196"/>
      <c r="EE209" s="212"/>
      <c r="EF209" s="675">
        <f t="shared" si="254"/>
        <v>30</v>
      </c>
      <c r="EG209" s="224">
        <f t="shared" si="258"/>
        <v>10.75</v>
      </c>
      <c r="EH209" s="602">
        <f t="shared" si="260"/>
        <v>3</v>
      </c>
      <c r="EI209" s="602">
        <f t="shared" si="259"/>
        <v>15.4</v>
      </c>
      <c r="EJ209" s="519"/>
      <c r="EK209" s="519"/>
      <c r="EL209" s="519"/>
      <c r="EM209" s="581"/>
      <c r="EN209" s="581"/>
      <c r="EO209" s="581"/>
      <c r="EP209" s="581"/>
      <c r="EQ209" s="581"/>
      <c r="ER209" s="581"/>
      <c r="ES209" s="581"/>
      <c r="ET209" s="581"/>
      <c r="EU209" s="581"/>
      <c r="EV209" s="581"/>
      <c r="EW209" s="581"/>
      <c r="EX209" s="581"/>
      <c r="EY209" s="581"/>
      <c r="EZ209" s="581"/>
      <c r="FA209" s="249"/>
      <c r="FB209" s="581"/>
      <c r="FC209" s="581"/>
      <c r="FD209" s="249"/>
      <c r="FE209" s="581"/>
      <c r="FF209" s="519"/>
      <c r="FG209" s="579"/>
      <c r="FH209" s="519"/>
      <c r="FI209" s="37"/>
    </row>
    <row r="210" spans="1:165" x14ac:dyDescent="0.2">
      <c r="A210" s="159">
        <v>31</v>
      </c>
      <c r="B210" s="211"/>
      <c r="C210" s="212"/>
      <c r="D210" s="211"/>
      <c r="E210" s="212"/>
      <c r="F210" s="205"/>
      <c r="G210" s="205"/>
      <c r="H210" s="211"/>
      <c r="I210" s="212"/>
      <c r="J210" s="222">
        <v>1</v>
      </c>
      <c r="K210" s="222"/>
      <c r="L210" s="225">
        <v>6</v>
      </c>
      <c r="M210" s="221"/>
      <c r="N210" s="205"/>
      <c r="O210" s="205"/>
      <c r="P210" s="211"/>
      <c r="Q210" s="212"/>
      <c r="R210" s="205"/>
      <c r="S210" s="205"/>
      <c r="T210" s="211"/>
      <c r="U210" s="212"/>
      <c r="V210" s="205"/>
      <c r="W210" s="205"/>
      <c r="X210" s="211"/>
      <c r="Y210" s="212"/>
      <c r="Z210" s="205"/>
      <c r="AA210" s="205"/>
      <c r="AB210" s="211"/>
      <c r="AC210" s="212"/>
      <c r="AD210" s="205"/>
      <c r="AE210" s="205"/>
      <c r="AF210" s="211"/>
      <c r="AG210" s="196"/>
      <c r="AH210" s="211"/>
      <c r="AI210" s="228"/>
      <c r="AJ210" s="196"/>
      <c r="AK210" s="212"/>
      <c r="AL210" s="205"/>
      <c r="AM210" s="205"/>
      <c r="AN210" s="211"/>
      <c r="AO210" s="212"/>
      <c r="AP210" s="205"/>
      <c r="AQ210" s="205"/>
      <c r="AR210" s="211"/>
      <c r="AS210" s="212"/>
      <c r="AT210" s="205"/>
      <c r="AU210" s="205"/>
      <c r="AV210" s="211"/>
      <c r="AW210" s="212"/>
      <c r="AX210" s="213">
        <v>2</v>
      </c>
      <c r="AY210" s="213"/>
      <c r="AZ210" s="216">
        <v>1</v>
      </c>
      <c r="BA210" s="215"/>
      <c r="BB210" s="216">
        <v>1</v>
      </c>
      <c r="BC210" s="215"/>
      <c r="BD210" s="211"/>
      <c r="BE210" s="212"/>
      <c r="BF210" s="211"/>
      <c r="BG210" s="196"/>
      <c r="BH210" s="196"/>
      <c r="BI210" s="196"/>
      <c r="BJ210" s="196"/>
      <c r="BK210" s="196"/>
      <c r="BL210" s="211"/>
      <c r="BM210" s="196"/>
      <c r="BN210" s="196"/>
      <c r="BO210" s="196"/>
      <c r="BP210" s="196"/>
      <c r="BQ210" s="212"/>
      <c r="BR210" s="216">
        <v>1</v>
      </c>
      <c r="BS210" s="227"/>
      <c r="BT210" s="227"/>
      <c r="BU210" s="227"/>
      <c r="BV210" s="227"/>
      <c r="BW210" s="215"/>
      <c r="BX210" s="211"/>
      <c r="BY210" s="196"/>
      <c r="BZ210" s="196"/>
      <c r="CA210" s="196"/>
      <c r="CB210" s="196"/>
      <c r="CC210" s="212"/>
      <c r="CD210" s="211"/>
      <c r="CE210" s="196"/>
      <c r="CF210" s="196"/>
      <c r="CG210" s="196"/>
      <c r="CH210" s="196"/>
      <c r="CI210" s="212"/>
      <c r="CJ210" s="211"/>
      <c r="CK210" s="196"/>
      <c r="CL210" s="196"/>
      <c r="CM210" s="196"/>
      <c r="CN210" s="196"/>
      <c r="CO210" s="212"/>
      <c r="CP210" s="211"/>
      <c r="CQ210" s="196"/>
      <c r="CR210" s="196"/>
      <c r="CS210" s="196"/>
      <c r="CT210" s="196"/>
      <c r="CU210" s="212"/>
      <c r="CV210" s="211"/>
      <c r="CW210" s="196"/>
      <c r="CX210" s="196"/>
      <c r="CY210" s="196"/>
      <c r="CZ210" s="196"/>
      <c r="DA210" s="212"/>
      <c r="DB210" s="211"/>
      <c r="DC210" s="196"/>
      <c r="DD210" s="196"/>
      <c r="DE210" s="196"/>
      <c r="DF210" s="196"/>
      <c r="DG210" s="212"/>
      <c r="DH210" s="211"/>
      <c r="DI210" s="196"/>
      <c r="DJ210" s="196"/>
      <c r="DK210" s="196"/>
      <c r="DL210" s="196"/>
      <c r="DM210" s="212"/>
      <c r="DN210" s="211"/>
      <c r="DO210" s="196"/>
      <c r="DP210" s="196"/>
      <c r="DQ210" s="196"/>
      <c r="DR210" s="196"/>
      <c r="DS210" s="212"/>
      <c r="DT210" s="211"/>
      <c r="DU210" s="196"/>
      <c r="DV210" s="196"/>
      <c r="DW210" s="196"/>
      <c r="DX210" s="196"/>
      <c r="DY210" s="212"/>
      <c r="DZ210" s="211"/>
      <c r="EA210" s="196"/>
      <c r="EB210" s="196"/>
      <c r="EC210" s="196"/>
      <c r="ED210" s="196"/>
      <c r="EE210" s="212"/>
      <c r="EF210" s="675">
        <f t="shared" si="254"/>
        <v>31</v>
      </c>
      <c r="EG210" s="224">
        <f t="shared" si="258"/>
        <v>2.2000000000000002</v>
      </c>
      <c r="EH210" s="602">
        <f t="shared" si="260"/>
        <v>1.3333333333333333</v>
      </c>
      <c r="EI210" s="602">
        <f t="shared" si="259"/>
        <v>3.5</v>
      </c>
      <c r="EJ210" s="519"/>
      <c r="EK210" s="519"/>
      <c r="EL210" s="519"/>
      <c r="EM210" s="581"/>
      <c r="EN210" s="581"/>
      <c r="EO210" s="581"/>
      <c r="EP210" s="581"/>
      <c r="EQ210" s="581"/>
      <c r="ER210" s="581"/>
      <c r="ES210" s="581"/>
      <c r="ET210" s="581"/>
      <c r="EU210" s="581"/>
      <c r="EV210" s="581"/>
      <c r="EW210" s="581"/>
      <c r="EX210" s="581"/>
      <c r="EY210" s="581"/>
      <c r="EZ210" s="581"/>
      <c r="FA210" s="249"/>
      <c r="FB210" s="581"/>
      <c r="FC210" s="581"/>
      <c r="FD210" s="249"/>
      <c r="FE210" s="581"/>
      <c r="FF210" s="519"/>
      <c r="FG210" s="579"/>
      <c r="FH210" s="519"/>
      <c r="FI210" s="37"/>
    </row>
    <row r="211" spans="1:165" x14ac:dyDescent="0.2">
      <c r="A211" s="159">
        <v>32</v>
      </c>
      <c r="B211" s="211"/>
      <c r="C211" s="212"/>
      <c r="D211" s="211"/>
      <c r="E211" s="212"/>
      <c r="F211" s="205"/>
      <c r="G211" s="205"/>
      <c r="H211" s="211"/>
      <c r="I211" s="212"/>
      <c r="J211" s="205"/>
      <c r="K211" s="205"/>
      <c r="L211" s="225">
        <v>2</v>
      </c>
      <c r="M211" s="221"/>
      <c r="N211" s="205"/>
      <c r="O211" s="205"/>
      <c r="P211" s="211"/>
      <c r="Q211" s="212"/>
      <c r="R211" s="205"/>
      <c r="S211" s="205"/>
      <c r="T211" s="211"/>
      <c r="U211" s="212"/>
      <c r="V211" s="205"/>
      <c r="W211" s="205"/>
      <c r="X211" s="211"/>
      <c r="Y211" s="212"/>
      <c r="Z211" s="205"/>
      <c r="AA211" s="205"/>
      <c r="AB211" s="211"/>
      <c r="AC211" s="212"/>
      <c r="AD211" s="205"/>
      <c r="AE211" s="205"/>
      <c r="AF211" s="211"/>
      <c r="AG211" s="196"/>
      <c r="AH211" s="211"/>
      <c r="AI211" s="228"/>
      <c r="AJ211" s="196"/>
      <c r="AK211" s="212"/>
      <c r="AL211" s="205"/>
      <c r="AM211" s="205"/>
      <c r="AN211" s="211"/>
      <c r="AO211" s="212"/>
      <c r="AP211" s="205"/>
      <c r="AQ211" s="205"/>
      <c r="AR211" s="211"/>
      <c r="AS211" s="212"/>
      <c r="AT211" s="205"/>
      <c r="AU211" s="205"/>
      <c r="AV211" s="211"/>
      <c r="AW211" s="212"/>
      <c r="AX211" s="213"/>
      <c r="AY211" s="213"/>
      <c r="AZ211" s="216">
        <v>5</v>
      </c>
      <c r="BA211" s="215"/>
      <c r="BB211" s="216">
        <v>1</v>
      </c>
      <c r="BC211" s="215"/>
      <c r="BD211" s="211"/>
      <c r="BE211" s="212"/>
      <c r="BF211" s="211"/>
      <c r="BG211" s="196"/>
      <c r="BH211" s="196"/>
      <c r="BI211" s="196"/>
      <c r="BJ211" s="196"/>
      <c r="BK211" s="196"/>
      <c r="BL211" s="211"/>
      <c r="BM211" s="196"/>
      <c r="BN211" s="196"/>
      <c r="BO211" s="196"/>
      <c r="BP211" s="196"/>
      <c r="BQ211" s="212"/>
      <c r="BR211" s="211"/>
      <c r="BS211" s="196"/>
      <c r="BT211" s="196"/>
      <c r="BU211" s="196"/>
      <c r="BV211" s="196"/>
      <c r="BW211" s="212"/>
      <c r="BX211" s="211"/>
      <c r="BY211" s="196"/>
      <c r="BZ211" s="196"/>
      <c r="CA211" s="196"/>
      <c r="CB211" s="196"/>
      <c r="CC211" s="212"/>
      <c r="CD211" s="211"/>
      <c r="CE211" s="196"/>
      <c r="CF211" s="196"/>
      <c r="CG211" s="196"/>
      <c r="CH211" s="196"/>
      <c r="CI211" s="212"/>
      <c r="CJ211" s="211"/>
      <c r="CK211" s="196"/>
      <c r="CL211" s="196"/>
      <c r="CM211" s="196"/>
      <c r="CN211" s="196"/>
      <c r="CO211" s="212"/>
      <c r="CP211" s="211"/>
      <c r="CQ211" s="196"/>
      <c r="CR211" s="196"/>
      <c r="CS211" s="196"/>
      <c r="CT211" s="196"/>
      <c r="CU211" s="212"/>
      <c r="CV211" s="211"/>
      <c r="CW211" s="196"/>
      <c r="CX211" s="196"/>
      <c r="CY211" s="196"/>
      <c r="CZ211" s="196"/>
      <c r="DA211" s="212"/>
      <c r="DB211" s="211"/>
      <c r="DC211" s="196"/>
      <c r="DD211" s="196"/>
      <c r="DE211" s="196"/>
      <c r="DF211" s="196"/>
      <c r="DG211" s="212"/>
      <c r="DH211" s="211"/>
      <c r="DI211" s="196"/>
      <c r="DJ211" s="196"/>
      <c r="DK211" s="196"/>
      <c r="DL211" s="196"/>
      <c r="DM211" s="212"/>
      <c r="DN211" s="211"/>
      <c r="DO211" s="196"/>
      <c r="DP211" s="196"/>
      <c r="DQ211" s="196"/>
      <c r="DR211" s="196"/>
      <c r="DS211" s="212"/>
      <c r="DT211" s="211"/>
      <c r="DU211" s="196"/>
      <c r="DV211" s="196"/>
      <c r="DW211" s="196"/>
      <c r="DX211" s="196"/>
      <c r="DY211" s="212"/>
      <c r="DZ211" s="211"/>
      <c r="EA211" s="196"/>
      <c r="EB211" s="196"/>
      <c r="EC211" s="196"/>
      <c r="ED211" s="196"/>
      <c r="EE211" s="212"/>
      <c r="EF211" s="675">
        <f t="shared" ref="EF211:EF232" si="261">A211</f>
        <v>32</v>
      </c>
      <c r="EG211" s="224">
        <f t="shared" si="258"/>
        <v>2.6666666666666665</v>
      </c>
      <c r="EH211" s="602">
        <f t="shared" si="260"/>
        <v>3</v>
      </c>
      <c r="EI211" s="602">
        <f t="shared" si="259"/>
        <v>2</v>
      </c>
      <c r="EJ211" s="519"/>
      <c r="EK211" s="519"/>
      <c r="EL211" s="519"/>
      <c r="EM211" s="581"/>
      <c r="EN211" s="581"/>
      <c r="EO211" s="581"/>
      <c r="EP211" s="581"/>
      <c r="EQ211" s="581"/>
      <c r="ER211" s="581"/>
      <c r="ES211" s="581"/>
      <c r="ET211" s="581"/>
      <c r="EU211" s="581"/>
      <c r="EV211" s="581"/>
      <c r="EW211" s="581"/>
      <c r="EX211" s="581"/>
      <c r="EY211" s="581"/>
      <c r="EZ211" s="581"/>
      <c r="FA211" s="249"/>
      <c r="FB211" s="581"/>
      <c r="FC211" s="581"/>
      <c r="FD211" s="249"/>
      <c r="FE211" s="581"/>
      <c r="FF211" s="519"/>
      <c r="FG211" s="579"/>
      <c r="FH211" s="519"/>
      <c r="FI211" s="37"/>
    </row>
    <row r="212" spans="1:165" x14ac:dyDescent="0.2">
      <c r="A212" s="159">
        <v>33</v>
      </c>
      <c r="B212" s="211"/>
      <c r="C212" s="212"/>
      <c r="D212" s="211"/>
      <c r="E212" s="212"/>
      <c r="F212" s="205"/>
      <c r="G212" s="205"/>
      <c r="H212" s="211"/>
      <c r="I212" s="212"/>
      <c r="J212" s="205"/>
      <c r="K212" s="205"/>
      <c r="L212" s="211"/>
      <c r="M212" s="212"/>
      <c r="N212" s="205"/>
      <c r="O212" s="205"/>
      <c r="P212" s="211"/>
      <c r="Q212" s="212"/>
      <c r="R212" s="205"/>
      <c r="S212" s="205"/>
      <c r="T212" s="211"/>
      <c r="U212" s="212"/>
      <c r="V212" s="205"/>
      <c r="W212" s="205"/>
      <c r="X212" s="211"/>
      <c r="Y212" s="212"/>
      <c r="Z212" s="205"/>
      <c r="AA212" s="205"/>
      <c r="AB212" s="211"/>
      <c r="AC212" s="212"/>
      <c r="AD212" s="205"/>
      <c r="AE212" s="205"/>
      <c r="AF212" s="211"/>
      <c r="AG212" s="196"/>
      <c r="AH212" s="211"/>
      <c r="AI212" s="228"/>
      <c r="AJ212" s="196"/>
      <c r="AK212" s="212"/>
      <c r="AL212" s="205"/>
      <c r="AM212" s="205"/>
      <c r="AN212" s="211"/>
      <c r="AO212" s="212"/>
      <c r="AP212" s="205"/>
      <c r="AQ212" s="205"/>
      <c r="AR212" s="211"/>
      <c r="AS212" s="212"/>
      <c r="AT212" s="205"/>
      <c r="AU212" s="205"/>
      <c r="AV212" s="211"/>
      <c r="AW212" s="212"/>
      <c r="AX212" s="205"/>
      <c r="AY212" s="205"/>
      <c r="AZ212" s="211"/>
      <c r="BA212" s="212"/>
      <c r="BB212" s="211"/>
      <c r="BC212" s="212"/>
      <c r="BD212" s="211"/>
      <c r="BE212" s="212"/>
      <c r="BF212" s="211"/>
      <c r="BG212" s="196"/>
      <c r="BH212" s="196"/>
      <c r="BI212" s="196"/>
      <c r="BJ212" s="196"/>
      <c r="BK212" s="196"/>
      <c r="BL212" s="211"/>
      <c r="BM212" s="196"/>
      <c r="BN212" s="196"/>
      <c r="BO212" s="196"/>
      <c r="BP212" s="196"/>
      <c r="BQ212" s="212"/>
      <c r="BR212" s="211"/>
      <c r="BS212" s="196"/>
      <c r="BT212" s="196"/>
      <c r="BU212" s="196"/>
      <c r="BV212" s="196"/>
      <c r="BW212" s="212"/>
      <c r="BX212" s="211"/>
      <c r="BY212" s="196"/>
      <c r="BZ212" s="196"/>
      <c r="CA212" s="196"/>
      <c r="CB212" s="196"/>
      <c r="CC212" s="212"/>
      <c r="CD212" s="211"/>
      <c r="CE212" s="196"/>
      <c r="CF212" s="196"/>
      <c r="CG212" s="196"/>
      <c r="CH212" s="196"/>
      <c r="CI212" s="212"/>
      <c r="CJ212" s="211"/>
      <c r="CK212" s="196"/>
      <c r="CL212" s="196"/>
      <c r="CM212" s="196"/>
      <c r="CN212" s="196"/>
      <c r="CO212" s="212"/>
      <c r="CP212" s="211"/>
      <c r="CQ212" s="196"/>
      <c r="CR212" s="196"/>
      <c r="CS212" s="196"/>
      <c r="CT212" s="196"/>
      <c r="CU212" s="212"/>
      <c r="CV212" s="211"/>
      <c r="CW212" s="196"/>
      <c r="CX212" s="196"/>
      <c r="CY212" s="196"/>
      <c r="CZ212" s="196"/>
      <c r="DA212" s="212"/>
      <c r="DB212" s="211"/>
      <c r="DC212" s="196"/>
      <c r="DD212" s="196"/>
      <c r="DE212" s="196"/>
      <c r="DF212" s="196"/>
      <c r="DG212" s="212"/>
      <c r="DH212" s="211"/>
      <c r="DI212" s="196"/>
      <c r="DJ212" s="196"/>
      <c r="DK212" s="196"/>
      <c r="DL212" s="196"/>
      <c r="DM212" s="212"/>
      <c r="DN212" s="211"/>
      <c r="DO212" s="196"/>
      <c r="DP212" s="196"/>
      <c r="DQ212" s="196"/>
      <c r="DR212" s="196"/>
      <c r="DS212" s="212"/>
      <c r="DT212" s="211"/>
      <c r="DU212" s="196"/>
      <c r="DV212" s="196"/>
      <c r="DW212" s="196"/>
      <c r="DX212" s="196"/>
      <c r="DY212" s="212"/>
      <c r="DZ212" s="211"/>
      <c r="EA212" s="196"/>
      <c r="EB212" s="196"/>
      <c r="EC212" s="196"/>
      <c r="ED212" s="196"/>
      <c r="EE212" s="212"/>
      <c r="EF212" s="675">
        <f t="shared" si="261"/>
        <v>33</v>
      </c>
      <c r="EG212" s="224">
        <v>0</v>
      </c>
      <c r="EH212" s="602">
        <v>0</v>
      </c>
      <c r="EI212" s="602">
        <v>0</v>
      </c>
      <c r="EJ212" s="519"/>
      <c r="EK212" s="519"/>
      <c r="EL212" s="519"/>
      <c r="EM212" s="581"/>
      <c r="EN212" s="581"/>
      <c r="EO212" s="581"/>
      <c r="EP212" s="581"/>
      <c r="EQ212" s="581"/>
      <c r="ER212" s="581"/>
      <c r="ES212" s="581"/>
      <c r="ET212" s="581"/>
      <c r="EU212" s="581"/>
      <c r="EV212" s="581"/>
      <c r="EW212" s="581"/>
      <c r="EX212" s="581"/>
      <c r="EY212" s="581"/>
      <c r="EZ212" s="581"/>
      <c r="FA212" s="249"/>
      <c r="FB212" s="581"/>
      <c r="FC212" s="581"/>
      <c r="FD212" s="249"/>
      <c r="FE212" s="581"/>
      <c r="FF212" s="519"/>
      <c r="FG212" s="579"/>
      <c r="FH212" s="519"/>
      <c r="FI212" s="37"/>
    </row>
    <row r="213" spans="1:165" x14ac:dyDescent="0.2">
      <c r="A213" s="159">
        <v>34</v>
      </c>
      <c r="B213" s="211"/>
      <c r="C213" s="212"/>
      <c r="D213" s="225">
        <v>73</v>
      </c>
      <c r="E213" s="221"/>
      <c r="F213" s="205"/>
      <c r="G213" s="205"/>
      <c r="H213" s="225">
        <v>22</v>
      </c>
      <c r="I213" s="221"/>
      <c r="J213" s="213"/>
      <c r="K213" s="213"/>
      <c r="L213" s="225">
        <v>72</v>
      </c>
      <c r="M213" s="221"/>
      <c r="N213" s="205"/>
      <c r="O213" s="205"/>
      <c r="P213" s="225">
        <v>26</v>
      </c>
      <c r="Q213" s="221"/>
      <c r="R213" s="213"/>
      <c r="S213" s="213"/>
      <c r="T213" s="211"/>
      <c r="U213" s="212"/>
      <c r="V213" s="213"/>
      <c r="W213" s="213"/>
      <c r="X213" s="225">
        <v>56</v>
      </c>
      <c r="Y213" s="221"/>
      <c r="Z213" s="213"/>
      <c r="AA213" s="213"/>
      <c r="AB213" s="211"/>
      <c r="AC213" s="212"/>
      <c r="AD213" s="213"/>
      <c r="AE213" s="213"/>
      <c r="AF213" s="211"/>
      <c r="AG213" s="196"/>
      <c r="AH213" s="211"/>
      <c r="AI213" s="228"/>
      <c r="AJ213" s="196"/>
      <c r="AK213" s="212"/>
      <c r="AL213" s="205"/>
      <c r="AM213" s="205"/>
      <c r="AN213" s="211"/>
      <c r="AO213" s="212"/>
      <c r="AP213" s="205"/>
      <c r="AQ213" s="205"/>
      <c r="AR213" s="211"/>
      <c r="AS213" s="212"/>
      <c r="AT213" s="205"/>
      <c r="AU213" s="205"/>
      <c r="AV213" s="211"/>
      <c r="AW213" s="212"/>
      <c r="AX213" s="205"/>
      <c r="AY213" s="205"/>
      <c r="AZ213" s="225">
        <v>2</v>
      </c>
      <c r="BA213" s="221"/>
      <c r="BB213" s="216"/>
      <c r="BC213" s="215"/>
      <c r="BD213" s="211"/>
      <c r="BE213" s="212"/>
      <c r="BF213" s="211"/>
      <c r="BG213" s="196"/>
      <c r="BH213" s="196"/>
      <c r="BI213" s="196"/>
      <c r="BJ213" s="196"/>
      <c r="BK213" s="196"/>
      <c r="BL213" s="211"/>
      <c r="BM213" s="196"/>
      <c r="BN213" s="196"/>
      <c r="BO213" s="196"/>
      <c r="BP213" s="196"/>
      <c r="BQ213" s="212"/>
      <c r="BR213" s="211"/>
      <c r="BS213" s="196"/>
      <c r="BT213" s="196"/>
      <c r="BU213" s="196"/>
      <c r="BV213" s="196"/>
      <c r="BW213" s="212"/>
      <c r="BX213" s="211"/>
      <c r="BY213" s="196"/>
      <c r="BZ213" s="196"/>
      <c r="CA213" s="196"/>
      <c r="CB213" s="196"/>
      <c r="CC213" s="212"/>
      <c r="CD213" s="211"/>
      <c r="CE213" s="196"/>
      <c r="CF213" s="196"/>
      <c r="CG213" s="196"/>
      <c r="CH213" s="196"/>
      <c r="CI213" s="212"/>
      <c r="CJ213" s="211"/>
      <c r="CK213" s="196"/>
      <c r="CL213" s="196"/>
      <c r="CM213" s="196"/>
      <c r="CN213" s="196"/>
      <c r="CO213" s="212"/>
      <c r="CP213" s="211"/>
      <c r="CQ213" s="196"/>
      <c r="CR213" s="196"/>
      <c r="CS213" s="196"/>
      <c r="CT213" s="196"/>
      <c r="CU213" s="212"/>
      <c r="CV213" s="211"/>
      <c r="CW213" s="196"/>
      <c r="CX213" s="196"/>
      <c r="CY213" s="196"/>
      <c r="CZ213" s="196"/>
      <c r="DA213" s="212"/>
      <c r="DB213" s="211"/>
      <c r="DC213" s="196"/>
      <c r="DD213" s="196"/>
      <c r="DE213" s="196"/>
      <c r="DF213" s="196"/>
      <c r="DG213" s="212"/>
      <c r="DH213" s="211"/>
      <c r="DI213" s="196"/>
      <c r="DJ213" s="196"/>
      <c r="DK213" s="196"/>
      <c r="DL213" s="196"/>
      <c r="DM213" s="212"/>
      <c r="DN213" s="211"/>
      <c r="DO213" s="196"/>
      <c r="DP213" s="196"/>
      <c r="DQ213" s="196"/>
      <c r="DR213" s="196"/>
      <c r="DS213" s="212"/>
      <c r="DT213" s="211"/>
      <c r="DU213" s="196"/>
      <c r="DV213" s="196"/>
      <c r="DW213" s="196"/>
      <c r="DX213" s="196"/>
      <c r="DY213" s="212"/>
      <c r="DZ213" s="211"/>
      <c r="EA213" s="196"/>
      <c r="EB213" s="196"/>
      <c r="EC213" s="196"/>
      <c r="ED213" s="196"/>
      <c r="EE213" s="212"/>
      <c r="EF213" s="675">
        <f t="shared" si="261"/>
        <v>34</v>
      </c>
      <c r="EG213" s="224">
        <f t="shared" ref="EG213:EG232" si="262">AVERAGE(D213:BD213)</f>
        <v>41.833333333333336</v>
      </c>
      <c r="EH213" s="602">
        <f t="shared" ref="EH213:EH219" si="263">AVERAGE(AJ213:BD213)</f>
        <v>2</v>
      </c>
      <c r="EI213" s="602">
        <f t="shared" ref="EI213:EI232" si="264">AVERAGE(D213:AI213)</f>
        <v>49.8</v>
      </c>
      <c r="EJ213" s="519"/>
      <c r="EK213" s="519"/>
      <c r="EL213" s="519"/>
      <c r="EM213" s="581"/>
      <c r="EN213" s="581"/>
      <c r="EO213" s="581"/>
      <c r="EP213" s="581"/>
      <c r="EQ213" s="581"/>
      <c r="ER213" s="581"/>
      <c r="ES213" s="581"/>
      <c r="ET213" s="581"/>
      <c r="EU213" s="581"/>
      <c r="EV213" s="581"/>
      <c r="EW213" s="581"/>
      <c r="EX213" s="581"/>
      <c r="EY213" s="581"/>
      <c r="EZ213" s="581"/>
      <c r="FA213" s="249"/>
      <c r="FB213" s="581"/>
      <c r="FC213" s="581"/>
      <c r="FD213" s="249"/>
      <c r="FE213" s="581"/>
      <c r="FF213" s="519"/>
      <c r="FG213" s="579"/>
      <c r="FH213" s="519"/>
      <c r="FI213" s="37"/>
    </row>
    <row r="214" spans="1:165" x14ac:dyDescent="0.2">
      <c r="A214" s="159">
        <v>35</v>
      </c>
      <c r="B214" s="211"/>
      <c r="C214" s="212"/>
      <c r="D214" s="225">
        <v>62</v>
      </c>
      <c r="E214" s="221"/>
      <c r="F214" s="213">
        <v>1</v>
      </c>
      <c r="G214" s="213"/>
      <c r="H214" s="225">
        <v>100</v>
      </c>
      <c r="I214" s="221"/>
      <c r="J214" s="213"/>
      <c r="K214" s="213"/>
      <c r="L214" s="225">
        <v>91</v>
      </c>
      <c r="M214" s="221"/>
      <c r="N214" s="213"/>
      <c r="O214" s="213"/>
      <c r="P214" s="225">
        <v>20</v>
      </c>
      <c r="Q214" s="221"/>
      <c r="R214" s="213"/>
      <c r="S214" s="213"/>
      <c r="T214" s="216">
        <v>1</v>
      </c>
      <c r="U214" s="215"/>
      <c r="V214" s="213"/>
      <c r="W214" s="213"/>
      <c r="X214" s="225">
        <v>40</v>
      </c>
      <c r="Y214" s="221"/>
      <c r="Z214" s="213"/>
      <c r="AA214" s="213"/>
      <c r="AB214" s="225">
        <v>1</v>
      </c>
      <c r="AC214" s="221"/>
      <c r="AD214" s="213"/>
      <c r="AE214" s="213"/>
      <c r="AF214" s="211"/>
      <c r="AG214" s="196"/>
      <c r="AH214" s="216"/>
      <c r="AI214" s="245"/>
      <c r="AJ214" s="220">
        <v>1</v>
      </c>
      <c r="AK214" s="221"/>
      <c r="AL214" s="205"/>
      <c r="AM214" s="205"/>
      <c r="AN214" s="225">
        <v>1</v>
      </c>
      <c r="AO214" s="221"/>
      <c r="AP214" s="213"/>
      <c r="AQ214" s="213"/>
      <c r="AR214" s="225">
        <v>1</v>
      </c>
      <c r="AS214" s="221"/>
      <c r="AT214" s="213"/>
      <c r="AU214" s="213"/>
      <c r="AV214" s="211"/>
      <c r="AW214" s="212"/>
      <c r="AX214" s="205"/>
      <c r="AY214" s="205"/>
      <c r="AZ214" s="216">
        <v>2</v>
      </c>
      <c r="BA214" s="215"/>
      <c r="BB214" s="216"/>
      <c r="BC214" s="215"/>
      <c r="BD214" s="211"/>
      <c r="BE214" s="212"/>
      <c r="BF214" s="211"/>
      <c r="BG214" s="196"/>
      <c r="BH214" s="196"/>
      <c r="BI214" s="196"/>
      <c r="BJ214" s="196"/>
      <c r="BK214" s="196"/>
      <c r="BL214" s="211"/>
      <c r="BM214" s="196"/>
      <c r="BN214" s="196"/>
      <c r="BO214" s="196"/>
      <c r="BP214" s="196"/>
      <c r="BQ214" s="212"/>
      <c r="BR214" s="211"/>
      <c r="BS214" s="196"/>
      <c r="BT214" s="196"/>
      <c r="BU214" s="196"/>
      <c r="BV214" s="196"/>
      <c r="BW214" s="212"/>
      <c r="BX214" s="216">
        <v>5</v>
      </c>
      <c r="BY214" s="227"/>
      <c r="BZ214" s="227"/>
      <c r="CA214" s="227"/>
      <c r="CB214" s="227"/>
      <c r="CC214" s="215"/>
      <c r="CD214" s="211"/>
      <c r="CE214" s="196"/>
      <c r="CF214" s="196"/>
      <c r="CG214" s="196"/>
      <c r="CH214" s="196"/>
      <c r="CI214" s="212"/>
      <c r="CJ214" s="211"/>
      <c r="CK214" s="196"/>
      <c r="CL214" s="196"/>
      <c r="CM214" s="196"/>
      <c r="CN214" s="196"/>
      <c r="CO214" s="212"/>
      <c r="CP214" s="211"/>
      <c r="CQ214" s="196"/>
      <c r="CR214" s="196"/>
      <c r="CS214" s="196"/>
      <c r="CT214" s="196"/>
      <c r="CU214" s="212"/>
      <c r="CV214" s="211"/>
      <c r="CW214" s="196"/>
      <c r="CX214" s="196"/>
      <c r="CY214" s="196"/>
      <c r="CZ214" s="196"/>
      <c r="DA214" s="212"/>
      <c r="DB214" s="211"/>
      <c r="DC214" s="196"/>
      <c r="DD214" s="196"/>
      <c r="DE214" s="196"/>
      <c r="DF214" s="196"/>
      <c r="DG214" s="212"/>
      <c r="DH214" s="211"/>
      <c r="DI214" s="196"/>
      <c r="DJ214" s="196"/>
      <c r="DK214" s="196"/>
      <c r="DL214" s="196"/>
      <c r="DM214" s="212"/>
      <c r="DN214" s="211"/>
      <c r="DO214" s="196"/>
      <c r="DP214" s="196"/>
      <c r="DQ214" s="196"/>
      <c r="DR214" s="196"/>
      <c r="DS214" s="212"/>
      <c r="DT214" s="211"/>
      <c r="DU214" s="196"/>
      <c r="DV214" s="196"/>
      <c r="DW214" s="196"/>
      <c r="DX214" s="196"/>
      <c r="DY214" s="212"/>
      <c r="DZ214" s="211"/>
      <c r="EA214" s="196"/>
      <c r="EB214" s="196"/>
      <c r="EC214" s="196"/>
      <c r="ED214" s="196"/>
      <c r="EE214" s="212"/>
      <c r="EF214" s="675">
        <f t="shared" si="261"/>
        <v>35</v>
      </c>
      <c r="EG214" s="224">
        <f t="shared" si="262"/>
        <v>26.75</v>
      </c>
      <c r="EH214" s="602">
        <f t="shared" si="263"/>
        <v>1.25</v>
      </c>
      <c r="EI214" s="602">
        <f t="shared" si="264"/>
        <v>39.5</v>
      </c>
      <c r="EJ214" s="519"/>
      <c r="EK214" s="519"/>
      <c r="EL214" s="519"/>
      <c r="EM214" s="581"/>
      <c r="EN214" s="581"/>
      <c r="EO214" s="581"/>
      <c r="EP214" s="581"/>
      <c r="EQ214" s="581"/>
      <c r="ER214" s="581"/>
      <c r="ES214" s="581"/>
      <c r="ET214" s="581"/>
      <c r="EU214" s="581"/>
      <c r="EV214" s="581"/>
      <c r="EW214" s="581"/>
      <c r="EX214" s="581"/>
      <c r="EY214" s="581"/>
      <c r="EZ214" s="581"/>
      <c r="FA214" s="249"/>
      <c r="FB214" s="581"/>
      <c r="FC214" s="581"/>
      <c r="FD214" s="249"/>
      <c r="FE214" s="581"/>
      <c r="FF214" s="519"/>
      <c r="FG214" s="579"/>
      <c r="FH214" s="519"/>
      <c r="FI214" s="37"/>
    </row>
    <row r="215" spans="1:165" x14ac:dyDescent="0.2">
      <c r="A215" s="159">
        <v>36</v>
      </c>
      <c r="B215" s="211"/>
      <c r="C215" s="212"/>
      <c r="D215" s="225">
        <v>67</v>
      </c>
      <c r="E215" s="221"/>
      <c r="F215" s="213"/>
      <c r="G215" s="213"/>
      <c r="H215" s="225">
        <v>137</v>
      </c>
      <c r="I215" s="221"/>
      <c r="J215" s="213"/>
      <c r="K215" s="213"/>
      <c r="L215" s="225">
        <v>8</v>
      </c>
      <c r="M215" s="221"/>
      <c r="N215" s="205"/>
      <c r="O215" s="205"/>
      <c r="P215" s="225">
        <v>12</v>
      </c>
      <c r="Q215" s="221"/>
      <c r="R215" s="205"/>
      <c r="S215" s="205"/>
      <c r="T215" s="225">
        <v>6</v>
      </c>
      <c r="U215" s="221"/>
      <c r="V215" s="213"/>
      <c r="W215" s="213"/>
      <c r="X215" s="225">
        <v>16</v>
      </c>
      <c r="Y215" s="221"/>
      <c r="Z215" s="213"/>
      <c r="AA215" s="213"/>
      <c r="AB215" s="225">
        <v>3</v>
      </c>
      <c r="AC215" s="221"/>
      <c r="AD215" s="229">
        <v>3</v>
      </c>
      <c r="AE215" s="213"/>
      <c r="AF215" s="211"/>
      <c r="AG215" s="196"/>
      <c r="AH215" s="216"/>
      <c r="AI215" s="245"/>
      <c r="AJ215" s="196"/>
      <c r="AK215" s="212"/>
      <c r="AL215" s="213"/>
      <c r="AM215" s="213"/>
      <c r="AN215" s="211"/>
      <c r="AO215" s="212"/>
      <c r="AP215" s="205"/>
      <c r="AQ215" s="205"/>
      <c r="AR215" s="211"/>
      <c r="AS215" s="212"/>
      <c r="AT215" s="213"/>
      <c r="AU215" s="213"/>
      <c r="AV215" s="211"/>
      <c r="AW215" s="212"/>
      <c r="AX215" s="205"/>
      <c r="AY215" s="205"/>
      <c r="AZ215" s="216">
        <v>5</v>
      </c>
      <c r="BA215" s="215"/>
      <c r="BB215" s="216"/>
      <c r="BC215" s="215"/>
      <c r="BD215" s="211"/>
      <c r="BE215" s="212"/>
      <c r="BF215" s="211"/>
      <c r="BG215" s="196"/>
      <c r="BH215" s="196"/>
      <c r="BI215" s="196"/>
      <c r="BJ215" s="196"/>
      <c r="BK215" s="196"/>
      <c r="BL215" s="216">
        <v>1</v>
      </c>
      <c r="BM215" s="227"/>
      <c r="BN215" s="227"/>
      <c r="BO215" s="227"/>
      <c r="BP215" s="227"/>
      <c r="BQ215" s="215"/>
      <c r="BR215" s="211"/>
      <c r="BS215" s="196"/>
      <c r="BT215" s="196"/>
      <c r="BU215" s="196"/>
      <c r="BV215" s="196"/>
      <c r="BW215" s="212"/>
      <c r="BX215" s="216">
        <v>5</v>
      </c>
      <c r="BY215" s="227"/>
      <c r="BZ215" s="227"/>
      <c r="CA215" s="227"/>
      <c r="CB215" s="227"/>
      <c r="CC215" s="215"/>
      <c r="CD215" s="211"/>
      <c r="CE215" s="196"/>
      <c r="CF215" s="196"/>
      <c r="CG215" s="196"/>
      <c r="CH215" s="196"/>
      <c r="CI215" s="212"/>
      <c r="CJ215" s="211"/>
      <c r="CK215" s="196"/>
      <c r="CL215" s="196"/>
      <c r="CM215" s="196"/>
      <c r="CN215" s="196"/>
      <c r="CO215" s="212"/>
      <c r="CP215" s="211"/>
      <c r="CQ215" s="196"/>
      <c r="CR215" s="196"/>
      <c r="CS215" s="196"/>
      <c r="CT215" s="196"/>
      <c r="CU215" s="212"/>
      <c r="CV215" s="211"/>
      <c r="CW215" s="196"/>
      <c r="CX215" s="196"/>
      <c r="CY215" s="196"/>
      <c r="CZ215" s="196"/>
      <c r="DA215" s="212"/>
      <c r="DB215" s="211"/>
      <c r="DC215" s="196"/>
      <c r="DD215" s="196"/>
      <c r="DE215" s="196"/>
      <c r="DF215" s="196"/>
      <c r="DG215" s="212"/>
      <c r="DH215" s="211"/>
      <c r="DI215" s="196"/>
      <c r="DJ215" s="196"/>
      <c r="DK215" s="196"/>
      <c r="DL215" s="196"/>
      <c r="DM215" s="212"/>
      <c r="DN215" s="211"/>
      <c r="DO215" s="196"/>
      <c r="DP215" s="196"/>
      <c r="DQ215" s="196"/>
      <c r="DR215" s="196"/>
      <c r="DS215" s="212"/>
      <c r="DT215" s="211"/>
      <c r="DU215" s="196"/>
      <c r="DV215" s="196"/>
      <c r="DW215" s="196"/>
      <c r="DX215" s="196"/>
      <c r="DY215" s="212"/>
      <c r="DZ215" s="211"/>
      <c r="EA215" s="196"/>
      <c r="EB215" s="196"/>
      <c r="EC215" s="196"/>
      <c r="ED215" s="196"/>
      <c r="EE215" s="212"/>
      <c r="EF215" s="675">
        <f t="shared" si="261"/>
        <v>36</v>
      </c>
      <c r="EG215" s="224">
        <f t="shared" si="262"/>
        <v>28.555555555555557</v>
      </c>
      <c r="EH215" s="602">
        <f t="shared" si="263"/>
        <v>5</v>
      </c>
      <c r="EI215" s="602">
        <f t="shared" si="264"/>
        <v>31.5</v>
      </c>
      <c r="EJ215" s="519"/>
      <c r="EK215" s="519"/>
      <c r="EL215" s="519"/>
      <c r="EM215" s="581"/>
      <c r="EN215" s="581"/>
      <c r="EO215" s="581"/>
      <c r="EP215" s="581"/>
      <c r="EQ215" s="581"/>
      <c r="ER215" s="581"/>
      <c r="ES215" s="581"/>
      <c r="ET215" s="581"/>
      <c r="EU215" s="581"/>
      <c r="EV215" s="581"/>
      <c r="EW215" s="581"/>
      <c r="EX215" s="581"/>
      <c r="EY215" s="581"/>
      <c r="EZ215" s="581"/>
      <c r="FA215" s="249"/>
      <c r="FB215" s="581"/>
      <c r="FC215" s="581"/>
      <c r="FD215" s="249"/>
      <c r="FE215" s="581"/>
      <c r="FF215" s="519"/>
      <c r="FG215" s="579"/>
      <c r="FH215" s="519"/>
      <c r="FI215" s="37"/>
    </row>
    <row r="216" spans="1:165" x14ac:dyDescent="0.2">
      <c r="A216" s="159">
        <v>37</v>
      </c>
      <c r="B216" s="211"/>
      <c r="C216" s="212"/>
      <c r="D216" s="225">
        <v>61</v>
      </c>
      <c r="E216" s="221"/>
      <c r="F216" s="222">
        <v>2</v>
      </c>
      <c r="G216" s="222"/>
      <c r="H216" s="225">
        <v>57</v>
      </c>
      <c r="I216" s="221"/>
      <c r="J216" s="213">
        <v>11</v>
      </c>
      <c r="K216" s="213"/>
      <c r="L216" s="225">
        <v>1</v>
      </c>
      <c r="M216" s="221"/>
      <c r="N216" s="222">
        <v>1</v>
      </c>
      <c r="O216" s="222"/>
      <c r="P216" s="225">
        <v>6</v>
      </c>
      <c r="Q216" s="221"/>
      <c r="R216" s="213">
        <v>15</v>
      </c>
      <c r="S216" s="213"/>
      <c r="T216" s="225">
        <v>14</v>
      </c>
      <c r="U216" s="221"/>
      <c r="V216" s="222">
        <v>11</v>
      </c>
      <c r="W216" s="222"/>
      <c r="X216" s="225">
        <v>25</v>
      </c>
      <c r="Y216" s="221"/>
      <c r="Z216" s="222">
        <v>1</v>
      </c>
      <c r="AA216" s="222"/>
      <c r="AB216" s="211"/>
      <c r="AC216" s="212"/>
      <c r="AD216" s="213"/>
      <c r="AE216" s="213"/>
      <c r="AF216" s="225">
        <v>1</v>
      </c>
      <c r="AG216" s="220"/>
      <c r="AH216" s="216">
        <v>1</v>
      </c>
      <c r="AI216" s="245"/>
      <c r="AJ216" s="196"/>
      <c r="AK216" s="212"/>
      <c r="AL216" s="213"/>
      <c r="AM216" s="213"/>
      <c r="AN216" s="225">
        <v>1</v>
      </c>
      <c r="AO216" s="221"/>
      <c r="AP216" s="205"/>
      <c r="AQ216" s="205"/>
      <c r="AR216" s="225">
        <v>2</v>
      </c>
      <c r="AS216" s="221"/>
      <c r="AT216" s="213"/>
      <c r="AU216" s="213"/>
      <c r="AV216" s="211"/>
      <c r="AW216" s="212"/>
      <c r="AX216" s="205"/>
      <c r="AY216" s="205"/>
      <c r="AZ216" s="216"/>
      <c r="BA216" s="215"/>
      <c r="BB216" s="211"/>
      <c r="BC216" s="212"/>
      <c r="BD216" s="211"/>
      <c r="BE216" s="212"/>
      <c r="BF216" s="211"/>
      <c r="BG216" s="196"/>
      <c r="BH216" s="196"/>
      <c r="BI216" s="196"/>
      <c r="BJ216" s="196"/>
      <c r="BK216" s="196"/>
      <c r="BL216" s="211"/>
      <c r="BM216" s="196"/>
      <c r="BN216" s="196"/>
      <c r="BO216" s="196"/>
      <c r="BP216" s="196"/>
      <c r="BQ216" s="212"/>
      <c r="BR216" s="211"/>
      <c r="BS216" s="196"/>
      <c r="BT216" s="196"/>
      <c r="BU216" s="196"/>
      <c r="BV216" s="196"/>
      <c r="BW216" s="212"/>
      <c r="BX216" s="211"/>
      <c r="BY216" s="196"/>
      <c r="BZ216" s="196"/>
      <c r="CA216" s="196"/>
      <c r="CB216" s="196"/>
      <c r="CC216" s="212"/>
      <c r="CD216" s="211"/>
      <c r="CE216" s="196"/>
      <c r="CF216" s="196"/>
      <c r="CG216" s="196"/>
      <c r="CH216" s="196"/>
      <c r="CI216" s="212"/>
      <c r="CJ216" s="211"/>
      <c r="CK216" s="196"/>
      <c r="CL216" s="196"/>
      <c r="CM216" s="196"/>
      <c r="CN216" s="196"/>
      <c r="CO216" s="212"/>
      <c r="CP216" s="211"/>
      <c r="CQ216" s="196"/>
      <c r="CR216" s="196"/>
      <c r="CS216" s="196"/>
      <c r="CT216" s="196"/>
      <c r="CU216" s="212"/>
      <c r="CV216" s="211"/>
      <c r="CW216" s="196"/>
      <c r="CX216" s="196"/>
      <c r="CY216" s="196"/>
      <c r="CZ216" s="196"/>
      <c r="DA216" s="212"/>
      <c r="DB216" s="211"/>
      <c r="DC216" s="196"/>
      <c r="DD216" s="196"/>
      <c r="DE216" s="196"/>
      <c r="DF216" s="196"/>
      <c r="DG216" s="212"/>
      <c r="DH216" s="211"/>
      <c r="DI216" s="196"/>
      <c r="DJ216" s="196"/>
      <c r="DK216" s="196"/>
      <c r="DL216" s="196"/>
      <c r="DM216" s="212"/>
      <c r="DN216" s="211"/>
      <c r="DO216" s="196"/>
      <c r="DP216" s="196"/>
      <c r="DQ216" s="196"/>
      <c r="DR216" s="196"/>
      <c r="DS216" s="212"/>
      <c r="DT216" s="211"/>
      <c r="DU216" s="196"/>
      <c r="DV216" s="196"/>
      <c r="DW216" s="196"/>
      <c r="DX216" s="196"/>
      <c r="DY216" s="212"/>
      <c r="DZ216" s="211"/>
      <c r="EA216" s="196"/>
      <c r="EB216" s="196"/>
      <c r="EC216" s="196"/>
      <c r="ED216" s="196"/>
      <c r="EE216" s="212"/>
      <c r="EF216" s="675">
        <f t="shared" si="261"/>
        <v>37</v>
      </c>
      <c r="EG216" s="224">
        <f t="shared" si="262"/>
        <v>13.125</v>
      </c>
      <c r="EH216" s="602">
        <f t="shared" si="263"/>
        <v>1.5</v>
      </c>
      <c r="EI216" s="602">
        <f t="shared" si="264"/>
        <v>14.785714285714286</v>
      </c>
      <c r="EJ216" s="519"/>
      <c r="EK216" s="519"/>
      <c r="EL216" s="519"/>
      <c r="EM216" s="581"/>
      <c r="EN216" s="581"/>
      <c r="EO216" s="581"/>
      <c r="EP216" s="581"/>
      <c r="EQ216" s="581"/>
      <c r="ER216" s="581"/>
      <c r="ES216" s="581"/>
      <c r="ET216" s="581"/>
      <c r="EU216" s="581"/>
      <c r="EV216" s="581"/>
      <c r="EW216" s="581"/>
      <c r="EX216" s="581"/>
      <c r="EY216" s="581"/>
      <c r="EZ216" s="581"/>
      <c r="FA216" s="249"/>
      <c r="FB216" s="581"/>
      <c r="FC216" s="581"/>
      <c r="FD216" s="249"/>
      <c r="FE216" s="581"/>
      <c r="FF216" s="519"/>
      <c r="FG216" s="579"/>
      <c r="FH216" s="519"/>
      <c r="FI216" s="37"/>
    </row>
    <row r="217" spans="1:165" x14ac:dyDescent="0.2">
      <c r="A217" s="159">
        <v>38</v>
      </c>
      <c r="B217" s="211"/>
      <c r="C217" s="212"/>
      <c r="D217" s="225">
        <v>34</v>
      </c>
      <c r="E217" s="221"/>
      <c r="F217" s="229">
        <v>2</v>
      </c>
      <c r="G217" s="213"/>
      <c r="H217" s="225">
        <v>50</v>
      </c>
      <c r="I217" s="221"/>
      <c r="J217" s="229">
        <v>4</v>
      </c>
      <c r="K217" s="213"/>
      <c r="L217" s="246">
        <v>1</v>
      </c>
      <c r="M217" s="221"/>
      <c r="N217" s="213">
        <v>31</v>
      </c>
      <c r="O217" s="213"/>
      <c r="P217" s="225">
        <v>15</v>
      </c>
      <c r="Q217" s="221"/>
      <c r="R217" s="205"/>
      <c r="S217" s="205"/>
      <c r="T217" s="225">
        <v>10</v>
      </c>
      <c r="U217" s="221"/>
      <c r="V217" s="213"/>
      <c r="W217" s="213"/>
      <c r="X217" s="225">
        <v>9</v>
      </c>
      <c r="Y217" s="221"/>
      <c r="Z217" s="213"/>
      <c r="AA217" s="213"/>
      <c r="AB217" s="211"/>
      <c r="AC217" s="212"/>
      <c r="AD217" s="205"/>
      <c r="AE217" s="205"/>
      <c r="AF217" s="211"/>
      <c r="AG217" s="196"/>
      <c r="AH217" s="216"/>
      <c r="AI217" s="245"/>
      <c r="AJ217" s="196"/>
      <c r="AK217" s="212"/>
      <c r="AL217" s="205"/>
      <c r="AM217" s="205"/>
      <c r="AN217" s="216"/>
      <c r="AO217" s="215"/>
      <c r="AP217" s="213"/>
      <c r="AQ217" s="213"/>
      <c r="AR217" s="211"/>
      <c r="AS217" s="212"/>
      <c r="AT217" s="213">
        <v>9</v>
      </c>
      <c r="AU217" s="213"/>
      <c r="AV217" s="211"/>
      <c r="AW217" s="212"/>
      <c r="AX217" s="205"/>
      <c r="AY217" s="205"/>
      <c r="AZ217" s="216"/>
      <c r="BA217" s="215"/>
      <c r="BB217" s="216">
        <v>1</v>
      </c>
      <c r="BC217" s="215"/>
      <c r="BD217" s="211"/>
      <c r="BE217" s="212"/>
      <c r="BF217" s="211"/>
      <c r="BG217" s="196"/>
      <c r="BH217" s="196"/>
      <c r="BI217" s="196"/>
      <c r="BJ217" s="196"/>
      <c r="BK217" s="196"/>
      <c r="BL217" s="211"/>
      <c r="BM217" s="196"/>
      <c r="BN217" s="196"/>
      <c r="BO217" s="196"/>
      <c r="BP217" s="196"/>
      <c r="BQ217" s="212"/>
      <c r="BR217" s="225">
        <v>1</v>
      </c>
      <c r="BS217" s="220"/>
      <c r="BT217" s="220"/>
      <c r="BU217" s="220"/>
      <c r="BV217" s="220"/>
      <c r="BW217" s="221"/>
      <c r="BX217" s="211"/>
      <c r="BY217" s="196"/>
      <c r="BZ217" s="196"/>
      <c r="CA217" s="196"/>
      <c r="CB217" s="196"/>
      <c r="CC217" s="212"/>
      <c r="CD217" s="211"/>
      <c r="CE217" s="196"/>
      <c r="CF217" s="196"/>
      <c r="CG217" s="196"/>
      <c r="CH217" s="196"/>
      <c r="CI217" s="212"/>
      <c r="CJ217" s="211"/>
      <c r="CK217" s="196"/>
      <c r="CL217" s="196"/>
      <c r="CM217" s="196"/>
      <c r="CN217" s="196"/>
      <c r="CO217" s="212"/>
      <c r="CP217" s="211"/>
      <c r="CQ217" s="196"/>
      <c r="CR217" s="196"/>
      <c r="CS217" s="196"/>
      <c r="CT217" s="196"/>
      <c r="CU217" s="212"/>
      <c r="CV217" s="211"/>
      <c r="CW217" s="196"/>
      <c r="CX217" s="196"/>
      <c r="CY217" s="196"/>
      <c r="CZ217" s="196"/>
      <c r="DA217" s="212"/>
      <c r="DB217" s="211"/>
      <c r="DC217" s="196"/>
      <c r="DD217" s="196"/>
      <c r="DE217" s="196"/>
      <c r="DF217" s="196"/>
      <c r="DG217" s="212"/>
      <c r="DH217" s="211"/>
      <c r="DI217" s="196"/>
      <c r="DJ217" s="196"/>
      <c r="DK217" s="196"/>
      <c r="DL217" s="196"/>
      <c r="DM217" s="212"/>
      <c r="DN217" s="211"/>
      <c r="DO217" s="196"/>
      <c r="DP217" s="196"/>
      <c r="DQ217" s="196"/>
      <c r="DR217" s="196"/>
      <c r="DS217" s="212"/>
      <c r="DT217" s="211"/>
      <c r="DU217" s="196"/>
      <c r="DV217" s="196"/>
      <c r="DW217" s="196"/>
      <c r="DX217" s="196"/>
      <c r="DY217" s="212"/>
      <c r="DZ217" s="211"/>
      <c r="EA217" s="196"/>
      <c r="EB217" s="196"/>
      <c r="EC217" s="196"/>
      <c r="ED217" s="196"/>
      <c r="EE217" s="212"/>
      <c r="EF217" s="675">
        <f t="shared" si="261"/>
        <v>38</v>
      </c>
      <c r="EG217" s="224">
        <f t="shared" si="262"/>
        <v>15.090909090909092</v>
      </c>
      <c r="EH217" s="602">
        <f t="shared" si="263"/>
        <v>5</v>
      </c>
      <c r="EI217" s="602">
        <f t="shared" si="264"/>
        <v>17.333333333333332</v>
      </c>
      <c r="EJ217" s="519"/>
      <c r="EK217" s="519"/>
      <c r="EL217" s="519"/>
      <c r="EM217" s="581"/>
      <c r="EN217" s="581"/>
      <c r="EO217" s="581"/>
      <c r="EP217" s="581"/>
      <c r="EQ217" s="581"/>
      <c r="ER217" s="581"/>
      <c r="ES217" s="581"/>
      <c r="ET217" s="581"/>
      <c r="EU217" s="581"/>
      <c r="EV217" s="581"/>
      <c r="EW217" s="581"/>
      <c r="EX217" s="581"/>
      <c r="EY217" s="581"/>
      <c r="EZ217" s="581"/>
      <c r="FA217" s="249"/>
      <c r="FB217" s="581"/>
      <c r="FC217" s="581"/>
      <c r="FD217" s="249"/>
      <c r="FE217" s="581"/>
      <c r="FF217" s="519"/>
      <c r="FG217" s="579"/>
      <c r="FH217" s="519"/>
      <c r="FI217" s="37"/>
    </row>
    <row r="218" spans="1:165" x14ac:dyDescent="0.2">
      <c r="A218" s="159">
        <v>39</v>
      </c>
      <c r="B218" s="211"/>
      <c r="C218" s="212"/>
      <c r="D218" s="216"/>
      <c r="E218" s="215"/>
      <c r="F218" s="213">
        <v>112</v>
      </c>
      <c r="G218" s="213"/>
      <c r="H218" s="211"/>
      <c r="I218" s="212"/>
      <c r="J218" s="213">
        <v>58</v>
      </c>
      <c r="K218" s="213"/>
      <c r="L218" s="211"/>
      <c r="M218" s="212"/>
      <c r="N218" s="213">
        <v>19</v>
      </c>
      <c r="O218" s="213"/>
      <c r="P218" s="211"/>
      <c r="Q218" s="212"/>
      <c r="R218" s="222">
        <v>2</v>
      </c>
      <c r="S218" s="222"/>
      <c r="T218" s="211"/>
      <c r="U218" s="212"/>
      <c r="V218" s="213"/>
      <c r="W218" s="213"/>
      <c r="X218" s="211"/>
      <c r="Y218" s="212"/>
      <c r="Z218" s="213"/>
      <c r="AA218" s="213"/>
      <c r="AB218" s="211"/>
      <c r="AC218" s="212"/>
      <c r="AD218" s="213">
        <v>1</v>
      </c>
      <c r="AE218" s="213"/>
      <c r="AF218" s="246">
        <v>1</v>
      </c>
      <c r="AG218" s="220"/>
      <c r="AH218" s="216"/>
      <c r="AI218" s="245"/>
      <c r="AJ218" s="196"/>
      <c r="AK218" s="212"/>
      <c r="AL218" s="213">
        <v>4</v>
      </c>
      <c r="AM218" s="213"/>
      <c r="AN218" s="211"/>
      <c r="AO218" s="212"/>
      <c r="AP218" s="205"/>
      <c r="AQ218" s="205"/>
      <c r="AR218" s="216"/>
      <c r="AS218" s="215"/>
      <c r="AT218" s="213"/>
      <c r="AU218" s="213"/>
      <c r="AV218" s="211"/>
      <c r="AW218" s="212"/>
      <c r="AX218" s="222">
        <v>3</v>
      </c>
      <c r="AY218" s="222"/>
      <c r="AZ218" s="211"/>
      <c r="BA218" s="212"/>
      <c r="BB218" s="216">
        <v>1</v>
      </c>
      <c r="BC218" s="215"/>
      <c r="BD218" s="211"/>
      <c r="BE218" s="212"/>
      <c r="BF218" s="225">
        <v>1</v>
      </c>
      <c r="BG218" s="220"/>
      <c r="BH218" s="220"/>
      <c r="BI218" s="220"/>
      <c r="BJ218" s="220"/>
      <c r="BK218" s="220"/>
      <c r="BL218" s="211"/>
      <c r="BM218" s="196"/>
      <c r="BN218" s="196"/>
      <c r="BO218" s="196"/>
      <c r="BP218" s="196"/>
      <c r="BQ218" s="212"/>
      <c r="BR218" s="216">
        <v>1</v>
      </c>
      <c r="BS218" s="227"/>
      <c r="BT218" s="227"/>
      <c r="BU218" s="227"/>
      <c r="BV218" s="227"/>
      <c r="BW218" s="215"/>
      <c r="BX218" s="225">
        <v>2</v>
      </c>
      <c r="BY218" s="220"/>
      <c r="BZ218" s="220"/>
      <c r="CA218" s="220"/>
      <c r="CB218" s="220"/>
      <c r="CC218" s="221"/>
      <c r="CD218" s="211"/>
      <c r="CE218" s="196"/>
      <c r="CF218" s="196"/>
      <c r="CG218" s="196"/>
      <c r="CH218" s="196"/>
      <c r="CI218" s="212"/>
      <c r="CJ218" s="211"/>
      <c r="CK218" s="196"/>
      <c r="CL218" s="196"/>
      <c r="CM218" s="196"/>
      <c r="CN218" s="196"/>
      <c r="CO218" s="212"/>
      <c r="CP218" s="211"/>
      <c r="CQ218" s="196"/>
      <c r="CR218" s="196"/>
      <c r="CS218" s="196"/>
      <c r="CT218" s="196"/>
      <c r="CU218" s="212"/>
      <c r="CV218" s="211"/>
      <c r="CW218" s="196"/>
      <c r="CX218" s="196"/>
      <c r="CY218" s="196"/>
      <c r="CZ218" s="196"/>
      <c r="DA218" s="212"/>
      <c r="DB218" s="211"/>
      <c r="DC218" s="196"/>
      <c r="DD218" s="196"/>
      <c r="DE218" s="196"/>
      <c r="DF218" s="196"/>
      <c r="DG218" s="212"/>
      <c r="DH218" s="211"/>
      <c r="DI218" s="196"/>
      <c r="DJ218" s="196"/>
      <c r="DK218" s="196"/>
      <c r="DL218" s="196"/>
      <c r="DM218" s="212"/>
      <c r="DN218" s="211"/>
      <c r="DO218" s="196"/>
      <c r="DP218" s="196"/>
      <c r="DQ218" s="196"/>
      <c r="DR218" s="196"/>
      <c r="DS218" s="212"/>
      <c r="DT218" s="211"/>
      <c r="DU218" s="196"/>
      <c r="DV218" s="196"/>
      <c r="DW218" s="196"/>
      <c r="DX218" s="196"/>
      <c r="DY218" s="212"/>
      <c r="DZ218" s="211"/>
      <c r="EA218" s="196"/>
      <c r="EB218" s="196"/>
      <c r="EC218" s="196"/>
      <c r="ED218" s="196"/>
      <c r="EE218" s="212"/>
      <c r="EF218" s="675">
        <f t="shared" si="261"/>
        <v>39</v>
      </c>
      <c r="EG218" s="224">
        <f t="shared" si="262"/>
        <v>22.333333333333332</v>
      </c>
      <c r="EH218" s="602">
        <f t="shared" si="263"/>
        <v>2.6666666666666665</v>
      </c>
      <c r="EI218" s="602">
        <f t="shared" si="264"/>
        <v>32.166666666666664</v>
      </c>
      <c r="EJ218" s="519"/>
      <c r="EK218" s="519"/>
      <c r="EL218" s="519"/>
      <c r="EM218" s="581"/>
      <c r="EN218" s="581"/>
      <c r="EO218" s="581"/>
      <c r="EP218" s="581"/>
      <c r="EQ218" s="581"/>
      <c r="ER218" s="581"/>
      <c r="ES218" s="581"/>
      <c r="ET218" s="581"/>
      <c r="EU218" s="581"/>
      <c r="EV218" s="581"/>
      <c r="EW218" s="581"/>
      <c r="EX218" s="581"/>
      <c r="EY218" s="581"/>
      <c r="EZ218" s="581"/>
      <c r="FA218" s="249"/>
      <c r="FB218" s="581"/>
      <c r="FC218" s="581"/>
      <c r="FD218" s="249"/>
      <c r="FE218" s="581"/>
      <c r="FF218" s="519"/>
      <c r="FG218" s="579"/>
      <c r="FH218" s="519"/>
      <c r="FI218" s="37"/>
    </row>
    <row r="219" spans="1:165" x14ac:dyDescent="0.2">
      <c r="A219" s="159">
        <v>40</v>
      </c>
      <c r="B219" s="211"/>
      <c r="C219" s="212"/>
      <c r="D219" s="216"/>
      <c r="E219" s="215"/>
      <c r="F219" s="213">
        <v>49</v>
      </c>
      <c r="G219" s="213"/>
      <c r="H219" s="211"/>
      <c r="I219" s="212"/>
      <c r="J219" s="222">
        <v>60</v>
      </c>
      <c r="K219" s="222"/>
      <c r="L219" s="211"/>
      <c r="M219" s="212"/>
      <c r="N219" s="222">
        <v>15</v>
      </c>
      <c r="O219" s="222"/>
      <c r="P219" s="211"/>
      <c r="Q219" s="212"/>
      <c r="R219" s="213">
        <v>29</v>
      </c>
      <c r="S219" s="213"/>
      <c r="T219" s="216"/>
      <c r="U219" s="215"/>
      <c r="V219" s="213"/>
      <c r="W219" s="213"/>
      <c r="X219" s="216"/>
      <c r="Y219" s="215"/>
      <c r="Z219" s="213"/>
      <c r="AA219" s="213"/>
      <c r="AB219" s="211"/>
      <c r="AC219" s="212"/>
      <c r="AD219" s="213">
        <v>10</v>
      </c>
      <c r="AE219" s="213"/>
      <c r="AF219" s="225">
        <v>5</v>
      </c>
      <c r="AG219" s="220"/>
      <c r="AH219" s="216">
        <v>1</v>
      </c>
      <c r="AI219" s="245"/>
      <c r="AJ219" s="220">
        <v>1</v>
      </c>
      <c r="AK219" s="221"/>
      <c r="AL219" s="213"/>
      <c r="AM219" s="213"/>
      <c r="AN219" s="216"/>
      <c r="AO219" s="215"/>
      <c r="AP219" s="205"/>
      <c r="AQ219" s="205"/>
      <c r="AR219" s="211"/>
      <c r="AS219" s="212"/>
      <c r="AT219" s="213">
        <v>1</v>
      </c>
      <c r="AU219" s="213"/>
      <c r="AV219" s="211"/>
      <c r="AW219" s="212"/>
      <c r="AX219" s="205"/>
      <c r="AY219" s="205"/>
      <c r="AZ219" s="211"/>
      <c r="BA219" s="212"/>
      <c r="BB219" s="216">
        <v>3</v>
      </c>
      <c r="BC219" s="215"/>
      <c r="BD219" s="211"/>
      <c r="BE219" s="212"/>
      <c r="BF219" s="225">
        <v>2</v>
      </c>
      <c r="BG219" s="220"/>
      <c r="BH219" s="220"/>
      <c r="BI219" s="220"/>
      <c r="BJ219" s="220"/>
      <c r="BK219" s="220"/>
      <c r="BL219" s="211"/>
      <c r="BM219" s="196"/>
      <c r="BN219" s="196"/>
      <c r="BO219" s="196"/>
      <c r="BP219" s="196"/>
      <c r="BQ219" s="212"/>
      <c r="BR219" s="225">
        <v>1</v>
      </c>
      <c r="BS219" s="220"/>
      <c r="BT219" s="220"/>
      <c r="BU219" s="220"/>
      <c r="BV219" s="220"/>
      <c r="BW219" s="221"/>
      <c r="BX219" s="225">
        <v>1</v>
      </c>
      <c r="BY219" s="220"/>
      <c r="BZ219" s="220"/>
      <c r="CA219" s="220"/>
      <c r="CB219" s="220"/>
      <c r="CC219" s="221"/>
      <c r="CD219" s="211"/>
      <c r="CE219" s="196"/>
      <c r="CF219" s="196"/>
      <c r="CG219" s="196"/>
      <c r="CH219" s="196"/>
      <c r="CI219" s="212"/>
      <c r="CJ219" s="211"/>
      <c r="CK219" s="196"/>
      <c r="CL219" s="196"/>
      <c r="CM219" s="196"/>
      <c r="CN219" s="196"/>
      <c r="CO219" s="212"/>
      <c r="CP219" s="211"/>
      <c r="CQ219" s="196"/>
      <c r="CR219" s="196"/>
      <c r="CS219" s="196"/>
      <c r="CT219" s="196"/>
      <c r="CU219" s="212"/>
      <c r="CV219" s="211"/>
      <c r="CW219" s="196"/>
      <c r="CX219" s="196"/>
      <c r="CY219" s="196"/>
      <c r="CZ219" s="196"/>
      <c r="DA219" s="212"/>
      <c r="DB219" s="211"/>
      <c r="DC219" s="196"/>
      <c r="DD219" s="196"/>
      <c r="DE219" s="196"/>
      <c r="DF219" s="196"/>
      <c r="DG219" s="212"/>
      <c r="DH219" s="211"/>
      <c r="DI219" s="196"/>
      <c r="DJ219" s="196"/>
      <c r="DK219" s="196"/>
      <c r="DL219" s="196"/>
      <c r="DM219" s="212"/>
      <c r="DN219" s="211"/>
      <c r="DO219" s="196"/>
      <c r="DP219" s="196"/>
      <c r="DQ219" s="196"/>
      <c r="DR219" s="196"/>
      <c r="DS219" s="212"/>
      <c r="DT219" s="211"/>
      <c r="DU219" s="196"/>
      <c r="DV219" s="196"/>
      <c r="DW219" s="196"/>
      <c r="DX219" s="196"/>
      <c r="DY219" s="212"/>
      <c r="DZ219" s="211"/>
      <c r="EA219" s="196"/>
      <c r="EB219" s="196"/>
      <c r="EC219" s="196"/>
      <c r="ED219" s="196"/>
      <c r="EE219" s="212"/>
      <c r="EF219" s="675">
        <f t="shared" si="261"/>
        <v>40</v>
      </c>
      <c r="EG219" s="224">
        <f t="shared" si="262"/>
        <v>17.399999999999999</v>
      </c>
      <c r="EH219" s="602">
        <f t="shared" si="263"/>
        <v>1.6666666666666667</v>
      </c>
      <c r="EI219" s="602">
        <f t="shared" si="264"/>
        <v>24.142857142857142</v>
      </c>
      <c r="EJ219" s="519"/>
      <c r="EK219" s="519"/>
      <c r="EL219" s="519"/>
      <c r="EM219" s="581"/>
      <c r="EN219" s="581"/>
      <c r="EO219" s="581"/>
      <c r="EP219" s="581"/>
      <c r="EQ219" s="581"/>
      <c r="ER219" s="581"/>
      <c r="ES219" s="581"/>
      <c r="ET219" s="581"/>
      <c r="EU219" s="581"/>
      <c r="EV219" s="581"/>
      <c r="EW219" s="581"/>
      <c r="EX219" s="581"/>
      <c r="EY219" s="581"/>
      <c r="EZ219" s="581"/>
      <c r="FA219" s="249"/>
      <c r="FB219" s="581"/>
      <c r="FC219" s="581"/>
      <c r="FD219" s="249"/>
      <c r="FE219" s="581"/>
      <c r="FF219" s="519"/>
      <c r="FG219" s="579"/>
      <c r="FH219" s="519"/>
      <c r="FI219" s="37"/>
    </row>
    <row r="220" spans="1:165" x14ac:dyDescent="0.2">
      <c r="A220" s="159">
        <v>41</v>
      </c>
      <c r="B220" s="211"/>
      <c r="C220" s="212"/>
      <c r="D220" s="216"/>
      <c r="E220" s="215"/>
      <c r="F220" s="222">
        <v>32</v>
      </c>
      <c r="G220" s="222"/>
      <c r="H220" s="211"/>
      <c r="I220" s="212"/>
      <c r="J220" s="213"/>
      <c r="K220" s="213"/>
      <c r="L220" s="211"/>
      <c r="M220" s="212"/>
      <c r="N220" s="230">
        <v>4</v>
      </c>
      <c r="O220" s="222"/>
      <c r="P220" s="211"/>
      <c r="Q220" s="212"/>
      <c r="R220" s="213"/>
      <c r="S220" s="213"/>
      <c r="T220" s="211"/>
      <c r="U220" s="212"/>
      <c r="V220" s="205"/>
      <c r="W220" s="205"/>
      <c r="X220" s="211"/>
      <c r="Y220" s="212"/>
      <c r="Z220" s="205"/>
      <c r="AA220" s="205"/>
      <c r="AB220" s="211"/>
      <c r="AC220" s="212"/>
      <c r="AD220" s="213">
        <v>3</v>
      </c>
      <c r="AE220" s="213"/>
      <c r="AF220" s="211"/>
      <c r="AG220" s="196"/>
      <c r="AH220" s="216">
        <v>2</v>
      </c>
      <c r="AI220" s="245"/>
      <c r="AJ220" s="196"/>
      <c r="AK220" s="212"/>
      <c r="AL220" s="213"/>
      <c r="AM220" s="213"/>
      <c r="AN220" s="211"/>
      <c r="AO220" s="212"/>
      <c r="AP220" s="205"/>
      <c r="AQ220" s="205"/>
      <c r="AR220" s="211"/>
      <c r="AS220" s="212"/>
      <c r="AT220" s="205"/>
      <c r="AU220" s="205"/>
      <c r="AV220" s="211"/>
      <c r="AW220" s="212"/>
      <c r="AX220" s="205"/>
      <c r="AY220" s="205"/>
      <c r="AZ220" s="211"/>
      <c r="BA220" s="212"/>
      <c r="BB220" s="211"/>
      <c r="BC220" s="212"/>
      <c r="BD220" s="211"/>
      <c r="BE220" s="212"/>
      <c r="BF220" s="225">
        <v>3</v>
      </c>
      <c r="BG220" s="220"/>
      <c r="BH220" s="220"/>
      <c r="BI220" s="220"/>
      <c r="BJ220" s="220"/>
      <c r="BK220" s="220"/>
      <c r="BL220" s="211"/>
      <c r="BM220" s="196"/>
      <c r="BN220" s="196"/>
      <c r="BO220" s="196"/>
      <c r="BP220" s="196"/>
      <c r="BQ220" s="212"/>
      <c r="BR220" s="225">
        <v>3</v>
      </c>
      <c r="BS220" s="220"/>
      <c r="BT220" s="220"/>
      <c r="BU220" s="220"/>
      <c r="BV220" s="220"/>
      <c r="BW220" s="221"/>
      <c r="BX220" s="211"/>
      <c r="BY220" s="196"/>
      <c r="BZ220" s="196"/>
      <c r="CA220" s="196"/>
      <c r="CB220" s="196"/>
      <c r="CC220" s="212"/>
      <c r="CD220" s="211"/>
      <c r="CE220" s="196"/>
      <c r="CF220" s="196"/>
      <c r="CG220" s="196"/>
      <c r="CH220" s="196"/>
      <c r="CI220" s="212"/>
      <c r="CJ220" s="211"/>
      <c r="CK220" s="196"/>
      <c r="CL220" s="196"/>
      <c r="CM220" s="196"/>
      <c r="CN220" s="196"/>
      <c r="CO220" s="212"/>
      <c r="CP220" s="211"/>
      <c r="CQ220" s="196"/>
      <c r="CR220" s="196"/>
      <c r="CS220" s="196"/>
      <c r="CT220" s="196"/>
      <c r="CU220" s="212"/>
      <c r="CV220" s="211"/>
      <c r="CW220" s="196"/>
      <c r="CX220" s="196"/>
      <c r="CY220" s="196"/>
      <c r="CZ220" s="196"/>
      <c r="DA220" s="212"/>
      <c r="DB220" s="211"/>
      <c r="DC220" s="196"/>
      <c r="DD220" s="196"/>
      <c r="DE220" s="196"/>
      <c r="DF220" s="196"/>
      <c r="DG220" s="212"/>
      <c r="DH220" s="211"/>
      <c r="DI220" s="196"/>
      <c r="DJ220" s="196"/>
      <c r="DK220" s="196"/>
      <c r="DL220" s="196"/>
      <c r="DM220" s="212"/>
      <c r="DN220" s="211"/>
      <c r="DO220" s="196"/>
      <c r="DP220" s="196"/>
      <c r="DQ220" s="196"/>
      <c r="DR220" s="196"/>
      <c r="DS220" s="212"/>
      <c r="DT220" s="211"/>
      <c r="DU220" s="196"/>
      <c r="DV220" s="196"/>
      <c r="DW220" s="196"/>
      <c r="DX220" s="196"/>
      <c r="DY220" s="212"/>
      <c r="DZ220" s="211"/>
      <c r="EA220" s="196"/>
      <c r="EB220" s="196"/>
      <c r="EC220" s="196"/>
      <c r="ED220" s="196"/>
      <c r="EE220" s="212"/>
      <c r="EF220" s="675">
        <f t="shared" si="261"/>
        <v>41</v>
      </c>
      <c r="EG220" s="224">
        <f t="shared" si="262"/>
        <v>10.25</v>
      </c>
      <c r="EH220" s="602">
        <v>0</v>
      </c>
      <c r="EI220" s="602">
        <f t="shared" si="264"/>
        <v>10.25</v>
      </c>
      <c r="EJ220" s="519"/>
      <c r="EK220" s="519"/>
      <c r="EL220" s="519"/>
      <c r="EM220" s="581"/>
      <c r="EN220" s="581"/>
      <c r="EO220" s="581"/>
      <c r="EP220" s="581"/>
      <c r="EQ220" s="581"/>
      <c r="ER220" s="581"/>
      <c r="ES220" s="581"/>
      <c r="ET220" s="581"/>
      <c r="EU220" s="581"/>
      <c r="EV220" s="581"/>
      <c r="EW220" s="581"/>
      <c r="EX220" s="581"/>
      <c r="EY220" s="581"/>
      <c r="EZ220" s="581"/>
      <c r="FA220" s="249"/>
      <c r="FB220" s="581"/>
      <c r="FC220" s="581"/>
      <c r="FD220" s="249"/>
      <c r="FE220" s="581"/>
      <c r="FF220" s="519"/>
      <c r="FG220" s="579"/>
      <c r="FH220" s="519"/>
      <c r="FI220" s="37"/>
    </row>
    <row r="221" spans="1:165" x14ac:dyDescent="0.2">
      <c r="A221" s="159">
        <v>42</v>
      </c>
      <c r="B221" s="211"/>
      <c r="C221" s="212"/>
      <c r="D221" s="216"/>
      <c r="E221" s="215"/>
      <c r="F221" s="222">
        <v>16</v>
      </c>
      <c r="G221" s="222"/>
      <c r="H221" s="211"/>
      <c r="I221" s="212"/>
      <c r="J221" s="205"/>
      <c r="K221" s="205"/>
      <c r="L221" s="211"/>
      <c r="M221" s="212"/>
      <c r="N221" s="230">
        <v>1</v>
      </c>
      <c r="O221" s="222"/>
      <c r="P221" s="211"/>
      <c r="Q221" s="212"/>
      <c r="R221" s="213"/>
      <c r="S221" s="213"/>
      <c r="T221" s="211"/>
      <c r="U221" s="212"/>
      <c r="V221" s="205"/>
      <c r="W221" s="205"/>
      <c r="X221" s="211"/>
      <c r="Y221" s="212"/>
      <c r="Z221" s="205"/>
      <c r="AA221" s="205"/>
      <c r="AB221" s="211"/>
      <c r="AC221" s="212"/>
      <c r="AD221" s="213">
        <v>1</v>
      </c>
      <c r="AE221" s="213"/>
      <c r="AF221" s="225">
        <v>5</v>
      </c>
      <c r="AG221" s="220"/>
      <c r="AH221" s="216">
        <v>1</v>
      </c>
      <c r="AI221" s="245"/>
      <c r="AJ221" s="196"/>
      <c r="AK221" s="212"/>
      <c r="AL221" s="213"/>
      <c r="AM221" s="213"/>
      <c r="AN221" s="216"/>
      <c r="AO221" s="215"/>
      <c r="AP221" s="213"/>
      <c r="AQ221" s="213"/>
      <c r="AR221" s="211"/>
      <c r="AS221" s="212"/>
      <c r="AT221" s="213"/>
      <c r="AU221" s="213"/>
      <c r="AV221" s="225">
        <v>1</v>
      </c>
      <c r="AW221" s="221"/>
      <c r="AX221" s="205"/>
      <c r="AY221" s="205"/>
      <c r="AZ221" s="211"/>
      <c r="BA221" s="212"/>
      <c r="BB221" s="216">
        <v>1</v>
      </c>
      <c r="BC221" s="215"/>
      <c r="BD221" s="211"/>
      <c r="BE221" s="212"/>
      <c r="BF221" s="225">
        <v>4</v>
      </c>
      <c r="BG221" s="220"/>
      <c r="BH221" s="220"/>
      <c r="BI221" s="220"/>
      <c r="BJ221" s="220"/>
      <c r="BK221" s="220"/>
      <c r="BL221" s="211"/>
      <c r="BM221" s="196"/>
      <c r="BN221" s="196"/>
      <c r="BO221" s="196"/>
      <c r="BP221" s="196"/>
      <c r="BQ221" s="212"/>
      <c r="BR221" s="225">
        <v>2</v>
      </c>
      <c r="BS221" s="220"/>
      <c r="BT221" s="220"/>
      <c r="BU221" s="220"/>
      <c r="BV221" s="220"/>
      <c r="BW221" s="221"/>
      <c r="BX221" s="216">
        <v>1</v>
      </c>
      <c r="BY221" s="227"/>
      <c r="BZ221" s="227"/>
      <c r="CA221" s="227"/>
      <c r="CB221" s="227"/>
      <c r="CC221" s="215"/>
      <c r="CD221" s="211"/>
      <c r="CE221" s="196"/>
      <c r="CF221" s="196"/>
      <c r="CG221" s="196"/>
      <c r="CH221" s="196"/>
      <c r="CI221" s="212"/>
      <c r="CJ221" s="211"/>
      <c r="CK221" s="196"/>
      <c r="CL221" s="196"/>
      <c r="CM221" s="196"/>
      <c r="CN221" s="196"/>
      <c r="CO221" s="212"/>
      <c r="CP221" s="211"/>
      <c r="CQ221" s="196"/>
      <c r="CR221" s="196"/>
      <c r="CS221" s="196"/>
      <c r="CT221" s="196"/>
      <c r="CU221" s="212"/>
      <c r="CV221" s="211"/>
      <c r="CW221" s="196"/>
      <c r="CX221" s="196"/>
      <c r="CY221" s="196"/>
      <c r="CZ221" s="196"/>
      <c r="DA221" s="212"/>
      <c r="DB221" s="211"/>
      <c r="DC221" s="196"/>
      <c r="DD221" s="196"/>
      <c r="DE221" s="196"/>
      <c r="DF221" s="196"/>
      <c r="DG221" s="212"/>
      <c r="DH221" s="211"/>
      <c r="DI221" s="196"/>
      <c r="DJ221" s="196"/>
      <c r="DK221" s="196"/>
      <c r="DL221" s="196"/>
      <c r="DM221" s="212"/>
      <c r="DN221" s="211"/>
      <c r="DO221" s="196"/>
      <c r="DP221" s="196"/>
      <c r="DQ221" s="196"/>
      <c r="DR221" s="196"/>
      <c r="DS221" s="212"/>
      <c r="DT221" s="211"/>
      <c r="DU221" s="196"/>
      <c r="DV221" s="196"/>
      <c r="DW221" s="196"/>
      <c r="DX221" s="196"/>
      <c r="DY221" s="212"/>
      <c r="DZ221" s="211"/>
      <c r="EA221" s="196"/>
      <c r="EB221" s="196"/>
      <c r="EC221" s="196"/>
      <c r="ED221" s="196"/>
      <c r="EE221" s="212"/>
      <c r="EF221" s="675">
        <f t="shared" si="261"/>
        <v>42</v>
      </c>
      <c r="EG221" s="224">
        <f t="shared" si="262"/>
        <v>3.7142857142857144</v>
      </c>
      <c r="EH221" s="602">
        <f t="shared" ref="EH221:EH232" si="265">AVERAGE(AJ221:BD221)</f>
        <v>1</v>
      </c>
      <c r="EI221" s="602">
        <f t="shared" si="264"/>
        <v>4.8</v>
      </c>
      <c r="EJ221" s="519"/>
      <c r="EK221" s="519"/>
      <c r="EL221" s="519"/>
      <c r="EM221" s="581"/>
      <c r="EN221" s="581"/>
      <c r="EO221" s="581"/>
      <c r="EP221" s="581"/>
      <c r="EQ221" s="581"/>
      <c r="ER221" s="581"/>
      <c r="ES221" s="581"/>
      <c r="ET221" s="581"/>
      <c r="EU221" s="581"/>
      <c r="EV221" s="581"/>
      <c r="EW221" s="581"/>
      <c r="EX221" s="581"/>
      <c r="EY221" s="581"/>
      <c r="EZ221" s="581"/>
      <c r="FA221" s="249"/>
      <c r="FB221" s="581"/>
      <c r="FC221" s="581"/>
      <c r="FD221" s="249"/>
      <c r="FE221" s="581"/>
      <c r="FF221" s="519"/>
      <c r="FG221" s="579"/>
      <c r="FH221" s="519"/>
      <c r="FI221" s="37"/>
    </row>
    <row r="222" spans="1:165" x14ac:dyDescent="0.2">
      <c r="A222" s="159">
        <v>43</v>
      </c>
      <c r="B222" s="211"/>
      <c r="C222" s="212"/>
      <c r="D222" s="216"/>
      <c r="E222" s="215"/>
      <c r="F222" s="213">
        <v>25</v>
      </c>
      <c r="G222" s="213"/>
      <c r="H222" s="211"/>
      <c r="I222" s="212"/>
      <c r="J222" s="230">
        <v>1</v>
      </c>
      <c r="K222" s="222"/>
      <c r="L222" s="211"/>
      <c r="M222" s="212"/>
      <c r="N222" s="230">
        <v>3</v>
      </c>
      <c r="O222" s="222"/>
      <c r="P222" s="211"/>
      <c r="Q222" s="212"/>
      <c r="R222" s="213"/>
      <c r="S222" s="213"/>
      <c r="T222" s="216"/>
      <c r="U222" s="215"/>
      <c r="V222" s="213"/>
      <c r="W222" s="213"/>
      <c r="X222" s="211"/>
      <c r="Y222" s="212"/>
      <c r="Z222" s="213">
        <v>1</v>
      </c>
      <c r="AA222" s="213"/>
      <c r="AB222" s="211"/>
      <c r="AC222" s="212"/>
      <c r="AD222" s="213"/>
      <c r="AE222" s="213"/>
      <c r="AF222" s="225">
        <v>1</v>
      </c>
      <c r="AG222" s="220"/>
      <c r="AH222" s="211"/>
      <c r="AI222" s="228"/>
      <c r="AJ222" s="196"/>
      <c r="AK222" s="212"/>
      <c r="AL222" s="205"/>
      <c r="AM222" s="205"/>
      <c r="AN222" s="211"/>
      <c r="AO222" s="212"/>
      <c r="AP222" s="205"/>
      <c r="AQ222" s="205"/>
      <c r="AR222" s="211"/>
      <c r="AS222" s="212"/>
      <c r="AT222" s="213"/>
      <c r="AU222" s="213"/>
      <c r="AV222" s="211"/>
      <c r="AW222" s="212"/>
      <c r="AX222" s="205"/>
      <c r="AY222" s="205"/>
      <c r="AZ222" s="216">
        <v>4</v>
      </c>
      <c r="BA222" s="215"/>
      <c r="BB222" s="211"/>
      <c r="BC222" s="212"/>
      <c r="BD222" s="211"/>
      <c r="BE222" s="212"/>
      <c r="BF222" s="211"/>
      <c r="BG222" s="196"/>
      <c r="BH222" s="196"/>
      <c r="BI222" s="196"/>
      <c r="BJ222" s="196"/>
      <c r="BK222" s="196"/>
      <c r="BL222" s="211"/>
      <c r="BM222" s="196"/>
      <c r="BN222" s="196"/>
      <c r="BO222" s="196"/>
      <c r="BP222" s="196"/>
      <c r="BQ222" s="212"/>
      <c r="BR222" s="211"/>
      <c r="BS222" s="196"/>
      <c r="BT222" s="196"/>
      <c r="BU222" s="196"/>
      <c r="BV222" s="196"/>
      <c r="BW222" s="212"/>
      <c r="BX222" s="211"/>
      <c r="BY222" s="196"/>
      <c r="BZ222" s="196"/>
      <c r="CA222" s="196"/>
      <c r="CB222" s="196"/>
      <c r="CC222" s="212"/>
      <c r="CD222" s="211"/>
      <c r="CE222" s="196"/>
      <c r="CF222" s="196"/>
      <c r="CG222" s="196"/>
      <c r="CH222" s="196"/>
      <c r="CI222" s="212"/>
      <c r="CJ222" s="211"/>
      <c r="CK222" s="196"/>
      <c r="CL222" s="196"/>
      <c r="CM222" s="196"/>
      <c r="CN222" s="196"/>
      <c r="CO222" s="212"/>
      <c r="CP222" s="211"/>
      <c r="CQ222" s="196"/>
      <c r="CR222" s="196"/>
      <c r="CS222" s="196"/>
      <c r="CT222" s="196"/>
      <c r="CU222" s="212"/>
      <c r="CV222" s="211"/>
      <c r="CW222" s="196"/>
      <c r="CX222" s="196"/>
      <c r="CY222" s="196"/>
      <c r="CZ222" s="196"/>
      <c r="DA222" s="212"/>
      <c r="DB222" s="211"/>
      <c r="DC222" s="196"/>
      <c r="DD222" s="196"/>
      <c r="DE222" s="196"/>
      <c r="DF222" s="196"/>
      <c r="DG222" s="212"/>
      <c r="DH222" s="211"/>
      <c r="DI222" s="196"/>
      <c r="DJ222" s="196"/>
      <c r="DK222" s="196"/>
      <c r="DL222" s="196"/>
      <c r="DM222" s="212"/>
      <c r="DN222" s="211"/>
      <c r="DO222" s="196"/>
      <c r="DP222" s="196"/>
      <c r="DQ222" s="196"/>
      <c r="DR222" s="196"/>
      <c r="DS222" s="212"/>
      <c r="DT222" s="211"/>
      <c r="DU222" s="196"/>
      <c r="DV222" s="196"/>
      <c r="DW222" s="196"/>
      <c r="DX222" s="196"/>
      <c r="DY222" s="212"/>
      <c r="DZ222" s="211"/>
      <c r="EA222" s="196"/>
      <c r="EB222" s="196"/>
      <c r="EC222" s="196"/>
      <c r="ED222" s="196"/>
      <c r="EE222" s="212"/>
      <c r="EF222" s="675">
        <f t="shared" si="261"/>
        <v>43</v>
      </c>
      <c r="EG222" s="224">
        <f t="shared" si="262"/>
        <v>5.833333333333333</v>
      </c>
      <c r="EH222" s="602">
        <f t="shared" si="265"/>
        <v>4</v>
      </c>
      <c r="EI222" s="602">
        <f t="shared" si="264"/>
        <v>6.2</v>
      </c>
      <c r="EJ222" s="519"/>
      <c r="EK222" s="519"/>
      <c r="EL222" s="519"/>
      <c r="EM222" s="581"/>
      <c r="EN222" s="581"/>
      <c r="EO222" s="581"/>
      <c r="EP222" s="581"/>
      <c r="EQ222" s="581"/>
      <c r="ER222" s="581"/>
      <c r="ES222" s="581"/>
      <c r="ET222" s="581"/>
      <c r="EU222" s="581"/>
      <c r="EV222" s="581"/>
      <c r="EW222" s="581"/>
      <c r="EX222" s="581"/>
      <c r="EY222" s="581"/>
      <c r="EZ222" s="581"/>
      <c r="FA222" s="249"/>
      <c r="FB222" s="581"/>
      <c r="FC222" s="581"/>
      <c r="FD222" s="249"/>
      <c r="FE222" s="581"/>
      <c r="FF222" s="519"/>
      <c r="FG222" s="579"/>
      <c r="FH222" s="519"/>
      <c r="FI222" s="37"/>
    </row>
    <row r="223" spans="1:165" x14ac:dyDescent="0.2">
      <c r="A223" s="169">
        <v>44</v>
      </c>
      <c r="B223" s="235"/>
      <c r="C223" s="236"/>
      <c r="D223" s="242">
        <v>5</v>
      </c>
      <c r="E223" s="243"/>
      <c r="F223" s="244">
        <v>18</v>
      </c>
      <c r="G223" s="244"/>
      <c r="H223" s="235"/>
      <c r="I223" s="236"/>
      <c r="J223" s="237"/>
      <c r="K223" s="237"/>
      <c r="L223" s="235"/>
      <c r="M223" s="236"/>
      <c r="N223" s="241">
        <v>8</v>
      </c>
      <c r="O223" s="241"/>
      <c r="P223" s="239">
        <v>2</v>
      </c>
      <c r="Q223" s="240"/>
      <c r="R223" s="241">
        <v>5</v>
      </c>
      <c r="S223" s="241"/>
      <c r="T223" s="242"/>
      <c r="U223" s="243"/>
      <c r="V223" s="247">
        <v>3</v>
      </c>
      <c r="W223" s="241"/>
      <c r="X223" s="235"/>
      <c r="Y223" s="236"/>
      <c r="Z223" s="237"/>
      <c r="AA223" s="237"/>
      <c r="AB223" s="235"/>
      <c r="AC223" s="236"/>
      <c r="AD223" s="241">
        <v>1</v>
      </c>
      <c r="AE223" s="241"/>
      <c r="AF223" s="235"/>
      <c r="AG223" s="237"/>
      <c r="AH223" s="239">
        <v>1</v>
      </c>
      <c r="AI223" s="248"/>
      <c r="AJ223" s="237"/>
      <c r="AK223" s="236"/>
      <c r="AL223" s="244"/>
      <c r="AM223" s="244"/>
      <c r="AN223" s="235"/>
      <c r="AO223" s="236"/>
      <c r="AP223" s="237"/>
      <c r="AQ223" s="237"/>
      <c r="AR223" s="235"/>
      <c r="AS223" s="236"/>
      <c r="AT223" s="241">
        <v>3</v>
      </c>
      <c r="AU223" s="241"/>
      <c r="AV223" s="235"/>
      <c r="AW223" s="236"/>
      <c r="AX223" s="247">
        <v>3</v>
      </c>
      <c r="AY223" s="241"/>
      <c r="AZ223" s="235"/>
      <c r="BA223" s="236"/>
      <c r="BB223" s="235"/>
      <c r="BC223" s="236"/>
      <c r="BD223" s="235"/>
      <c r="BE223" s="236"/>
      <c r="BF223" s="235"/>
      <c r="BG223" s="237"/>
      <c r="BH223" s="237"/>
      <c r="BI223" s="237"/>
      <c r="BJ223" s="237"/>
      <c r="BK223" s="237"/>
      <c r="BL223" s="235"/>
      <c r="BM223" s="237"/>
      <c r="BN223" s="237"/>
      <c r="BO223" s="237"/>
      <c r="BP223" s="237"/>
      <c r="BQ223" s="236"/>
      <c r="BR223" s="235"/>
      <c r="BS223" s="237"/>
      <c r="BT223" s="237"/>
      <c r="BU223" s="237"/>
      <c r="BV223" s="237"/>
      <c r="BW223" s="236"/>
      <c r="BX223" s="235"/>
      <c r="BY223" s="237"/>
      <c r="BZ223" s="237"/>
      <c r="CA223" s="237"/>
      <c r="CB223" s="237"/>
      <c r="CC223" s="236"/>
      <c r="CD223" s="235"/>
      <c r="CE223" s="237"/>
      <c r="CF223" s="237"/>
      <c r="CG223" s="237"/>
      <c r="CH223" s="237"/>
      <c r="CI223" s="236"/>
      <c r="CJ223" s="235"/>
      <c r="CK223" s="237"/>
      <c r="CL223" s="237"/>
      <c r="CM223" s="237"/>
      <c r="CN223" s="237"/>
      <c r="CO223" s="236"/>
      <c r="CP223" s="235"/>
      <c r="CQ223" s="237"/>
      <c r="CR223" s="237"/>
      <c r="CS223" s="237"/>
      <c r="CT223" s="237"/>
      <c r="CU223" s="236"/>
      <c r="CV223" s="235"/>
      <c r="CW223" s="237"/>
      <c r="CX223" s="237"/>
      <c r="CY223" s="237"/>
      <c r="CZ223" s="237"/>
      <c r="DA223" s="236"/>
      <c r="DB223" s="235"/>
      <c r="DC223" s="237"/>
      <c r="DD223" s="237"/>
      <c r="DE223" s="237"/>
      <c r="DF223" s="237"/>
      <c r="DG223" s="236"/>
      <c r="DH223" s="235"/>
      <c r="DI223" s="237"/>
      <c r="DJ223" s="237"/>
      <c r="DK223" s="237"/>
      <c r="DL223" s="237"/>
      <c r="DM223" s="236"/>
      <c r="DN223" s="235"/>
      <c r="DO223" s="237"/>
      <c r="DP223" s="237"/>
      <c r="DQ223" s="237"/>
      <c r="DR223" s="237"/>
      <c r="DS223" s="236"/>
      <c r="DT223" s="235"/>
      <c r="DU223" s="237"/>
      <c r="DV223" s="237"/>
      <c r="DW223" s="237"/>
      <c r="DX223" s="237"/>
      <c r="DY223" s="236"/>
      <c r="DZ223" s="235"/>
      <c r="EA223" s="237"/>
      <c r="EB223" s="237"/>
      <c r="EC223" s="237"/>
      <c r="ED223" s="237"/>
      <c r="EE223" s="236"/>
      <c r="EF223" s="675">
        <f t="shared" si="261"/>
        <v>44</v>
      </c>
      <c r="EG223" s="224">
        <f t="shared" si="262"/>
        <v>4.9000000000000004</v>
      </c>
      <c r="EH223" s="602">
        <f t="shared" si="265"/>
        <v>3</v>
      </c>
      <c r="EI223" s="602">
        <f t="shared" si="264"/>
        <v>5.375</v>
      </c>
      <c r="EJ223" s="519"/>
      <c r="EK223" s="519"/>
      <c r="EL223" s="519"/>
      <c r="EM223" s="581"/>
      <c r="EN223" s="581"/>
      <c r="EO223" s="581"/>
      <c r="EP223" s="581"/>
      <c r="EQ223" s="581"/>
      <c r="ER223" s="581"/>
      <c r="ES223" s="581"/>
      <c r="ET223" s="581"/>
      <c r="EU223" s="581"/>
      <c r="EV223" s="581"/>
      <c r="EW223" s="581"/>
      <c r="EX223" s="581"/>
      <c r="EY223" s="581"/>
      <c r="EZ223" s="581"/>
      <c r="FA223" s="249"/>
      <c r="FB223" s="581"/>
      <c r="FC223" s="581"/>
      <c r="FD223" s="249"/>
      <c r="FE223" s="581"/>
      <c r="FF223" s="519"/>
      <c r="FG223" s="579"/>
      <c r="FH223" s="519"/>
      <c r="FI223" s="37"/>
    </row>
    <row r="224" spans="1:165" x14ac:dyDescent="0.2">
      <c r="A224" s="173">
        <v>45</v>
      </c>
      <c r="B224" s="211"/>
      <c r="C224" s="212"/>
      <c r="D224" s="216">
        <v>3</v>
      </c>
      <c r="E224" s="215"/>
      <c r="F224" s="222">
        <v>6</v>
      </c>
      <c r="G224" s="222"/>
      <c r="H224" s="211"/>
      <c r="I224" s="212"/>
      <c r="J224" s="222">
        <v>1</v>
      </c>
      <c r="K224" s="222"/>
      <c r="L224" s="211"/>
      <c r="M224" s="212"/>
      <c r="N224" s="205"/>
      <c r="O224" s="205"/>
      <c r="P224" s="211"/>
      <c r="Q224" s="212"/>
      <c r="R224" s="222">
        <v>1</v>
      </c>
      <c r="S224" s="222"/>
      <c r="T224" s="211"/>
      <c r="U224" s="212"/>
      <c r="V224" s="213"/>
      <c r="W224" s="213"/>
      <c r="X224" s="211"/>
      <c r="Y224" s="212"/>
      <c r="Z224" s="213"/>
      <c r="AA224" s="213"/>
      <c r="AB224" s="211"/>
      <c r="AC224" s="212"/>
      <c r="AD224" s="205"/>
      <c r="AE224" s="205"/>
      <c r="AF224" s="211"/>
      <c r="AG224" s="196"/>
      <c r="AH224" s="211"/>
      <c r="AI224" s="228"/>
      <c r="AJ224" s="227">
        <v>1</v>
      </c>
      <c r="AK224" s="215"/>
      <c r="AL224" s="205"/>
      <c r="AM224" s="205"/>
      <c r="AN224" s="211"/>
      <c r="AO224" s="212"/>
      <c r="AP224" s="205"/>
      <c r="AQ224" s="205"/>
      <c r="AR224" s="211"/>
      <c r="AS224" s="212"/>
      <c r="AT224" s="213">
        <v>2</v>
      </c>
      <c r="AU224" s="213"/>
      <c r="AV224" s="225">
        <v>3</v>
      </c>
      <c r="AW224" s="221"/>
      <c r="AX224" s="205"/>
      <c r="AY224" s="205"/>
      <c r="AZ224" s="211"/>
      <c r="BA224" s="212"/>
      <c r="BB224" s="211"/>
      <c r="BC224" s="212"/>
      <c r="BD224" s="217"/>
      <c r="BE224" s="223"/>
      <c r="BF224" s="217"/>
      <c r="BG224" s="218"/>
      <c r="BH224" s="218"/>
      <c r="BI224" s="218"/>
      <c r="BJ224" s="218"/>
      <c r="BK224" s="218"/>
      <c r="BL224" s="217"/>
      <c r="BM224" s="218"/>
      <c r="BN224" s="218"/>
      <c r="BO224" s="218"/>
      <c r="BP224" s="218"/>
      <c r="BQ224" s="223"/>
      <c r="BR224" s="217"/>
      <c r="BS224" s="218"/>
      <c r="BT224" s="218"/>
      <c r="BU224" s="218"/>
      <c r="BV224" s="218"/>
      <c r="BW224" s="223"/>
      <c r="BX224" s="217"/>
      <c r="BY224" s="218"/>
      <c r="BZ224" s="218"/>
      <c r="CA224" s="218"/>
      <c r="CB224" s="218"/>
      <c r="CC224" s="223"/>
      <c r="CD224" s="217"/>
      <c r="CE224" s="218"/>
      <c r="CF224" s="218"/>
      <c r="CG224" s="218"/>
      <c r="CH224" s="218"/>
      <c r="CI224" s="223"/>
      <c r="CJ224" s="217"/>
      <c r="CK224" s="218"/>
      <c r="CL224" s="218"/>
      <c r="CM224" s="218"/>
      <c r="CN224" s="218"/>
      <c r="CO224" s="223"/>
      <c r="CP224" s="217"/>
      <c r="CQ224" s="218"/>
      <c r="CR224" s="218"/>
      <c r="CS224" s="218"/>
      <c r="CT224" s="218"/>
      <c r="CU224" s="223"/>
      <c r="CV224" s="217"/>
      <c r="CW224" s="218"/>
      <c r="CX224" s="218"/>
      <c r="CY224" s="218"/>
      <c r="CZ224" s="218"/>
      <c r="DA224" s="223"/>
      <c r="DB224" s="217"/>
      <c r="DC224" s="218"/>
      <c r="DD224" s="218"/>
      <c r="DE224" s="218"/>
      <c r="DF224" s="218"/>
      <c r="DG224" s="223"/>
      <c r="DH224" s="217"/>
      <c r="DI224" s="218"/>
      <c r="DJ224" s="218"/>
      <c r="DK224" s="218"/>
      <c r="DL224" s="218"/>
      <c r="DM224" s="223"/>
      <c r="DN224" s="217"/>
      <c r="DO224" s="218"/>
      <c r="DP224" s="218"/>
      <c r="DQ224" s="218"/>
      <c r="DR224" s="218"/>
      <c r="DS224" s="223"/>
      <c r="DT224" s="217"/>
      <c r="DU224" s="218"/>
      <c r="DV224" s="218"/>
      <c r="DW224" s="218"/>
      <c r="DX224" s="218"/>
      <c r="DY224" s="223"/>
      <c r="DZ224" s="217"/>
      <c r="EA224" s="218"/>
      <c r="EB224" s="218"/>
      <c r="EC224" s="218"/>
      <c r="ED224" s="218"/>
      <c r="EE224" s="223"/>
      <c r="EF224" s="675">
        <f t="shared" si="261"/>
        <v>45</v>
      </c>
      <c r="EG224" s="224">
        <f t="shared" si="262"/>
        <v>2.4285714285714284</v>
      </c>
      <c r="EH224" s="602">
        <f t="shared" si="265"/>
        <v>2</v>
      </c>
      <c r="EI224" s="602">
        <f t="shared" si="264"/>
        <v>2.75</v>
      </c>
      <c r="EJ224" s="519"/>
      <c r="EK224" s="519"/>
      <c r="EL224" s="519"/>
      <c r="EM224" s="581"/>
      <c r="EN224" s="581"/>
      <c r="EO224" s="581"/>
      <c r="EP224" s="581"/>
      <c r="EQ224" s="581"/>
      <c r="ER224" s="581"/>
      <c r="ES224" s="581"/>
      <c r="ET224" s="581"/>
      <c r="EU224" s="581"/>
      <c r="EV224" s="581"/>
      <c r="EW224" s="581"/>
      <c r="EX224" s="581"/>
      <c r="EY224" s="581"/>
      <c r="EZ224" s="581"/>
      <c r="FA224" s="249"/>
      <c r="FB224" s="581"/>
      <c r="FC224" s="581"/>
      <c r="FD224" s="249"/>
      <c r="FE224" s="581"/>
      <c r="FF224" s="519"/>
      <c r="FG224" s="579"/>
      <c r="FH224" s="519"/>
      <c r="FI224" s="37"/>
    </row>
    <row r="225" spans="1:165" x14ac:dyDescent="0.2">
      <c r="A225" s="173">
        <v>46</v>
      </c>
      <c r="B225" s="211"/>
      <c r="C225" s="212"/>
      <c r="D225" s="225">
        <v>32</v>
      </c>
      <c r="E225" s="221"/>
      <c r="F225" s="213">
        <v>11</v>
      </c>
      <c r="G225" s="213"/>
      <c r="H225" s="211"/>
      <c r="I225" s="212"/>
      <c r="J225" s="205"/>
      <c r="K225" s="205"/>
      <c r="L225" s="225">
        <v>4</v>
      </c>
      <c r="M225" s="221"/>
      <c r="N225" s="222">
        <v>1</v>
      </c>
      <c r="O225" s="222"/>
      <c r="P225" s="225">
        <v>4</v>
      </c>
      <c r="Q225" s="221"/>
      <c r="R225" s="222">
        <v>1</v>
      </c>
      <c r="S225" s="222"/>
      <c r="T225" s="211"/>
      <c r="U225" s="212"/>
      <c r="V225" s="222">
        <v>3</v>
      </c>
      <c r="W225" s="222"/>
      <c r="X225" s="225">
        <v>3</v>
      </c>
      <c r="Y225" s="221"/>
      <c r="Z225" s="205"/>
      <c r="AA225" s="205"/>
      <c r="AB225" s="211"/>
      <c r="AC225" s="212"/>
      <c r="AD225" s="205"/>
      <c r="AE225" s="205"/>
      <c r="AF225" s="211"/>
      <c r="AG225" s="196"/>
      <c r="AH225" s="211"/>
      <c r="AI225" s="228"/>
      <c r="AJ225" s="196"/>
      <c r="AK225" s="212"/>
      <c r="AL225" s="205"/>
      <c r="AM225" s="205"/>
      <c r="AN225" s="211"/>
      <c r="AO225" s="212"/>
      <c r="AP225" s="205"/>
      <c r="AQ225" s="205"/>
      <c r="AR225" s="211"/>
      <c r="AS225" s="212"/>
      <c r="AT225" s="205"/>
      <c r="AU225" s="205"/>
      <c r="AV225" s="233">
        <v>1</v>
      </c>
      <c r="AW225" s="215"/>
      <c r="AX225" s="205"/>
      <c r="AY225" s="205"/>
      <c r="AZ225" s="211"/>
      <c r="BA225" s="212"/>
      <c r="BB225" s="211"/>
      <c r="BC225" s="212"/>
      <c r="BD225" s="211"/>
      <c r="BE225" s="212"/>
      <c r="BF225" s="211"/>
      <c r="BG225" s="196"/>
      <c r="BH225" s="196"/>
      <c r="BI225" s="196"/>
      <c r="BJ225" s="196"/>
      <c r="BK225" s="196"/>
      <c r="BL225" s="211"/>
      <c r="BM225" s="196"/>
      <c r="BN225" s="196"/>
      <c r="BO225" s="196"/>
      <c r="BP225" s="196"/>
      <c r="BQ225" s="212"/>
      <c r="BR225" s="211"/>
      <c r="BS225" s="196"/>
      <c r="BT225" s="196"/>
      <c r="BU225" s="196"/>
      <c r="BV225" s="196"/>
      <c r="BW225" s="212"/>
      <c r="BX225" s="211"/>
      <c r="BY225" s="196"/>
      <c r="BZ225" s="196"/>
      <c r="CA225" s="196"/>
      <c r="CB225" s="196"/>
      <c r="CC225" s="212"/>
      <c r="CD225" s="211"/>
      <c r="CE225" s="196"/>
      <c r="CF225" s="196"/>
      <c r="CG225" s="196"/>
      <c r="CH225" s="196"/>
      <c r="CI225" s="212"/>
      <c r="CJ225" s="211"/>
      <c r="CK225" s="196"/>
      <c r="CL225" s="196"/>
      <c r="CM225" s="196"/>
      <c r="CN225" s="196"/>
      <c r="CO225" s="212"/>
      <c r="CP225" s="211"/>
      <c r="CQ225" s="196"/>
      <c r="CR225" s="196"/>
      <c r="CS225" s="196"/>
      <c r="CT225" s="196"/>
      <c r="CU225" s="212"/>
      <c r="CV225" s="211"/>
      <c r="CW225" s="196"/>
      <c r="CX225" s="196"/>
      <c r="CY225" s="196"/>
      <c r="CZ225" s="196"/>
      <c r="DA225" s="212"/>
      <c r="DB225" s="211"/>
      <c r="DC225" s="196"/>
      <c r="DD225" s="196"/>
      <c r="DE225" s="196"/>
      <c r="DF225" s="196"/>
      <c r="DG225" s="212"/>
      <c r="DH225" s="211"/>
      <c r="DI225" s="196"/>
      <c r="DJ225" s="196"/>
      <c r="DK225" s="196"/>
      <c r="DL225" s="196"/>
      <c r="DM225" s="212"/>
      <c r="DN225" s="211"/>
      <c r="DO225" s="196"/>
      <c r="DP225" s="196"/>
      <c r="DQ225" s="196"/>
      <c r="DR225" s="196"/>
      <c r="DS225" s="212"/>
      <c r="DT225" s="211"/>
      <c r="DU225" s="196"/>
      <c r="DV225" s="196"/>
      <c r="DW225" s="196"/>
      <c r="DX225" s="196"/>
      <c r="DY225" s="212"/>
      <c r="DZ225" s="211"/>
      <c r="EA225" s="196"/>
      <c r="EB225" s="196"/>
      <c r="EC225" s="196"/>
      <c r="ED225" s="196"/>
      <c r="EE225" s="212"/>
      <c r="EF225" s="675">
        <f t="shared" si="261"/>
        <v>46</v>
      </c>
      <c r="EG225" s="224">
        <f t="shared" si="262"/>
        <v>6.666666666666667</v>
      </c>
      <c r="EH225" s="602">
        <f t="shared" si="265"/>
        <v>1</v>
      </c>
      <c r="EI225" s="602">
        <f t="shared" si="264"/>
        <v>7.375</v>
      </c>
      <c r="EJ225" s="519"/>
      <c r="EK225" s="519"/>
      <c r="EL225" s="519"/>
      <c r="EM225" s="581"/>
      <c r="EN225" s="581"/>
      <c r="EO225" s="581"/>
      <c r="EP225" s="581"/>
      <c r="EQ225" s="581"/>
      <c r="ER225" s="581"/>
      <c r="ES225" s="581"/>
      <c r="ET225" s="581"/>
      <c r="EU225" s="581"/>
      <c r="EV225" s="581"/>
      <c r="EW225" s="581"/>
      <c r="EX225" s="581"/>
      <c r="EY225" s="581"/>
      <c r="EZ225" s="581"/>
      <c r="FA225" s="249"/>
      <c r="FB225" s="581"/>
      <c r="FC225" s="581"/>
      <c r="FD225" s="249"/>
      <c r="FE225" s="581"/>
      <c r="FF225" s="519"/>
      <c r="FG225" s="579"/>
      <c r="FH225" s="519"/>
      <c r="FI225" s="37"/>
    </row>
    <row r="226" spans="1:165" x14ac:dyDescent="0.2">
      <c r="A226" s="180">
        <v>47</v>
      </c>
      <c r="B226" s="211"/>
      <c r="C226" s="212"/>
      <c r="D226" s="225">
        <v>65</v>
      </c>
      <c r="E226" s="221"/>
      <c r="F226" s="222">
        <v>36</v>
      </c>
      <c r="G226" s="222"/>
      <c r="H226" s="246">
        <v>13</v>
      </c>
      <c r="I226" s="221"/>
      <c r="J226" s="205"/>
      <c r="K226" s="205"/>
      <c r="L226" s="211"/>
      <c r="M226" s="212"/>
      <c r="N226" s="222">
        <v>12</v>
      </c>
      <c r="O226" s="222"/>
      <c r="P226" s="225">
        <v>3</v>
      </c>
      <c r="Q226" s="221"/>
      <c r="R226" s="205"/>
      <c r="S226" s="205"/>
      <c r="T226" s="225">
        <v>3</v>
      </c>
      <c r="U226" s="221"/>
      <c r="V226" s="213">
        <v>7</v>
      </c>
      <c r="W226" s="213"/>
      <c r="X226" s="225">
        <v>1</v>
      </c>
      <c r="Y226" s="221"/>
      <c r="Z226" s="222">
        <v>2</v>
      </c>
      <c r="AA226" s="222"/>
      <c r="AB226" s="211"/>
      <c r="AC226" s="212"/>
      <c r="AD226" s="205"/>
      <c r="AE226" s="205"/>
      <c r="AF226" s="211"/>
      <c r="AG226" s="196"/>
      <c r="AH226" s="211"/>
      <c r="AI226" s="228"/>
      <c r="AJ226" s="196"/>
      <c r="AK226" s="212"/>
      <c r="AL226" s="229">
        <v>1</v>
      </c>
      <c r="AM226" s="213"/>
      <c r="AN226" s="211"/>
      <c r="AO226" s="212"/>
      <c r="AP226" s="205"/>
      <c r="AQ226" s="205"/>
      <c r="AR226" s="225">
        <v>1</v>
      </c>
      <c r="AS226" s="221"/>
      <c r="AT226" s="205"/>
      <c r="AU226" s="205"/>
      <c r="AV226" s="211"/>
      <c r="AW226" s="212"/>
      <c r="AX226" s="205"/>
      <c r="AY226" s="205"/>
      <c r="AZ226" s="211"/>
      <c r="BA226" s="212"/>
      <c r="BB226" s="211"/>
      <c r="BC226" s="212"/>
      <c r="BD226" s="211"/>
      <c r="BE226" s="212"/>
      <c r="BF226" s="211"/>
      <c r="BG226" s="196"/>
      <c r="BH226" s="196"/>
      <c r="BI226" s="196"/>
      <c r="BJ226" s="196"/>
      <c r="BK226" s="196"/>
      <c r="BL226" s="211"/>
      <c r="BM226" s="196"/>
      <c r="BN226" s="196"/>
      <c r="BO226" s="196"/>
      <c r="BP226" s="196"/>
      <c r="BQ226" s="212"/>
      <c r="BR226" s="211"/>
      <c r="BS226" s="196"/>
      <c r="BT226" s="196"/>
      <c r="BU226" s="196"/>
      <c r="BV226" s="196"/>
      <c r="BW226" s="212"/>
      <c r="BX226" s="211"/>
      <c r="BY226" s="196"/>
      <c r="BZ226" s="196"/>
      <c r="CA226" s="196"/>
      <c r="CB226" s="196"/>
      <c r="CC226" s="212"/>
      <c r="CD226" s="211"/>
      <c r="CE226" s="196"/>
      <c r="CF226" s="196"/>
      <c r="CG226" s="196"/>
      <c r="CH226" s="196"/>
      <c r="CI226" s="212"/>
      <c r="CJ226" s="211"/>
      <c r="CK226" s="196"/>
      <c r="CL226" s="196"/>
      <c r="CM226" s="196"/>
      <c r="CN226" s="196"/>
      <c r="CO226" s="212"/>
      <c r="CP226" s="211"/>
      <c r="CQ226" s="196"/>
      <c r="CR226" s="196"/>
      <c r="CS226" s="196"/>
      <c r="CT226" s="196"/>
      <c r="CU226" s="212"/>
      <c r="CV226" s="211"/>
      <c r="CW226" s="196"/>
      <c r="CX226" s="196"/>
      <c r="CY226" s="196"/>
      <c r="CZ226" s="196"/>
      <c r="DA226" s="212"/>
      <c r="DB226" s="211"/>
      <c r="DC226" s="196"/>
      <c r="DD226" s="196"/>
      <c r="DE226" s="196"/>
      <c r="DF226" s="196"/>
      <c r="DG226" s="212"/>
      <c r="DH226" s="211"/>
      <c r="DI226" s="196"/>
      <c r="DJ226" s="196"/>
      <c r="DK226" s="196"/>
      <c r="DL226" s="196"/>
      <c r="DM226" s="212"/>
      <c r="DN226" s="211"/>
      <c r="DO226" s="196"/>
      <c r="DP226" s="196"/>
      <c r="DQ226" s="196"/>
      <c r="DR226" s="196"/>
      <c r="DS226" s="212"/>
      <c r="DT226" s="211"/>
      <c r="DU226" s="196"/>
      <c r="DV226" s="196"/>
      <c r="DW226" s="196"/>
      <c r="DX226" s="196"/>
      <c r="DY226" s="212"/>
      <c r="DZ226" s="211"/>
      <c r="EA226" s="196"/>
      <c r="EB226" s="196"/>
      <c r="EC226" s="196"/>
      <c r="ED226" s="196"/>
      <c r="EE226" s="212"/>
      <c r="EF226" s="675">
        <f t="shared" si="261"/>
        <v>47</v>
      </c>
      <c r="EG226" s="224">
        <f t="shared" si="262"/>
        <v>13.090909090909092</v>
      </c>
      <c r="EH226" s="602">
        <f t="shared" si="265"/>
        <v>1</v>
      </c>
      <c r="EI226" s="602">
        <f t="shared" si="264"/>
        <v>15.777777777777779</v>
      </c>
      <c r="EJ226" s="519"/>
      <c r="EK226" s="519"/>
      <c r="EL226" s="519"/>
      <c r="EM226" s="581"/>
      <c r="EN226" s="581"/>
      <c r="EO226" s="581"/>
      <c r="EP226" s="581"/>
      <c r="EQ226" s="581"/>
      <c r="ER226" s="581"/>
      <c r="ES226" s="581"/>
      <c r="ET226" s="581"/>
      <c r="EU226" s="581"/>
      <c r="EV226" s="581"/>
      <c r="EW226" s="581"/>
      <c r="EX226" s="581"/>
      <c r="EY226" s="581"/>
      <c r="EZ226" s="581"/>
      <c r="FA226" s="249"/>
      <c r="FB226" s="581"/>
      <c r="FC226" s="581"/>
      <c r="FD226" s="249"/>
      <c r="FE226" s="581"/>
      <c r="FF226" s="519"/>
      <c r="FG226" s="579"/>
      <c r="FH226" s="519"/>
      <c r="FI226" s="37"/>
    </row>
    <row r="227" spans="1:165" x14ac:dyDescent="0.2">
      <c r="A227" s="180">
        <v>48</v>
      </c>
      <c r="B227" s="211"/>
      <c r="C227" s="212"/>
      <c r="D227" s="225">
        <v>124</v>
      </c>
      <c r="E227" s="221"/>
      <c r="F227" s="222">
        <v>137</v>
      </c>
      <c r="G227" s="222"/>
      <c r="H227" s="211"/>
      <c r="I227" s="212"/>
      <c r="J227" s="205"/>
      <c r="K227" s="205"/>
      <c r="L227" s="211"/>
      <c r="M227" s="212"/>
      <c r="N227" s="205"/>
      <c r="O227" s="205"/>
      <c r="P227" s="225">
        <v>1</v>
      </c>
      <c r="Q227" s="221"/>
      <c r="R227" s="205"/>
      <c r="S227" s="205"/>
      <c r="T227" s="225">
        <v>3</v>
      </c>
      <c r="U227" s="221"/>
      <c r="V227" s="222">
        <v>3</v>
      </c>
      <c r="W227" s="222"/>
      <c r="X227" s="211"/>
      <c r="Y227" s="212"/>
      <c r="Z227" s="205"/>
      <c r="AA227" s="205"/>
      <c r="AB227" s="211"/>
      <c r="AC227" s="212"/>
      <c r="AD227" s="205"/>
      <c r="AE227" s="205"/>
      <c r="AF227" s="211"/>
      <c r="AG227" s="196"/>
      <c r="AH227" s="211"/>
      <c r="AI227" s="228"/>
      <c r="AJ227" s="196"/>
      <c r="AK227" s="212"/>
      <c r="AL227" s="249"/>
      <c r="AM227" s="205"/>
      <c r="AN227" s="225">
        <v>5</v>
      </c>
      <c r="AO227" s="221"/>
      <c r="AP227" s="205"/>
      <c r="AQ227" s="205"/>
      <c r="AR227" s="225">
        <v>3</v>
      </c>
      <c r="AS227" s="221"/>
      <c r="AT227" s="222">
        <v>36</v>
      </c>
      <c r="AU227" s="222"/>
      <c r="AV227" s="211"/>
      <c r="AW227" s="212"/>
      <c r="AX227" s="229">
        <v>2</v>
      </c>
      <c r="AY227" s="213"/>
      <c r="AZ227" s="211"/>
      <c r="BA227" s="212"/>
      <c r="BB227" s="211"/>
      <c r="BC227" s="212"/>
      <c r="BD227" s="211"/>
      <c r="BE227" s="212"/>
      <c r="BF227" s="211"/>
      <c r="BG227" s="196"/>
      <c r="BH227" s="196"/>
      <c r="BI227" s="196"/>
      <c r="BJ227" s="196"/>
      <c r="BK227" s="196"/>
      <c r="BL227" s="211"/>
      <c r="BM227" s="196"/>
      <c r="BN227" s="196"/>
      <c r="BO227" s="196"/>
      <c r="BP227" s="196"/>
      <c r="BQ227" s="212"/>
      <c r="BR227" s="211"/>
      <c r="BS227" s="196"/>
      <c r="BT227" s="196"/>
      <c r="BU227" s="196"/>
      <c r="BV227" s="196"/>
      <c r="BW227" s="212"/>
      <c r="BX227" s="211"/>
      <c r="BY227" s="196"/>
      <c r="BZ227" s="196"/>
      <c r="CA227" s="196"/>
      <c r="CB227" s="196"/>
      <c r="CC227" s="212"/>
      <c r="CD227" s="211"/>
      <c r="CE227" s="196"/>
      <c r="CF227" s="196"/>
      <c r="CG227" s="196"/>
      <c r="CH227" s="196"/>
      <c r="CI227" s="212"/>
      <c r="CJ227" s="211"/>
      <c r="CK227" s="196"/>
      <c r="CL227" s="196"/>
      <c r="CM227" s="196"/>
      <c r="CN227" s="196"/>
      <c r="CO227" s="212"/>
      <c r="CP227" s="211"/>
      <c r="CQ227" s="196"/>
      <c r="CR227" s="196"/>
      <c r="CS227" s="196"/>
      <c r="CT227" s="196"/>
      <c r="CU227" s="212"/>
      <c r="CV227" s="211"/>
      <c r="CW227" s="196"/>
      <c r="CX227" s="196"/>
      <c r="CY227" s="196"/>
      <c r="CZ227" s="196"/>
      <c r="DA227" s="212"/>
      <c r="DB227" s="211"/>
      <c r="DC227" s="196"/>
      <c r="DD227" s="196"/>
      <c r="DE227" s="196"/>
      <c r="DF227" s="196"/>
      <c r="DG227" s="212"/>
      <c r="DH227" s="211"/>
      <c r="DI227" s="196"/>
      <c r="DJ227" s="196"/>
      <c r="DK227" s="196"/>
      <c r="DL227" s="196"/>
      <c r="DM227" s="212"/>
      <c r="DN227" s="211"/>
      <c r="DO227" s="196"/>
      <c r="DP227" s="196"/>
      <c r="DQ227" s="196"/>
      <c r="DR227" s="196"/>
      <c r="DS227" s="212"/>
      <c r="DT227" s="211"/>
      <c r="DU227" s="196"/>
      <c r="DV227" s="196"/>
      <c r="DW227" s="196"/>
      <c r="DX227" s="196"/>
      <c r="DY227" s="212"/>
      <c r="DZ227" s="211"/>
      <c r="EA227" s="196"/>
      <c r="EB227" s="196"/>
      <c r="EC227" s="196"/>
      <c r="ED227" s="196"/>
      <c r="EE227" s="212"/>
      <c r="EF227" s="675">
        <f t="shared" si="261"/>
        <v>48</v>
      </c>
      <c r="EG227" s="224">
        <f t="shared" si="262"/>
        <v>34.888888888888886</v>
      </c>
      <c r="EH227" s="602">
        <f t="shared" si="265"/>
        <v>11.5</v>
      </c>
      <c r="EI227" s="602">
        <f t="shared" si="264"/>
        <v>53.6</v>
      </c>
      <c r="EJ227" s="519"/>
      <c r="EK227" s="519"/>
      <c r="EL227" s="519"/>
      <c r="EM227" s="581"/>
      <c r="EN227" s="581"/>
      <c r="EO227" s="581"/>
      <c r="EP227" s="581"/>
      <c r="EQ227" s="581"/>
      <c r="ER227" s="581"/>
      <c r="ES227" s="581"/>
      <c r="ET227" s="581"/>
      <c r="EU227" s="581"/>
      <c r="EV227" s="581"/>
      <c r="EW227" s="581"/>
      <c r="EX227" s="581"/>
      <c r="EY227" s="581"/>
      <c r="EZ227" s="581"/>
      <c r="FA227" s="249"/>
      <c r="FB227" s="581"/>
      <c r="FC227" s="581"/>
      <c r="FD227" s="249"/>
      <c r="FE227" s="581"/>
      <c r="FF227" s="519"/>
      <c r="FG227" s="579"/>
      <c r="FH227" s="519"/>
      <c r="FI227" s="37"/>
    </row>
    <row r="228" spans="1:165" x14ac:dyDescent="0.2">
      <c r="A228" s="180">
        <v>49</v>
      </c>
      <c r="B228" s="216"/>
      <c r="C228" s="215"/>
      <c r="D228" s="225">
        <v>78</v>
      </c>
      <c r="E228" s="221"/>
      <c r="F228" s="222">
        <v>14</v>
      </c>
      <c r="G228" s="222"/>
      <c r="H228" s="211"/>
      <c r="I228" s="212"/>
      <c r="J228" s="205"/>
      <c r="K228" s="205"/>
      <c r="L228" s="216">
        <v>30</v>
      </c>
      <c r="M228" s="215"/>
      <c r="N228" s="213">
        <v>75</v>
      </c>
      <c r="O228" s="213"/>
      <c r="P228" s="225">
        <v>11</v>
      </c>
      <c r="Q228" s="221"/>
      <c r="R228" s="205"/>
      <c r="S228" s="205"/>
      <c r="T228" s="225">
        <v>7</v>
      </c>
      <c r="U228" s="221"/>
      <c r="V228" s="205"/>
      <c r="W228" s="205"/>
      <c r="X228" s="211"/>
      <c r="Y228" s="212"/>
      <c r="Z228" s="205"/>
      <c r="AA228" s="205"/>
      <c r="AB228" s="211"/>
      <c r="AC228" s="212"/>
      <c r="AD228" s="205"/>
      <c r="AE228" s="205"/>
      <c r="AF228" s="211"/>
      <c r="AG228" s="196"/>
      <c r="AH228" s="211"/>
      <c r="AI228" s="228"/>
      <c r="AJ228" s="227">
        <v>40</v>
      </c>
      <c r="AK228" s="215"/>
      <c r="AL228" s="222">
        <v>9</v>
      </c>
      <c r="AM228" s="222"/>
      <c r="AN228" s="225">
        <v>32</v>
      </c>
      <c r="AO228" s="221"/>
      <c r="AP228" s="205"/>
      <c r="AQ228" s="205"/>
      <c r="AR228" s="216">
        <v>12</v>
      </c>
      <c r="AS228" s="215"/>
      <c r="AT228" s="213">
        <v>4</v>
      </c>
      <c r="AU228" s="213"/>
      <c r="AV228" s="211"/>
      <c r="AW228" s="212"/>
      <c r="AX228" s="213">
        <v>1</v>
      </c>
      <c r="AY228" s="213"/>
      <c r="AZ228" s="211"/>
      <c r="BA228" s="212"/>
      <c r="BB228" s="211"/>
      <c r="BC228" s="212"/>
      <c r="BD228" s="211"/>
      <c r="BE228" s="212"/>
      <c r="BF228" s="211"/>
      <c r="BG228" s="196"/>
      <c r="BH228" s="196"/>
      <c r="BI228" s="196"/>
      <c r="BJ228" s="196"/>
      <c r="BK228" s="196"/>
      <c r="BL228" s="211"/>
      <c r="BM228" s="196"/>
      <c r="BN228" s="196"/>
      <c r="BO228" s="196"/>
      <c r="BP228" s="196"/>
      <c r="BQ228" s="212"/>
      <c r="BR228" s="211"/>
      <c r="BS228" s="196"/>
      <c r="BT228" s="196"/>
      <c r="BU228" s="196"/>
      <c r="BV228" s="196"/>
      <c r="BW228" s="212"/>
      <c r="BX228" s="216">
        <v>1</v>
      </c>
      <c r="BY228" s="227"/>
      <c r="BZ228" s="227"/>
      <c r="CA228" s="227"/>
      <c r="CB228" s="227"/>
      <c r="CC228" s="215"/>
      <c r="CD228" s="211"/>
      <c r="CE228" s="196"/>
      <c r="CF228" s="196"/>
      <c r="CG228" s="196"/>
      <c r="CH228" s="196"/>
      <c r="CI228" s="212"/>
      <c r="CJ228" s="211"/>
      <c r="CK228" s="196"/>
      <c r="CL228" s="196"/>
      <c r="CM228" s="196"/>
      <c r="CN228" s="196"/>
      <c r="CO228" s="212"/>
      <c r="CP228" s="211"/>
      <c r="CQ228" s="196"/>
      <c r="CR228" s="196"/>
      <c r="CS228" s="196"/>
      <c r="CT228" s="196"/>
      <c r="CU228" s="212"/>
      <c r="CV228" s="211"/>
      <c r="CW228" s="196"/>
      <c r="CX228" s="196"/>
      <c r="CY228" s="196"/>
      <c r="CZ228" s="196"/>
      <c r="DA228" s="212"/>
      <c r="DB228" s="211"/>
      <c r="DC228" s="196"/>
      <c r="DD228" s="196"/>
      <c r="DE228" s="196"/>
      <c r="DF228" s="196"/>
      <c r="DG228" s="212"/>
      <c r="DH228" s="211"/>
      <c r="DI228" s="196"/>
      <c r="DJ228" s="196"/>
      <c r="DK228" s="196"/>
      <c r="DL228" s="196"/>
      <c r="DM228" s="212"/>
      <c r="DN228" s="211"/>
      <c r="DO228" s="196"/>
      <c r="DP228" s="196"/>
      <c r="DQ228" s="196"/>
      <c r="DR228" s="196"/>
      <c r="DS228" s="212"/>
      <c r="DT228" s="211"/>
      <c r="DU228" s="196"/>
      <c r="DV228" s="196"/>
      <c r="DW228" s="196"/>
      <c r="DX228" s="196"/>
      <c r="DY228" s="212"/>
      <c r="DZ228" s="211"/>
      <c r="EA228" s="196"/>
      <c r="EB228" s="196"/>
      <c r="EC228" s="196"/>
      <c r="ED228" s="196"/>
      <c r="EE228" s="212"/>
      <c r="EF228" s="675">
        <f t="shared" si="261"/>
        <v>49</v>
      </c>
      <c r="EG228" s="224">
        <f t="shared" si="262"/>
        <v>26.083333333333332</v>
      </c>
      <c r="EH228" s="602">
        <f t="shared" si="265"/>
        <v>16.333333333333332</v>
      </c>
      <c r="EI228" s="602">
        <f t="shared" si="264"/>
        <v>35.833333333333336</v>
      </c>
      <c r="EJ228" s="519"/>
      <c r="EK228" s="519"/>
      <c r="EL228" s="519"/>
      <c r="EM228" s="581"/>
      <c r="EN228" s="581"/>
      <c r="EO228" s="581"/>
      <c r="EP228" s="581"/>
      <c r="EQ228" s="581"/>
      <c r="ER228" s="581"/>
      <c r="ES228" s="581"/>
      <c r="ET228" s="581"/>
      <c r="EU228" s="581"/>
      <c r="EV228" s="581"/>
      <c r="EW228" s="581"/>
      <c r="EX228" s="581"/>
      <c r="EY228" s="581"/>
      <c r="EZ228" s="581"/>
      <c r="FA228" s="249"/>
      <c r="FB228" s="581"/>
      <c r="FC228" s="581"/>
      <c r="FD228" s="249"/>
      <c r="FE228" s="581"/>
      <c r="FF228" s="519"/>
      <c r="FG228" s="579"/>
      <c r="FH228" s="519"/>
      <c r="FI228" s="37"/>
    </row>
    <row r="229" spans="1:165" x14ac:dyDescent="0.2">
      <c r="A229" s="180">
        <v>50</v>
      </c>
      <c r="B229" s="211"/>
      <c r="C229" s="212"/>
      <c r="D229" s="211"/>
      <c r="E229" s="212"/>
      <c r="F229" s="229">
        <v>202</v>
      </c>
      <c r="G229" s="213"/>
      <c r="H229" s="246">
        <v>244</v>
      </c>
      <c r="I229" s="221"/>
      <c r="J229" s="213">
        <v>257</v>
      </c>
      <c r="K229" s="213"/>
      <c r="L229" s="216">
        <v>224</v>
      </c>
      <c r="M229" s="215"/>
      <c r="N229" s="213">
        <v>282</v>
      </c>
      <c r="O229" s="213"/>
      <c r="P229" s="225">
        <v>96</v>
      </c>
      <c r="Q229" s="221"/>
      <c r="R229" s="213">
        <v>18</v>
      </c>
      <c r="S229" s="213"/>
      <c r="T229" s="216">
        <v>35</v>
      </c>
      <c r="U229" s="215"/>
      <c r="V229" s="205"/>
      <c r="W229" s="205"/>
      <c r="X229" s="216">
        <v>37</v>
      </c>
      <c r="Y229" s="215"/>
      <c r="Z229" s="229">
        <v>10</v>
      </c>
      <c r="AA229" s="213"/>
      <c r="AB229" s="211"/>
      <c r="AC229" s="212"/>
      <c r="AD229" s="222">
        <v>7</v>
      </c>
      <c r="AE229" s="222"/>
      <c r="AF229" s="211"/>
      <c r="AG229" s="196"/>
      <c r="AH229" s="225">
        <v>35</v>
      </c>
      <c r="AI229" s="226"/>
      <c r="AJ229" s="227">
        <v>75</v>
      </c>
      <c r="AK229" s="215"/>
      <c r="AL229" s="222">
        <v>16</v>
      </c>
      <c r="AM229" s="222"/>
      <c r="AN229" s="216">
        <v>71</v>
      </c>
      <c r="AO229" s="215"/>
      <c r="AP229" s="213">
        <v>24</v>
      </c>
      <c r="AQ229" s="213"/>
      <c r="AR229" s="216">
        <v>6</v>
      </c>
      <c r="AS229" s="215"/>
      <c r="AT229" s="213">
        <v>45</v>
      </c>
      <c r="AU229" s="213"/>
      <c r="AV229" s="216">
        <v>54</v>
      </c>
      <c r="AW229" s="215"/>
      <c r="AX229" s="205">
        <v>15</v>
      </c>
      <c r="AY229" s="205"/>
      <c r="AZ229" s="216">
        <v>17</v>
      </c>
      <c r="BA229" s="215"/>
      <c r="BB229" s="216">
        <v>86</v>
      </c>
      <c r="BC229" s="215"/>
      <c r="BD229" s="225">
        <v>26</v>
      </c>
      <c r="BE229" s="221"/>
      <c r="BF229" s="216">
        <v>31</v>
      </c>
      <c r="BG229" s="227"/>
      <c r="BH229" s="227"/>
      <c r="BI229" s="227"/>
      <c r="BJ229" s="227"/>
      <c r="BK229" s="227"/>
      <c r="BL229" s="225">
        <v>8</v>
      </c>
      <c r="BM229" s="220"/>
      <c r="BN229" s="220"/>
      <c r="BO229" s="220"/>
      <c r="BP229" s="220"/>
      <c r="BQ229" s="221"/>
      <c r="BR229" s="216">
        <v>10</v>
      </c>
      <c r="BS229" s="227"/>
      <c r="BT229" s="227"/>
      <c r="BU229" s="227"/>
      <c r="BV229" s="227"/>
      <c r="BW229" s="215"/>
      <c r="BX229" s="216">
        <v>1</v>
      </c>
      <c r="BY229" s="227"/>
      <c r="BZ229" s="227"/>
      <c r="CA229" s="227"/>
      <c r="CB229" s="227"/>
      <c r="CC229" s="215"/>
      <c r="CD229" s="211"/>
      <c r="CE229" s="196"/>
      <c r="CF229" s="196"/>
      <c r="CG229" s="196"/>
      <c r="CH229" s="196"/>
      <c r="CI229" s="212"/>
      <c r="CJ229" s="211"/>
      <c r="CK229" s="196"/>
      <c r="CL229" s="196"/>
      <c r="CM229" s="196"/>
      <c r="CN229" s="196"/>
      <c r="CO229" s="212"/>
      <c r="CP229" s="211"/>
      <c r="CQ229" s="196"/>
      <c r="CR229" s="196"/>
      <c r="CS229" s="196"/>
      <c r="CT229" s="196"/>
      <c r="CU229" s="212"/>
      <c r="CV229" s="211"/>
      <c r="CW229" s="196"/>
      <c r="CX229" s="196"/>
      <c r="CY229" s="196"/>
      <c r="CZ229" s="196"/>
      <c r="DA229" s="212"/>
      <c r="DB229" s="211"/>
      <c r="DC229" s="196"/>
      <c r="DD229" s="196"/>
      <c r="DE229" s="196"/>
      <c r="DF229" s="196"/>
      <c r="DG229" s="212"/>
      <c r="DH229" s="211"/>
      <c r="DI229" s="196"/>
      <c r="DJ229" s="196"/>
      <c r="DK229" s="196"/>
      <c r="DL229" s="196"/>
      <c r="DM229" s="212"/>
      <c r="DN229" s="211"/>
      <c r="DO229" s="196"/>
      <c r="DP229" s="196"/>
      <c r="DQ229" s="196"/>
      <c r="DR229" s="196"/>
      <c r="DS229" s="212"/>
      <c r="DT229" s="211"/>
      <c r="DU229" s="196"/>
      <c r="DV229" s="196"/>
      <c r="DW229" s="196"/>
      <c r="DX229" s="196"/>
      <c r="DY229" s="212"/>
      <c r="DZ229" s="211"/>
      <c r="EA229" s="196"/>
      <c r="EB229" s="196"/>
      <c r="EC229" s="196"/>
      <c r="ED229" s="196"/>
      <c r="EE229" s="212"/>
      <c r="EF229" s="675">
        <f t="shared" si="261"/>
        <v>50</v>
      </c>
      <c r="EG229" s="224">
        <f t="shared" si="262"/>
        <v>81.826086956521735</v>
      </c>
      <c r="EH229" s="602">
        <f t="shared" si="265"/>
        <v>39.545454545454547</v>
      </c>
      <c r="EI229" s="602">
        <f t="shared" si="264"/>
        <v>120.58333333333333</v>
      </c>
      <c r="EJ229" s="519"/>
      <c r="EK229" s="519"/>
      <c r="EL229" s="519"/>
      <c r="EM229" s="581"/>
      <c r="EN229" s="581"/>
      <c r="EO229" s="581"/>
      <c r="EP229" s="581"/>
      <c r="EQ229" s="581"/>
      <c r="ER229" s="581"/>
      <c r="ES229" s="581"/>
      <c r="ET229" s="581"/>
      <c r="EU229" s="581"/>
      <c r="EV229" s="581"/>
      <c r="EW229" s="581"/>
      <c r="EX229" s="581"/>
      <c r="EY229" s="581"/>
      <c r="EZ229" s="581"/>
      <c r="FA229" s="249"/>
      <c r="FB229" s="581"/>
      <c r="FC229" s="581"/>
      <c r="FD229" s="249"/>
      <c r="FE229" s="581"/>
      <c r="FF229" s="519"/>
      <c r="FG229" s="579"/>
      <c r="FH229" s="519"/>
      <c r="FI229" s="37"/>
    </row>
    <row r="230" spans="1:165" x14ac:dyDescent="0.2">
      <c r="A230" s="180">
        <v>51</v>
      </c>
      <c r="B230" s="216"/>
      <c r="C230" s="215"/>
      <c r="D230" s="216">
        <v>460</v>
      </c>
      <c r="E230" s="215"/>
      <c r="F230" s="213">
        <v>296</v>
      </c>
      <c r="G230" s="213"/>
      <c r="H230" s="233">
        <v>139</v>
      </c>
      <c r="I230" s="215"/>
      <c r="J230" s="213">
        <v>441</v>
      </c>
      <c r="K230" s="213"/>
      <c r="L230" s="216">
        <f>621</f>
        <v>621</v>
      </c>
      <c r="M230" s="215"/>
      <c r="N230" s="213">
        <v>258</v>
      </c>
      <c r="O230" s="213"/>
      <c r="P230" s="216">
        <v>631</v>
      </c>
      <c r="Q230" s="215"/>
      <c r="R230" s="213">
        <v>181</v>
      </c>
      <c r="S230" s="213"/>
      <c r="T230" s="216">
        <v>53</v>
      </c>
      <c r="U230" s="215"/>
      <c r="V230" s="213">
        <v>307</v>
      </c>
      <c r="W230" s="213"/>
      <c r="X230" s="216">
        <v>252</v>
      </c>
      <c r="Y230" s="215"/>
      <c r="Z230" s="205"/>
      <c r="AA230" s="205"/>
      <c r="AB230" s="216">
        <v>1</v>
      </c>
      <c r="AC230" s="215"/>
      <c r="AD230" s="222">
        <v>28</v>
      </c>
      <c r="AE230" s="222"/>
      <c r="AF230" s="211"/>
      <c r="AG230" s="196"/>
      <c r="AH230" s="225">
        <v>6</v>
      </c>
      <c r="AI230" s="226"/>
      <c r="AJ230" s="220">
        <v>65</v>
      </c>
      <c r="AK230" s="221"/>
      <c r="AL230" s="213">
        <v>13</v>
      </c>
      <c r="AM230" s="213"/>
      <c r="AN230" s="225">
        <v>6</v>
      </c>
      <c r="AO230" s="221"/>
      <c r="AP230" s="213">
        <v>40</v>
      </c>
      <c r="AQ230" s="213"/>
      <c r="AR230" s="225">
        <v>2</v>
      </c>
      <c r="AS230" s="221"/>
      <c r="AT230" s="213">
        <v>177</v>
      </c>
      <c r="AU230" s="213"/>
      <c r="AV230" s="225">
        <v>175</v>
      </c>
      <c r="AW230" s="221"/>
      <c r="AX230" s="213">
        <v>11</v>
      </c>
      <c r="AY230" s="213"/>
      <c r="AZ230" s="216">
        <v>111</v>
      </c>
      <c r="BA230" s="215"/>
      <c r="BB230" s="216">
        <v>59</v>
      </c>
      <c r="BC230" s="215"/>
      <c r="BD230" s="216">
        <v>25</v>
      </c>
      <c r="BE230" s="215"/>
      <c r="BF230" s="216">
        <v>66</v>
      </c>
      <c r="BG230" s="227"/>
      <c r="BH230" s="227"/>
      <c r="BI230" s="227"/>
      <c r="BJ230" s="227"/>
      <c r="BK230" s="227"/>
      <c r="BL230" s="216">
        <v>6</v>
      </c>
      <c r="BM230" s="227"/>
      <c r="BN230" s="227"/>
      <c r="BO230" s="227"/>
      <c r="BP230" s="227"/>
      <c r="BQ230" s="215"/>
      <c r="BR230" s="216">
        <v>11</v>
      </c>
      <c r="BS230" s="227"/>
      <c r="BT230" s="227"/>
      <c r="BU230" s="227"/>
      <c r="BV230" s="227"/>
      <c r="BW230" s="215"/>
      <c r="BX230" s="211"/>
      <c r="BY230" s="196"/>
      <c r="BZ230" s="196"/>
      <c r="CA230" s="196"/>
      <c r="CB230" s="196"/>
      <c r="CC230" s="212"/>
      <c r="CD230" s="211"/>
      <c r="CE230" s="196"/>
      <c r="CF230" s="196"/>
      <c r="CG230" s="196"/>
      <c r="CH230" s="196"/>
      <c r="CI230" s="212"/>
      <c r="CJ230" s="211"/>
      <c r="CK230" s="196"/>
      <c r="CL230" s="196"/>
      <c r="CM230" s="196"/>
      <c r="CN230" s="196"/>
      <c r="CO230" s="212"/>
      <c r="CP230" s="211"/>
      <c r="CQ230" s="196"/>
      <c r="CR230" s="196"/>
      <c r="CS230" s="196"/>
      <c r="CT230" s="196"/>
      <c r="CU230" s="212"/>
      <c r="CV230" s="211"/>
      <c r="CW230" s="196"/>
      <c r="CX230" s="196"/>
      <c r="CY230" s="196"/>
      <c r="CZ230" s="196"/>
      <c r="DA230" s="212"/>
      <c r="DB230" s="211"/>
      <c r="DC230" s="196"/>
      <c r="DD230" s="196"/>
      <c r="DE230" s="196"/>
      <c r="DF230" s="196"/>
      <c r="DG230" s="212"/>
      <c r="DH230" s="211"/>
      <c r="DI230" s="196"/>
      <c r="DJ230" s="196"/>
      <c r="DK230" s="196"/>
      <c r="DL230" s="196"/>
      <c r="DM230" s="212"/>
      <c r="DN230" s="211"/>
      <c r="DO230" s="196"/>
      <c r="DP230" s="196"/>
      <c r="DQ230" s="196"/>
      <c r="DR230" s="196"/>
      <c r="DS230" s="212"/>
      <c r="DT230" s="211"/>
      <c r="DU230" s="196"/>
      <c r="DV230" s="196"/>
      <c r="DW230" s="196"/>
      <c r="DX230" s="196"/>
      <c r="DY230" s="212"/>
      <c r="DZ230" s="211"/>
      <c r="EA230" s="196"/>
      <c r="EB230" s="196"/>
      <c r="EC230" s="196"/>
      <c r="ED230" s="196"/>
      <c r="EE230" s="212"/>
      <c r="EF230" s="675">
        <f t="shared" si="261"/>
        <v>51</v>
      </c>
      <c r="EG230" s="224">
        <f t="shared" si="262"/>
        <v>174.32</v>
      </c>
      <c r="EH230" s="602">
        <f t="shared" si="265"/>
        <v>62.18181818181818</v>
      </c>
      <c r="EI230" s="602">
        <f t="shared" si="264"/>
        <v>262.42857142857144</v>
      </c>
      <c r="EJ230" s="519"/>
      <c r="EK230" s="519"/>
      <c r="EL230" s="519"/>
      <c r="EM230" s="581"/>
      <c r="EN230" s="581"/>
      <c r="EO230" s="581"/>
      <c r="EP230" s="581"/>
      <c r="EQ230" s="581"/>
      <c r="ER230" s="581"/>
      <c r="ES230" s="581"/>
      <c r="ET230" s="581"/>
      <c r="EU230" s="581"/>
      <c r="EV230" s="581"/>
      <c r="EW230" s="581"/>
      <c r="EX230" s="581"/>
      <c r="EY230" s="581"/>
      <c r="EZ230" s="581"/>
      <c r="FA230" s="249"/>
      <c r="FB230" s="581"/>
      <c r="FC230" s="581"/>
      <c r="FD230" s="249"/>
      <c r="FE230" s="581"/>
      <c r="FF230" s="519"/>
      <c r="FG230" s="579"/>
      <c r="FH230" s="519"/>
      <c r="FI230" s="37"/>
    </row>
    <row r="231" spans="1:165" x14ac:dyDescent="0.2">
      <c r="A231" s="180">
        <v>52</v>
      </c>
      <c r="B231" s="216"/>
      <c r="C231" s="215"/>
      <c r="D231" s="216">
        <v>550</v>
      </c>
      <c r="E231" s="215"/>
      <c r="F231" s="213">
        <v>741</v>
      </c>
      <c r="G231" s="213"/>
      <c r="H231" s="216">
        <v>953</v>
      </c>
      <c r="I231" s="215"/>
      <c r="J231" s="213">
        <v>765</v>
      </c>
      <c r="K231" s="213"/>
      <c r="L231" s="216">
        <v>767</v>
      </c>
      <c r="M231" s="215"/>
      <c r="N231" s="213">
        <v>281</v>
      </c>
      <c r="O231" s="213"/>
      <c r="P231" s="216">
        <v>86</v>
      </c>
      <c r="Q231" s="215"/>
      <c r="R231" s="213">
        <v>261</v>
      </c>
      <c r="S231" s="213"/>
      <c r="T231" s="211"/>
      <c r="U231" s="212"/>
      <c r="V231" s="213">
        <v>71</v>
      </c>
      <c r="W231" s="213"/>
      <c r="X231" s="225">
        <v>220</v>
      </c>
      <c r="Y231" s="221"/>
      <c r="Z231" s="205"/>
      <c r="AA231" s="205"/>
      <c r="AB231" s="225">
        <v>7</v>
      </c>
      <c r="AC231" s="221"/>
      <c r="AD231" s="222">
        <v>20</v>
      </c>
      <c r="AE231" s="222"/>
      <c r="AF231" s="225">
        <v>51</v>
      </c>
      <c r="AG231" s="220"/>
      <c r="AH231" s="225">
        <v>16</v>
      </c>
      <c r="AI231" s="226"/>
      <c r="AJ231" s="196"/>
      <c r="AK231" s="212"/>
      <c r="AL231" s="205"/>
      <c r="AM231" s="205"/>
      <c r="AN231" s="211"/>
      <c r="AO231" s="212"/>
      <c r="AP231" s="213">
        <v>79</v>
      </c>
      <c r="AQ231" s="213"/>
      <c r="AR231" s="211"/>
      <c r="AS231" s="212"/>
      <c r="AT231" s="213">
        <v>82</v>
      </c>
      <c r="AU231" s="213"/>
      <c r="AV231" s="225">
        <v>84</v>
      </c>
      <c r="AW231" s="221"/>
      <c r="AX231" s="213">
        <v>47</v>
      </c>
      <c r="AY231" s="213"/>
      <c r="AZ231" s="216">
        <v>64</v>
      </c>
      <c r="BA231" s="215"/>
      <c r="BB231" s="216">
        <v>31</v>
      </c>
      <c r="BC231" s="215"/>
      <c r="BD231" s="216">
        <v>54</v>
      </c>
      <c r="BE231" s="215"/>
      <c r="BF231" s="216">
        <v>40</v>
      </c>
      <c r="BG231" s="227"/>
      <c r="BH231" s="227"/>
      <c r="BI231" s="227"/>
      <c r="BJ231" s="227"/>
      <c r="BK231" s="227"/>
      <c r="BL231" s="211"/>
      <c r="BM231" s="196"/>
      <c r="BN231" s="196"/>
      <c r="BO231" s="196"/>
      <c r="BP231" s="196"/>
      <c r="BQ231" s="212"/>
      <c r="BR231" s="216">
        <v>15</v>
      </c>
      <c r="BS231" s="227"/>
      <c r="BT231" s="227"/>
      <c r="BU231" s="227"/>
      <c r="BV231" s="227"/>
      <c r="BW231" s="215"/>
      <c r="BX231" s="211"/>
      <c r="BY231" s="196"/>
      <c r="BZ231" s="196"/>
      <c r="CA231" s="196"/>
      <c r="CB231" s="196"/>
      <c r="CC231" s="212"/>
      <c r="CD231" s="211"/>
      <c r="CE231" s="196"/>
      <c r="CF231" s="196"/>
      <c r="CG231" s="196"/>
      <c r="CH231" s="196"/>
      <c r="CI231" s="212"/>
      <c r="CJ231" s="211"/>
      <c r="CK231" s="196"/>
      <c r="CL231" s="196"/>
      <c r="CM231" s="196"/>
      <c r="CN231" s="196"/>
      <c r="CO231" s="212"/>
      <c r="CP231" s="211"/>
      <c r="CQ231" s="196"/>
      <c r="CR231" s="196"/>
      <c r="CS231" s="196"/>
      <c r="CT231" s="196"/>
      <c r="CU231" s="212"/>
      <c r="CV231" s="211"/>
      <c r="CW231" s="196"/>
      <c r="CX231" s="196"/>
      <c r="CY231" s="196"/>
      <c r="CZ231" s="196"/>
      <c r="DA231" s="212"/>
      <c r="DB231" s="211"/>
      <c r="DC231" s="196"/>
      <c r="DD231" s="196"/>
      <c r="DE231" s="196"/>
      <c r="DF231" s="196"/>
      <c r="DG231" s="212"/>
      <c r="DH231" s="211"/>
      <c r="DI231" s="196"/>
      <c r="DJ231" s="196"/>
      <c r="DK231" s="196"/>
      <c r="DL231" s="196"/>
      <c r="DM231" s="212"/>
      <c r="DN231" s="211"/>
      <c r="DO231" s="196"/>
      <c r="DP231" s="196"/>
      <c r="DQ231" s="196"/>
      <c r="DR231" s="196"/>
      <c r="DS231" s="212"/>
      <c r="DT231" s="211"/>
      <c r="DU231" s="196"/>
      <c r="DV231" s="196"/>
      <c r="DW231" s="196"/>
      <c r="DX231" s="196"/>
      <c r="DY231" s="212"/>
      <c r="DZ231" s="211"/>
      <c r="EA231" s="196"/>
      <c r="EB231" s="196"/>
      <c r="EC231" s="196"/>
      <c r="ED231" s="196"/>
      <c r="EE231" s="212"/>
      <c r="EF231" s="675">
        <f t="shared" si="261"/>
        <v>52</v>
      </c>
      <c r="EG231" s="224">
        <f t="shared" si="262"/>
        <v>249.04761904761904</v>
      </c>
      <c r="EH231" s="602">
        <f t="shared" si="265"/>
        <v>63</v>
      </c>
      <c r="EI231" s="602">
        <f t="shared" si="264"/>
        <v>342.07142857142856</v>
      </c>
      <c r="EJ231" s="519"/>
      <c r="EK231" s="519"/>
      <c r="EL231" s="519"/>
      <c r="EM231" s="581"/>
      <c r="EN231" s="581"/>
      <c r="EO231" s="581"/>
      <c r="EP231" s="581"/>
      <c r="EQ231" s="581"/>
      <c r="ER231" s="581"/>
      <c r="ES231" s="581"/>
      <c r="ET231" s="581"/>
      <c r="EU231" s="581"/>
      <c r="EV231" s="581"/>
      <c r="EW231" s="581"/>
      <c r="EX231" s="581"/>
      <c r="EY231" s="581"/>
      <c r="EZ231" s="581"/>
      <c r="FA231" s="249"/>
      <c r="FB231" s="581"/>
      <c r="FC231" s="581"/>
      <c r="FD231" s="249"/>
      <c r="FE231" s="581"/>
      <c r="FF231" s="519"/>
      <c r="FG231" s="579"/>
      <c r="FH231" s="519"/>
      <c r="FI231" s="37"/>
    </row>
    <row r="232" spans="1:165" x14ac:dyDescent="0.2">
      <c r="A232" s="187">
        <v>53</v>
      </c>
      <c r="B232" s="211"/>
      <c r="C232" s="212"/>
      <c r="D232" s="216">
        <v>1569</v>
      </c>
      <c r="E232" s="215"/>
      <c r="F232" s="213">
        <v>158</v>
      </c>
      <c r="G232" s="213"/>
      <c r="H232" s="216">
        <v>1422</v>
      </c>
      <c r="I232" s="215"/>
      <c r="J232" s="213">
        <v>833</v>
      </c>
      <c r="K232" s="213"/>
      <c r="L232" s="211"/>
      <c r="M232" s="212"/>
      <c r="N232" s="213">
        <v>41</v>
      </c>
      <c r="O232" s="213"/>
      <c r="P232" s="225">
        <v>82</v>
      </c>
      <c r="Q232" s="221"/>
      <c r="R232" s="222">
        <v>63</v>
      </c>
      <c r="S232" s="222"/>
      <c r="T232" s="216">
        <v>27</v>
      </c>
      <c r="U232" s="215"/>
      <c r="V232" s="213">
        <v>18</v>
      </c>
      <c r="W232" s="213"/>
      <c r="X232" s="211"/>
      <c r="Y232" s="212"/>
      <c r="Z232" s="205"/>
      <c r="AA232" s="205"/>
      <c r="AB232" s="211"/>
      <c r="AC232" s="212"/>
      <c r="AD232" s="205"/>
      <c r="AE232" s="205"/>
      <c r="AF232" s="225">
        <v>7</v>
      </c>
      <c r="AG232" s="220"/>
      <c r="AH232" s="239">
        <v>14</v>
      </c>
      <c r="AI232" s="226"/>
      <c r="AJ232" s="196"/>
      <c r="AK232" s="212"/>
      <c r="AL232" s="222">
        <v>5</v>
      </c>
      <c r="AM232" s="222"/>
      <c r="AN232" s="211"/>
      <c r="AO232" s="212"/>
      <c r="AP232" s="213">
        <v>135</v>
      </c>
      <c r="AQ232" s="213"/>
      <c r="AR232" s="211"/>
      <c r="AS232" s="212"/>
      <c r="AT232" s="213">
        <v>0</v>
      </c>
      <c r="AU232" s="213"/>
      <c r="AV232" s="225">
        <v>15</v>
      </c>
      <c r="AW232" s="221"/>
      <c r="AX232" s="213">
        <v>107</v>
      </c>
      <c r="AY232" s="213"/>
      <c r="AZ232" s="216">
        <v>46</v>
      </c>
      <c r="BA232" s="215"/>
      <c r="BB232" s="216">
        <v>34</v>
      </c>
      <c r="BC232" s="215"/>
      <c r="BD232" s="211"/>
      <c r="BE232" s="212"/>
      <c r="BF232" s="211"/>
      <c r="BG232" s="196"/>
      <c r="BH232" s="196"/>
      <c r="BI232" s="196"/>
      <c r="BJ232" s="196"/>
      <c r="BK232" s="196"/>
      <c r="BL232" s="235"/>
      <c r="BM232" s="237"/>
      <c r="BN232" s="237"/>
      <c r="BO232" s="237"/>
      <c r="BP232" s="237"/>
      <c r="BQ232" s="236"/>
      <c r="BR232" s="242">
        <v>10</v>
      </c>
      <c r="BS232" s="244"/>
      <c r="BT232" s="244"/>
      <c r="BU232" s="244"/>
      <c r="BV232" s="244"/>
      <c r="BW232" s="243"/>
      <c r="BX232" s="235"/>
      <c r="BY232" s="237"/>
      <c r="BZ232" s="237"/>
      <c r="CA232" s="237"/>
      <c r="CB232" s="237"/>
      <c r="CC232" s="236"/>
      <c r="CD232" s="235"/>
      <c r="CE232" s="237"/>
      <c r="CF232" s="237"/>
      <c r="CG232" s="237"/>
      <c r="CH232" s="237"/>
      <c r="CI232" s="236"/>
      <c r="CJ232" s="235"/>
      <c r="CK232" s="237"/>
      <c r="CL232" s="237"/>
      <c r="CM232" s="237"/>
      <c r="CN232" s="237"/>
      <c r="CO232" s="236"/>
      <c r="CP232" s="235"/>
      <c r="CQ232" s="237"/>
      <c r="CR232" s="237"/>
      <c r="CS232" s="237"/>
      <c r="CT232" s="237"/>
      <c r="CU232" s="236"/>
      <c r="CV232" s="235"/>
      <c r="CW232" s="237"/>
      <c r="CX232" s="237"/>
      <c r="CY232" s="237"/>
      <c r="CZ232" s="237"/>
      <c r="DA232" s="236"/>
      <c r="DB232" s="235"/>
      <c r="DC232" s="237"/>
      <c r="DD232" s="237"/>
      <c r="DE232" s="237"/>
      <c r="DF232" s="237"/>
      <c r="DG232" s="236"/>
      <c r="DH232" s="235"/>
      <c r="DI232" s="237"/>
      <c r="DJ232" s="237"/>
      <c r="DK232" s="237"/>
      <c r="DL232" s="237"/>
      <c r="DM232" s="236"/>
      <c r="DN232" s="235"/>
      <c r="DO232" s="237"/>
      <c r="DP232" s="237"/>
      <c r="DQ232" s="237"/>
      <c r="DR232" s="237"/>
      <c r="DS232" s="236"/>
      <c r="DT232" s="235"/>
      <c r="DU232" s="237"/>
      <c r="DV232" s="237"/>
      <c r="DW232" s="237"/>
      <c r="DX232" s="237"/>
      <c r="DY232" s="236"/>
      <c r="DZ232" s="235"/>
      <c r="EA232" s="237"/>
      <c r="EB232" s="237"/>
      <c r="EC232" s="237"/>
      <c r="ED232" s="237"/>
      <c r="EE232" s="236"/>
      <c r="EF232" s="675">
        <f t="shared" si="261"/>
        <v>53</v>
      </c>
      <c r="EG232" s="224">
        <f t="shared" si="262"/>
        <v>254.22222222222223</v>
      </c>
      <c r="EH232" s="602">
        <f t="shared" si="265"/>
        <v>48.857142857142854</v>
      </c>
      <c r="EI232" s="602">
        <f t="shared" si="264"/>
        <v>384.90909090909093</v>
      </c>
      <c r="EJ232" s="519"/>
      <c r="EK232" s="519"/>
      <c r="EL232" s="519"/>
      <c r="EM232" s="581"/>
      <c r="EN232" s="581"/>
      <c r="EO232" s="581"/>
      <c r="EP232" s="581"/>
      <c r="EQ232" s="581"/>
      <c r="ER232" s="581"/>
      <c r="ES232" s="581"/>
      <c r="ET232" s="581"/>
      <c r="EU232" s="581"/>
      <c r="EV232" s="581"/>
      <c r="EW232" s="581"/>
      <c r="EX232" s="581"/>
      <c r="EY232" s="581"/>
      <c r="EZ232" s="581"/>
      <c r="FA232" s="249"/>
      <c r="FB232" s="581"/>
      <c r="FC232" s="581"/>
      <c r="FD232" s="249"/>
      <c r="FE232" s="581"/>
      <c r="FF232" s="519"/>
      <c r="FG232" s="579"/>
      <c r="FH232" s="519"/>
      <c r="FI232" s="37"/>
    </row>
    <row r="233" spans="1:165" x14ac:dyDescent="0.2">
      <c r="A233" s="127" t="s">
        <v>103</v>
      </c>
      <c r="B233" s="250">
        <f>SUM(B180:B232)</f>
        <v>0</v>
      </c>
      <c r="C233" s="251"/>
      <c r="D233" s="250">
        <f>SUM(D180:D232)</f>
        <v>3246</v>
      </c>
      <c r="E233" s="251"/>
      <c r="F233" s="252">
        <f>SUM(F180:F232)</f>
        <v>3990</v>
      </c>
      <c r="G233" s="252"/>
      <c r="H233" s="250">
        <f>SUM(H180:H232)</f>
        <v>5683</v>
      </c>
      <c r="I233" s="251"/>
      <c r="J233" s="252">
        <f>SUM(J180:J232)</f>
        <v>4654</v>
      </c>
      <c r="K233" s="252"/>
      <c r="L233" s="250">
        <f>SUM(L180:L232)</f>
        <v>3276.9830300000003</v>
      </c>
      <c r="M233" s="251"/>
      <c r="N233" s="252">
        <f>SUM(N180:N232)</f>
        <v>2854</v>
      </c>
      <c r="O233" s="252"/>
      <c r="P233" s="250">
        <f>SUM(P180:P232)</f>
        <v>2188</v>
      </c>
      <c r="Q233" s="251"/>
      <c r="R233" s="252">
        <f>SUM(R180:R232)</f>
        <v>2011</v>
      </c>
      <c r="S233" s="252"/>
      <c r="T233" s="250">
        <f>SUM(T180:T232)</f>
        <v>509</v>
      </c>
      <c r="U233" s="251"/>
      <c r="V233" s="252">
        <f>SUM(V180:V232)</f>
        <v>529</v>
      </c>
      <c r="W233" s="252"/>
      <c r="X233" s="250">
        <f>SUM(X180:X232)</f>
        <v>1462</v>
      </c>
      <c r="Y233" s="251"/>
      <c r="Z233" s="252">
        <f>SUM(Z180:Z232)</f>
        <v>499</v>
      </c>
      <c r="AA233" s="252"/>
      <c r="AB233" s="250">
        <f>SUM(AB180:AB232)</f>
        <v>158</v>
      </c>
      <c r="AC233" s="251"/>
      <c r="AD233" s="252">
        <f>SUM(AD180:AD232)</f>
        <v>150</v>
      </c>
      <c r="AE233" s="252"/>
      <c r="AF233" s="250">
        <f>SUM(AF180:AF232)</f>
        <v>292</v>
      </c>
      <c r="AG233" s="252"/>
      <c r="AH233" s="235">
        <f>SUM(AH180:AH232)</f>
        <v>243</v>
      </c>
      <c r="AI233" s="219"/>
      <c r="AJ233" s="252">
        <f>SUM(AJ180:AJ232)</f>
        <v>219</v>
      </c>
      <c r="AK233" s="251"/>
      <c r="AL233" s="252">
        <f>SUM(AL180:AL232)</f>
        <v>157</v>
      </c>
      <c r="AM233" s="252"/>
      <c r="AN233" s="250">
        <f>SUM(AN180:AN232)</f>
        <v>137</v>
      </c>
      <c r="AO233" s="251"/>
      <c r="AP233" s="252">
        <f>SUM(AP180:AP232)</f>
        <v>488</v>
      </c>
      <c r="AQ233" s="252"/>
      <c r="AR233" s="250">
        <f>SUM(AR180:AR232)</f>
        <v>469</v>
      </c>
      <c r="AS233" s="251"/>
      <c r="AT233" s="252">
        <f>SUM(AT180:AT232)</f>
        <v>712</v>
      </c>
      <c r="AU233" s="252"/>
      <c r="AV233" s="250">
        <f>SUM(AV180:AV232)</f>
        <v>1287</v>
      </c>
      <c r="AW233" s="251"/>
      <c r="AX233" s="252">
        <f>SUM(AX180:AX232)</f>
        <v>529.44569999999999</v>
      </c>
      <c r="AY233" s="252"/>
      <c r="AZ233" s="250">
        <f>SUM(AZ180:AZ232)</f>
        <v>380.983</v>
      </c>
      <c r="BA233" s="251"/>
      <c r="BB233" s="250">
        <f>SUM(BB180:BB232)</f>
        <v>399.97719540000003</v>
      </c>
      <c r="BC233" s="251"/>
      <c r="BD233" s="250">
        <f>SUM(BD180:BD232)</f>
        <v>299</v>
      </c>
      <c r="BE233" s="251"/>
      <c r="BF233" s="250">
        <f>SUM(BF180:BF232)</f>
        <v>527</v>
      </c>
      <c r="BG233" s="252"/>
      <c r="BH233" s="252"/>
      <c r="BI233" s="252"/>
      <c r="BJ233" s="252"/>
      <c r="BK233" s="252"/>
      <c r="BL233" s="250">
        <f>SUM(BL180:BL232)</f>
        <v>325.61500000000001</v>
      </c>
      <c r="BM233" s="252"/>
      <c r="BN233" s="252"/>
      <c r="BO233" s="252"/>
      <c r="BP233" s="252"/>
      <c r="BQ233" s="251"/>
      <c r="BR233" s="250">
        <f>SUM(BR180:BR232)</f>
        <v>394.67500000000001</v>
      </c>
      <c r="BS233" s="252"/>
      <c r="BT233" s="252"/>
      <c r="BU233" s="252"/>
      <c r="BV233" s="252"/>
      <c r="BW233" s="251"/>
      <c r="BX233" s="250">
        <f>SUM(BX180:BX232)</f>
        <v>275.78500000000003</v>
      </c>
      <c r="BY233" s="252"/>
      <c r="BZ233" s="252"/>
      <c r="CA233" s="252"/>
      <c r="CB233" s="252"/>
      <c r="CC233" s="251"/>
      <c r="CD233" s="250">
        <f>SUM(CD180:CD232)</f>
        <v>148</v>
      </c>
      <c r="CE233" s="252"/>
      <c r="CF233" s="252"/>
      <c r="CG233" s="252"/>
      <c r="CH233" s="252"/>
      <c r="CI233" s="251"/>
      <c r="CJ233" s="250">
        <f>SUM(CJ180:CJ232)</f>
        <v>0</v>
      </c>
      <c r="CK233" s="252"/>
      <c r="CL233" s="252"/>
      <c r="CM233" s="252"/>
      <c r="CN233" s="252"/>
      <c r="CO233" s="251"/>
      <c r="CP233" s="250">
        <f>SUM(CP180:CP232)</f>
        <v>0</v>
      </c>
      <c r="CQ233" s="252"/>
      <c r="CR233" s="252"/>
      <c r="CS233" s="252"/>
      <c r="CT233" s="252"/>
      <c r="CU233" s="251"/>
      <c r="CV233" s="250">
        <f>SUM(CV180:CV232)</f>
        <v>0</v>
      </c>
      <c r="CW233" s="252"/>
      <c r="CX233" s="252"/>
      <c r="CY233" s="252"/>
      <c r="CZ233" s="252"/>
      <c r="DA233" s="251"/>
      <c r="DB233" s="250">
        <f>SUM(DB180:DB232)</f>
        <v>0</v>
      </c>
      <c r="DC233" s="252"/>
      <c r="DD233" s="252"/>
      <c r="DE233" s="252"/>
      <c r="DF233" s="252"/>
      <c r="DG233" s="251"/>
      <c r="DH233" s="250">
        <f>SUM(DH180:DH232)</f>
        <v>0</v>
      </c>
      <c r="DI233" s="252"/>
      <c r="DJ233" s="252"/>
      <c r="DK233" s="252"/>
      <c r="DL233" s="252"/>
      <c r="DM233" s="251"/>
      <c r="DN233" s="250">
        <f>SUM(DN180:DN232)</f>
        <v>0</v>
      </c>
      <c r="DO233" s="252"/>
      <c r="DP233" s="252"/>
      <c r="DQ233" s="252"/>
      <c r="DR233" s="252"/>
      <c r="DS233" s="251"/>
      <c r="DT233" s="250">
        <f>SUM(DT180:DT232)</f>
        <v>0</v>
      </c>
      <c r="DU233" s="252"/>
      <c r="DV233" s="252"/>
      <c r="DW233" s="252"/>
      <c r="DX233" s="252"/>
      <c r="DY233" s="251"/>
      <c r="DZ233" s="250">
        <f>SUM(DZ180:DZ232)</f>
        <v>0</v>
      </c>
      <c r="EA233" s="252"/>
      <c r="EB233" s="252"/>
      <c r="EC233" s="252"/>
      <c r="ED233" s="252"/>
      <c r="EE233" s="251"/>
      <c r="EF233" s="236"/>
      <c r="EG233" s="135"/>
      <c r="EH233" s="519"/>
      <c r="EI233" s="519"/>
      <c r="EJ233" s="519"/>
      <c r="EK233" s="519"/>
      <c r="EL233" s="519"/>
      <c r="EM233" s="581"/>
      <c r="EN233" s="581"/>
      <c r="EO233" s="581"/>
      <c r="EP233" s="581"/>
      <c r="EQ233" s="581"/>
      <c r="ER233" s="580"/>
      <c r="ES233" s="519"/>
      <c r="ET233" s="581"/>
      <c r="EU233" s="581"/>
      <c r="EV233" s="581"/>
      <c r="EW233" s="581"/>
      <c r="EX233" s="581"/>
      <c r="EY233" s="581"/>
      <c r="EZ233" s="581"/>
      <c r="FA233" s="249"/>
      <c r="FB233" s="581"/>
      <c r="FC233" s="581"/>
      <c r="FD233" s="249"/>
      <c r="FE233" s="581"/>
      <c r="FF233" s="519"/>
      <c r="FG233" s="579"/>
      <c r="FH233" s="519"/>
      <c r="FI233" s="37"/>
    </row>
    <row r="234" spans="1:165" x14ac:dyDescent="0.2">
      <c r="AI234" s="253"/>
      <c r="BH234" s="676"/>
      <c r="EH234" s="579"/>
      <c r="EI234" s="519"/>
      <c r="EJ234" s="519"/>
      <c r="EK234" s="579"/>
      <c r="EL234" s="519"/>
      <c r="EM234" s="519"/>
      <c r="EN234" s="579"/>
      <c r="EO234" s="519"/>
      <c r="EP234" s="519"/>
      <c r="EQ234" s="580"/>
      <c r="ER234" s="580"/>
      <c r="ES234" s="519"/>
      <c r="ET234" s="519"/>
      <c r="EU234" s="580"/>
      <c r="EV234" s="580"/>
      <c r="EW234" s="580"/>
      <c r="EX234" s="580"/>
      <c r="EY234" s="580"/>
      <c r="EZ234" s="580"/>
      <c r="FA234" s="580"/>
      <c r="FB234" s="580"/>
      <c r="FC234" s="580"/>
      <c r="FD234" s="580"/>
      <c r="FE234" s="580"/>
      <c r="FF234" s="580"/>
      <c r="FG234" s="580"/>
      <c r="FH234" s="580"/>
    </row>
    <row r="235" spans="1:165" x14ac:dyDescent="0.2">
      <c r="A235" s="126" t="s">
        <v>244</v>
      </c>
      <c r="AI235" s="135"/>
      <c r="EH235" s="579"/>
      <c r="EI235" s="519"/>
      <c r="EJ235" s="519"/>
      <c r="EK235" s="609" t="s">
        <v>104</v>
      </c>
      <c r="EL235" s="587"/>
      <c r="EM235" s="590"/>
      <c r="EN235" s="609" t="s">
        <v>105</v>
      </c>
      <c r="EO235" s="587"/>
      <c r="EP235" s="590"/>
      <c r="EQ235" s="580"/>
      <c r="ER235" s="580"/>
      <c r="ES235" s="519"/>
      <c r="ET235" s="519"/>
      <c r="EU235" s="580"/>
      <c r="EV235" s="580"/>
      <c r="EW235" s="580"/>
      <c r="EX235" s="580"/>
      <c r="EY235" s="580"/>
      <c r="EZ235" s="580"/>
      <c r="FA235" s="580"/>
      <c r="FB235" s="580"/>
      <c r="FC235" s="580"/>
      <c r="FD235" s="580"/>
      <c r="FE235" s="580"/>
      <c r="FF235" s="580"/>
      <c r="FG235" s="580"/>
      <c r="FH235" s="580"/>
    </row>
    <row r="236" spans="1:165" ht="12" x14ac:dyDescent="0.2">
      <c r="A236" s="126"/>
      <c r="AE236" s="43"/>
      <c r="AF236" s="43"/>
      <c r="AG236" s="43"/>
      <c r="AH236" s="43"/>
      <c r="AI236" s="130" t="s">
        <v>85</v>
      </c>
      <c r="AJ236" s="27" t="s">
        <v>86</v>
      </c>
      <c r="EH236" s="610" t="s">
        <v>247</v>
      </c>
      <c r="EI236" s="611"/>
      <c r="EJ236" s="612"/>
      <c r="EK236" s="613" t="s">
        <v>248</v>
      </c>
      <c r="EL236" s="614"/>
      <c r="EM236" s="615"/>
      <c r="EN236" s="613" t="s">
        <v>249</v>
      </c>
      <c r="EO236" s="614"/>
      <c r="EP236" s="615"/>
      <c r="EQ236" s="580"/>
      <c r="ER236" s="580"/>
      <c r="ES236" s="519"/>
      <c r="ET236" s="519"/>
      <c r="EU236" s="519" t="s">
        <v>106</v>
      </c>
      <c r="EV236" s="580"/>
      <c r="EW236" s="580"/>
      <c r="EX236" s="580"/>
      <c r="EY236" s="580"/>
      <c r="EZ236" s="580"/>
      <c r="FA236" s="580"/>
      <c r="FB236" s="580"/>
      <c r="FC236" s="580"/>
      <c r="FD236" s="580"/>
      <c r="FE236" s="580"/>
      <c r="FF236" s="580"/>
      <c r="FG236" s="580"/>
      <c r="FH236" s="580"/>
    </row>
    <row r="237" spans="1:165" ht="18.75" x14ac:dyDescent="0.2">
      <c r="B237" s="37">
        <v>1984</v>
      </c>
      <c r="D237" s="37">
        <v>1985</v>
      </c>
      <c r="F237" s="487">
        <v>1986</v>
      </c>
      <c r="G237" s="488"/>
      <c r="H237" s="492">
        <v>1987</v>
      </c>
      <c r="I237" s="488"/>
      <c r="J237" s="492">
        <v>1988</v>
      </c>
      <c r="K237" s="488"/>
      <c r="L237" s="492">
        <v>1989</v>
      </c>
      <c r="M237" s="488"/>
      <c r="N237" s="492">
        <v>1990</v>
      </c>
      <c r="O237" s="488"/>
      <c r="P237" s="492">
        <v>1991</v>
      </c>
      <c r="Q237" s="488"/>
      <c r="R237" s="492">
        <v>1992</v>
      </c>
      <c r="S237" s="488"/>
      <c r="T237" s="492">
        <v>1993</v>
      </c>
      <c r="U237" s="488"/>
      <c r="V237" s="492">
        <v>1994</v>
      </c>
      <c r="W237" s="488"/>
      <c r="X237" s="492">
        <v>1995</v>
      </c>
      <c r="Y237" s="488"/>
      <c r="Z237" s="492">
        <v>1996</v>
      </c>
      <c r="AA237" s="488"/>
      <c r="AB237" s="492">
        <v>1997</v>
      </c>
      <c r="AC237" s="488"/>
      <c r="AD237" s="492">
        <v>1998</v>
      </c>
      <c r="AE237" s="488"/>
      <c r="AF237" s="492">
        <v>1999</v>
      </c>
      <c r="AG237" s="488"/>
      <c r="AH237" s="43">
        <v>2000</v>
      </c>
      <c r="AI237" s="153"/>
      <c r="AJ237" s="497">
        <v>2001</v>
      </c>
      <c r="AK237" s="498"/>
      <c r="AL237" s="497">
        <v>2002</v>
      </c>
      <c r="AM237" s="498"/>
      <c r="AN237" s="497">
        <v>2003</v>
      </c>
      <c r="AO237" s="497"/>
      <c r="AP237" s="497">
        <v>2004</v>
      </c>
      <c r="AQ237" s="498"/>
      <c r="AR237" s="497">
        <v>2005</v>
      </c>
      <c r="AS237" s="498"/>
      <c r="AT237" s="497">
        <v>2006</v>
      </c>
      <c r="AU237" s="498"/>
      <c r="AV237" s="497">
        <v>2007</v>
      </c>
      <c r="AW237" s="498"/>
      <c r="AX237" s="497">
        <v>2008</v>
      </c>
      <c r="AY237" s="498"/>
      <c r="AZ237" s="497">
        <v>2009</v>
      </c>
      <c r="BA237" s="498"/>
      <c r="BB237" s="496">
        <v>2010</v>
      </c>
      <c r="BC237" s="498"/>
      <c r="BD237" s="496">
        <v>2011</v>
      </c>
      <c r="BE237" s="498"/>
      <c r="BF237" s="556">
        <v>2012</v>
      </c>
      <c r="BG237" s="662"/>
      <c r="BH237" s="662"/>
      <c r="BI237" s="662"/>
      <c r="BJ237" s="662"/>
      <c r="BK237" s="662"/>
      <c r="BL237" s="661">
        <v>2013</v>
      </c>
      <c r="BM237" s="662"/>
      <c r="BN237" s="253"/>
      <c r="BO237" s="253"/>
      <c r="BP237" s="253"/>
      <c r="BQ237" s="139"/>
      <c r="BR237" s="812">
        <v>2014</v>
      </c>
      <c r="BS237" s="813"/>
      <c r="BT237" s="253"/>
      <c r="BU237" s="253"/>
      <c r="BV237" s="253"/>
      <c r="BW237" s="139"/>
      <c r="BX237" s="919">
        <v>2015</v>
      </c>
      <c r="BY237" s="920"/>
      <c r="BZ237" s="253"/>
      <c r="CA237" s="253"/>
      <c r="CB237" s="253"/>
      <c r="CC237" s="139"/>
      <c r="CD237" s="992">
        <v>2016</v>
      </c>
      <c r="CE237" s="993"/>
      <c r="CF237" s="253"/>
      <c r="CG237" s="253"/>
      <c r="CH237" s="253"/>
      <c r="CI237" s="139"/>
      <c r="CJ237" s="1095">
        <v>2017</v>
      </c>
      <c r="CK237" s="1096"/>
      <c r="CL237" s="253"/>
      <c r="CM237" s="253"/>
      <c r="CN237" s="253"/>
      <c r="CO237" s="139"/>
      <c r="CP237" s="1153">
        <v>2018</v>
      </c>
      <c r="CQ237" s="1154"/>
      <c r="CR237" s="253"/>
      <c r="CS237" s="253"/>
      <c r="CT237" s="253"/>
      <c r="CU237" s="139"/>
      <c r="CV237" s="1153">
        <v>2019</v>
      </c>
      <c r="CW237" s="1154"/>
      <c r="CX237" s="253"/>
      <c r="CY237" s="253"/>
      <c r="CZ237" s="253"/>
      <c r="DA237" s="139"/>
      <c r="DB237" s="1153">
        <v>2020</v>
      </c>
      <c r="DC237" s="1154"/>
      <c r="DD237" s="253"/>
      <c r="DE237" s="253"/>
      <c r="DF237" s="253"/>
      <c r="DG237" s="139"/>
      <c r="DH237" s="1153">
        <v>2021</v>
      </c>
      <c r="DI237" s="1154"/>
      <c r="DJ237" s="253"/>
      <c r="DK237" s="253"/>
      <c r="DL237" s="253"/>
      <c r="DM237" s="139"/>
      <c r="DN237" s="1153">
        <f>DN3</f>
        <v>2022</v>
      </c>
      <c r="DO237" s="1154"/>
      <c r="DP237" s="253"/>
      <c r="DQ237" s="253"/>
      <c r="DR237" s="253"/>
      <c r="DS237" s="139"/>
      <c r="DT237" s="1153">
        <f>DT3</f>
        <v>2023</v>
      </c>
      <c r="DU237" s="1154"/>
      <c r="DV237" s="253"/>
      <c r="DW237" s="253"/>
      <c r="DX237" s="253"/>
      <c r="DY237" s="139"/>
      <c r="DZ237" s="1153">
        <f>DZ3</f>
        <v>2024</v>
      </c>
      <c r="EA237" s="1154"/>
      <c r="EB237" s="253"/>
      <c r="EC237" s="253"/>
      <c r="ED237" s="253"/>
      <c r="EE237" s="139"/>
      <c r="EF237" s="135"/>
      <c r="EG237" s="135"/>
      <c r="EH237" s="616"/>
      <c r="EI237" s="617" t="s">
        <v>221</v>
      </c>
      <c r="EJ237" s="617" t="s">
        <v>220</v>
      </c>
      <c r="EK237" s="618"/>
      <c r="EL237" s="617" t="s">
        <v>221</v>
      </c>
      <c r="EM237" s="617" t="s">
        <v>220</v>
      </c>
      <c r="EN237" s="618"/>
      <c r="EO237" s="617" t="s">
        <v>221</v>
      </c>
      <c r="EP237" s="617" t="s">
        <v>220</v>
      </c>
      <c r="EQ237" s="580"/>
      <c r="ER237" s="580"/>
      <c r="ES237" s="519"/>
      <c r="ET237" s="519"/>
      <c r="EU237" s="519" t="s">
        <v>109</v>
      </c>
      <c r="EV237" s="619" t="s">
        <v>110</v>
      </c>
      <c r="EW237" s="580"/>
      <c r="EX237" s="580"/>
      <c r="EY237" s="580"/>
      <c r="EZ237" s="580"/>
      <c r="FA237" s="580"/>
      <c r="FB237" s="580"/>
      <c r="FC237" s="580"/>
      <c r="FD237" s="580"/>
      <c r="FE237" s="580"/>
      <c r="FF237" s="580"/>
      <c r="FG237" s="580"/>
      <c r="FH237" s="580"/>
    </row>
    <row r="238" spans="1:165" x14ac:dyDescent="0.2">
      <c r="A238" s="195" t="s">
        <v>87</v>
      </c>
      <c r="B238" s="254" t="s">
        <v>22</v>
      </c>
      <c r="C238" s="255" t="s">
        <v>23</v>
      </c>
      <c r="D238" s="254" t="s">
        <v>22</v>
      </c>
      <c r="E238" s="255" t="s">
        <v>23</v>
      </c>
      <c r="F238" s="254" t="s">
        <v>22</v>
      </c>
      <c r="G238" s="255" t="s">
        <v>23</v>
      </c>
      <c r="H238" s="254" t="s">
        <v>22</v>
      </c>
      <c r="I238" s="255" t="s">
        <v>23</v>
      </c>
      <c r="J238" s="254" t="s">
        <v>22</v>
      </c>
      <c r="K238" s="255" t="s">
        <v>23</v>
      </c>
      <c r="L238" s="254" t="s">
        <v>22</v>
      </c>
      <c r="M238" s="255" t="s">
        <v>23</v>
      </c>
      <c r="N238" s="254" t="s">
        <v>22</v>
      </c>
      <c r="O238" s="255" t="s">
        <v>23</v>
      </c>
      <c r="P238" s="254" t="s">
        <v>22</v>
      </c>
      <c r="Q238" s="255" t="s">
        <v>23</v>
      </c>
      <c r="R238" s="254" t="s">
        <v>22</v>
      </c>
      <c r="S238" s="255" t="s">
        <v>23</v>
      </c>
      <c r="T238" s="254" t="s">
        <v>22</v>
      </c>
      <c r="U238" s="255" t="s">
        <v>23</v>
      </c>
      <c r="V238" s="254" t="s">
        <v>22</v>
      </c>
      <c r="W238" s="255" t="s">
        <v>23</v>
      </c>
      <c r="X238" s="254" t="s">
        <v>22</v>
      </c>
      <c r="Y238" s="255" t="s">
        <v>23</v>
      </c>
      <c r="Z238" s="254" t="s">
        <v>22</v>
      </c>
      <c r="AA238" s="255" t="s">
        <v>23</v>
      </c>
      <c r="AB238" s="254" t="s">
        <v>22</v>
      </c>
      <c r="AC238" s="255" t="s">
        <v>23</v>
      </c>
      <c r="AD238" s="254" t="s">
        <v>22</v>
      </c>
      <c r="AE238" s="255" t="s">
        <v>23</v>
      </c>
      <c r="AF238" s="256" t="s">
        <v>22</v>
      </c>
      <c r="AG238" s="255" t="s">
        <v>23</v>
      </c>
      <c r="AH238" s="178" t="s">
        <v>22</v>
      </c>
      <c r="AI238" s="257" t="s">
        <v>23</v>
      </c>
      <c r="AJ238" s="258" t="s">
        <v>22</v>
      </c>
      <c r="AK238" s="259" t="s">
        <v>23</v>
      </c>
      <c r="AL238" s="260" t="s">
        <v>22</v>
      </c>
      <c r="AM238" s="259" t="s">
        <v>23</v>
      </c>
      <c r="AN238" s="260" t="s">
        <v>22</v>
      </c>
      <c r="AO238" s="259" t="s">
        <v>23</v>
      </c>
      <c r="AP238" s="260" t="s">
        <v>22</v>
      </c>
      <c r="AQ238" s="259" t="s">
        <v>23</v>
      </c>
      <c r="AR238" s="260" t="s">
        <v>22</v>
      </c>
      <c r="AS238" s="259" t="s">
        <v>23</v>
      </c>
      <c r="AT238" s="260" t="s">
        <v>22</v>
      </c>
      <c r="AU238" s="259" t="s">
        <v>23</v>
      </c>
      <c r="AV238" s="260" t="s">
        <v>22</v>
      </c>
      <c r="AW238" s="259" t="s">
        <v>23</v>
      </c>
      <c r="AX238" s="260" t="s">
        <v>22</v>
      </c>
      <c r="AY238" s="259" t="s">
        <v>23</v>
      </c>
      <c r="AZ238" s="260" t="s">
        <v>22</v>
      </c>
      <c r="BA238" s="259" t="s">
        <v>23</v>
      </c>
      <c r="BB238" s="260" t="s">
        <v>22</v>
      </c>
      <c r="BC238" s="259" t="s">
        <v>23</v>
      </c>
      <c r="BD238" s="260" t="s">
        <v>22</v>
      </c>
      <c r="BE238" s="259" t="s">
        <v>23</v>
      </c>
      <c r="BF238" s="271" t="s">
        <v>257</v>
      </c>
      <c r="BG238" s="266" t="s">
        <v>172</v>
      </c>
      <c r="BH238" s="682" t="s">
        <v>261</v>
      </c>
      <c r="BI238" s="266" t="s">
        <v>259</v>
      </c>
      <c r="BJ238" s="266" t="s">
        <v>173</v>
      </c>
      <c r="BK238" s="682" t="s">
        <v>262</v>
      </c>
      <c r="BL238" s="260" t="s">
        <v>257</v>
      </c>
      <c r="BM238" s="258" t="s">
        <v>172</v>
      </c>
      <c r="BN238" s="694" t="s">
        <v>261</v>
      </c>
      <c r="BO238" s="258" t="s">
        <v>259</v>
      </c>
      <c r="BP238" s="258" t="s">
        <v>173</v>
      </c>
      <c r="BQ238" s="695" t="s">
        <v>262</v>
      </c>
      <c r="BR238" s="260" t="s">
        <v>257</v>
      </c>
      <c r="BS238" s="258" t="s">
        <v>172</v>
      </c>
      <c r="BT238" s="694" t="s">
        <v>261</v>
      </c>
      <c r="BU238" s="258" t="s">
        <v>259</v>
      </c>
      <c r="BV238" s="258" t="s">
        <v>173</v>
      </c>
      <c r="BW238" s="695" t="s">
        <v>262</v>
      </c>
      <c r="BX238" s="260" t="s">
        <v>257</v>
      </c>
      <c r="BY238" s="258" t="s">
        <v>172</v>
      </c>
      <c r="BZ238" s="694" t="s">
        <v>261</v>
      </c>
      <c r="CA238" s="258" t="s">
        <v>259</v>
      </c>
      <c r="CB238" s="258" t="s">
        <v>173</v>
      </c>
      <c r="CC238" s="695" t="s">
        <v>262</v>
      </c>
      <c r="CD238" s="260" t="s">
        <v>257</v>
      </c>
      <c r="CE238" s="258" t="s">
        <v>172</v>
      </c>
      <c r="CF238" s="694" t="s">
        <v>261</v>
      </c>
      <c r="CG238" s="258" t="s">
        <v>259</v>
      </c>
      <c r="CH238" s="258" t="s">
        <v>173</v>
      </c>
      <c r="CI238" s="695" t="s">
        <v>262</v>
      </c>
      <c r="CJ238" s="260" t="s">
        <v>257</v>
      </c>
      <c r="CK238" s="258" t="s">
        <v>172</v>
      </c>
      <c r="CL238" s="694" t="s">
        <v>261</v>
      </c>
      <c r="CM238" s="258" t="s">
        <v>259</v>
      </c>
      <c r="CN238" s="258" t="s">
        <v>173</v>
      </c>
      <c r="CO238" s="695" t="s">
        <v>262</v>
      </c>
      <c r="CP238" s="260" t="s">
        <v>257</v>
      </c>
      <c r="CQ238" s="258" t="s">
        <v>172</v>
      </c>
      <c r="CR238" s="694" t="s">
        <v>261</v>
      </c>
      <c r="CS238" s="258" t="s">
        <v>259</v>
      </c>
      <c r="CT238" s="258" t="s">
        <v>173</v>
      </c>
      <c r="CU238" s="695" t="s">
        <v>262</v>
      </c>
      <c r="CV238" s="260" t="s">
        <v>257</v>
      </c>
      <c r="CW238" s="258" t="s">
        <v>172</v>
      </c>
      <c r="CX238" s="694" t="s">
        <v>261</v>
      </c>
      <c r="CY238" s="258" t="s">
        <v>259</v>
      </c>
      <c r="CZ238" s="258" t="s">
        <v>173</v>
      </c>
      <c r="DA238" s="695" t="s">
        <v>262</v>
      </c>
      <c r="DB238" s="260" t="s">
        <v>257</v>
      </c>
      <c r="DC238" s="258" t="s">
        <v>172</v>
      </c>
      <c r="DD238" s="694" t="s">
        <v>261</v>
      </c>
      <c r="DE238" s="258" t="s">
        <v>259</v>
      </c>
      <c r="DF238" s="258" t="s">
        <v>173</v>
      </c>
      <c r="DG238" s="695" t="s">
        <v>262</v>
      </c>
      <c r="DH238" s="260" t="s">
        <v>257</v>
      </c>
      <c r="DI238" s="258" t="s">
        <v>172</v>
      </c>
      <c r="DJ238" s="694" t="s">
        <v>261</v>
      </c>
      <c r="DK238" s="258" t="s">
        <v>259</v>
      </c>
      <c r="DL238" s="258" t="s">
        <v>173</v>
      </c>
      <c r="DM238" s="695" t="s">
        <v>262</v>
      </c>
      <c r="DN238" s="260" t="s">
        <v>257</v>
      </c>
      <c r="DO238" s="258" t="s">
        <v>172</v>
      </c>
      <c r="DP238" s="694" t="s">
        <v>261</v>
      </c>
      <c r="DQ238" s="258" t="s">
        <v>259</v>
      </c>
      <c r="DR238" s="258" t="s">
        <v>173</v>
      </c>
      <c r="DS238" s="695" t="s">
        <v>262</v>
      </c>
      <c r="DT238" s="260" t="s">
        <v>257</v>
      </c>
      <c r="DU238" s="258" t="s">
        <v>172</v>
      </c>
      <c r="DV238" s="694" t="s">
        <v>261</v>
      </c>
      <c r="DW238" s="258" t="s">
        <v>259</v>
      </c>
      <c r="DX238" s="258" t="s">
        <v>173</v>
      </c>
      <c r="DY238" s="695" t="s">
        <v>262</v>
      </c>
      <c r="DZ238" s="260" t="s">
        <v>257</v>
      </c>
      <c r="EA238" s="258" t="s">
        <v>172</v>
      </c>
      <c r="EB238" s="694" t="s">
        <v>261</v>
      </c>
      <c r="EC238" s="258" t="s">
        <v>259</v>
      </c>
      <c r="ED238" s="258" t="s">
        <v>173</v>
      </c>
      <c r="EE238" s="695" t="s">
        <v>262</v>
      </c>
      <c r="EF238" s="224" t="str">
        <f t="shared" ref="EF238:EF269" si="266">A238</f>
        <v>MW</v>
      </c>
      <c r="EG238" s="224"/>
      <c r="EH238" s="620" t="s">
        <v>87</v>
      </c>
      <c r="EI238" s="621" t="s">
        <v>22</v>
      </c>
      <c r="EJ238" s="621" t="s">
        <v>23</v>
      </c>
      <c r="EK238" s="620" t="s">
        <v>87</v>
      </c>
      <c r="EL238" s="621" t="s">
        <v>22</v>
      </c>
      <c r="EM238" s="621" t="s">
        <v>23</v>
      </c>
      <c r="EN238" s="620" t="s">
        <v>87</v>
      </c>
      <c r="EO238" s="621" t="s">
        <v>22</v>
      </c>
      <c r="EP238" s="621" t="s">
        <v>23</v>
      </c>
      <c r="EQ238" s="580"/>
      <c r="ER238" s="519" t="s">
        <v>111</v>
      </c>
      <c r="ES238" s="519" t="s">
        <v>107</v>
      </c>
      <c r="ET238" s="519" t="s">
        <v>108</v>
      </c>
      <c r="EU238" s="519" t="s">
        <v>22</v>
      </c>
      <c r="EV238" s="519" t="s">
        <v>23</v>
      </c>
      <c r="EW238" s="580"/>
      <c r="EX238" s="580"/>
      <c r="EY238" s="580"/>
      <c r="EZ238" s="580"/>
      <c r="FA238" s="580"/>
      <c r="FB238" s="580"/>
      <c r="FC238" s="580"/>
      <c r="FD238" s="580"/>
      <c r="FE238" s="580"/>
      <c r="FF238" s="580"/>
      <c r="FG238" s="580"/>
      <c r="FH238" s="580"/>
    </row>
    <row r="239" spans="1:165" x14ac:dyDescent="0.2">
      <c r="A239" s="180">
        <v>1</v>
      </c>
      <c r="B239" s="261">
        <f>B180*B122</f>
        <v>0</v>
      </c>
      <c r="C239" s="262">
        <f>B180*C122</f>
        <v>0</v>
      </c>
      <c r="D239" s="261">
        <f>D180*D122</f>
        <v>0</v>
      </c>
      <c r="E239" s="262">
        <f>D180*E122</f>
        <v>0</v>
      </c>
      <c r="F239" s="263">
        <f>F180*F122</f>
        <v>96.354838709677409</v>
      </c>
      <c r="G239" s="263">
        <f>F180*G122</f>
        <v>6.6451612903225801</v>
      </c>
      <c r="H239" s="261">
        <f>H180*H122</f>
        <v>0</v>
      </c>
      <c r="I239" s="262">
        <f>H180*I122</f>
        <v>0</v>
      </c>
      <c r="J239" s="185">
        <f t="shared" ref="J239:J246" si="267">J180*J122</f>
        <v>0</v>
      </c>
      <c r="K239" s="185">
        <f t="shared" ref="K239:K246" si="268">J180*K122</f>
        <v>0</v>
      </c>
      <c r="L239" s="264">
        <f t="shared" ref="L239:L245" si="269">L180*L122</f>
        <v>145.80000000000001</v>
      </c>
      <c r="M239" s="265">
        <f t="shared" ref="M239:M245" si="270">L180*M122</f>
        <v>34.200000000000003</v>
      </c>
      <c r="N239" s="263">
        <f t="shared" ref="N239:N244" si="271">N180*N122</f>
        <v>271.64634146341467</v>
      </c>
      <c r="O239" s="263">
        <f t="shared" ref="O239:O244" si="272">N180*O122</f>
        <v>25.353658536585368</v>
      </c>
      <c r="P239" s="261">
        <f>P180*P122</f>
        <v>0</v>
      </c>
      <c r="Q239" s="262">
        <f>P180*Q122</f>
        <v>0</v>
      </c>
      <c r="R239" s="263">
        <f>R180*R122</f>
        <v>328.1142857142857</v>
      </c>
      <c r="S239" s="263">
        <f>R180*S122</f>
        <v>19.885714285714286</v>
      </c>
      <c r="T239" s="261">
        <f>T180*T122</f>
        <v>0</v>
      </c>
      <c r="U239" s="262">
        <f>T180*U122</f>
        <v>0</v>
      </c>
      <c r="V239" s="185">
        <f>V180*V122</f>
        <v>0</v>
      </c>
      <c r="W239" s="185">
        <f>V180*W122</f>
        <v>0</v>
      </c>
      <c r="X239" s="264">
        <f t="shared" ref="X239:X246" si="273">X180*X122</f>
        <v>206.2222222222222</v>
      </c>
      <c r="Y239" s="265">
        <f t="shared" ref="Y239:Y246" si="274">X180*Y122</f>
        <v>25.777777777777775</v>
      </c>
      <c r="Z239" s="263">
        <f t="shared" ref="Z239:Z245" si="275">Z180*Z122</f>
        <v>216.71428571428572</v>
      </c>
      <c r="AA239" s="263">
        <f t="shared" ref="AA239:AA245" si="276">Z180*AA122</f>
        <v>5.2857142857142856</v>
      </c>
      <c r="AB239" s="261">
        <f>AB180*AB122</f>
        <v>0</v>
      </c>
      <c r="AC239" s="262">
        <f>AB180*AC122</f>
        <v>0</v>
      </c>
      <c r="AD239" s="185">
        <f>AD180*AD122</f>
        <v>0</v>
      </c>
      <c r="AE239" s="262">
        <f>AD180*AE122</f>
        <v>0</v>
      </c>
      <c r="AF239" s="266">
        <f>AF180*AF122</f>
        <v>0</v>
      </c>
      <c r="AG239" s="267">
        <f>AF180*AG122</f>
        <v>0</v>
      </c>
      <c r="AH239" s="224">
        <f>AH180*AH122</f>
        <v>0</v>
      </c>
      <c r="AI239" s="257">
        <f>AH180*AI122</f>
        <v>0</v>
      </c>
      <c r="AJ239" s="268">
        <f>AJ180*AJ123</f>
        <v>0</v>
      </c>
      <c r="AK239" s="269">
        <f>AJ180*AK123</f>
        <v>23</v>
      </c>
      <c r="AL239" s="185">
        <f>AL180*AL122</f>
        <v>0</v>
      </c>
      <c r="AM239" s="185">
        <f>AL180*AM122</f>
        <v>0</v>
      </c>
      <c r="AN239" s="261">
        <f>AN180*AN122</f>
        <v>0</v>
      </c>
      <c r="AO239" s="262">
        <f>AN180*AO122</f>
        <v>0</v>
      </c>
      <c r="AP239" s="185">
        <f>AP180*AP122</f>
        <v>0</v>
      </c>
      <c r="AQ239" s="185">
        <f>AP180*AQ122</f>
        <v>0</v>
      </c>
      <c r="AR239" s="261">
        <f>AR180*AR122</f>
        <v>0</v>
      </c>
      <c r="AS239" s="262">
        <f>AR180*AS122</f>
        <v>0</v>
      </c>
      <c r="AT239" s="263">
        <f t="shared" ref="AT239:AT253" si="277">AT180*AT122</f>
        <v>25.862068965517238</v>
      </c>
      <c r="AU239" s="263">
        <f t="shared" ref="AU239:AU253" si="278">AT180*AU122</f>
        <v>4.1379310344827589</v>
      </c>
      <c r="AV239" s="264">
        <f t="shared" ref="AV239:AV249" si="279">AV180*AV122</f>
        <v>14.166666666666666</v>
      </c>
      <c r="AW239" s="265">
        <f t="shared" ref="AW239:AW249" si="280">AV180*AW122</f>
        <v>0.83333333333333326</v>
      </c>
      <c r="AX239" s="270">
        <f>AX180*AX125</f>
        <v>0</v>
      </c>
      <c r="AY239" s="270">
        <f>AX180*AY125</f>
        <v>60</v>
      </c>
      <c r="AZ239" s="261"/>
      <c r="BA239" s="262"/>
      <c r="BB239" s="271"/>
      <c r="BC239" s="267"/>
      <c r="BD239" s="271"/>
      <c r="BE239" s="266"/>
      <c r="BF239" s="574">
        <f>BF122*$BF180+IF(SUM($BF63:$BH63)&gt;0,BH122*$BF180*(BF63/SUM($BF63:$BG63)))</f>
        <v>44</v>
      </c>
      <c r="BG239" s="666">
        <f>BG122*$BF180+IF(SUM($BF63:$BH63)&gt;0,BH122*$BF180*(BG63/SUM($BF63:$BG63)))</f>
        <v>0</v>
      </c>
      <c r="BH239" s="683">
        <f>BF239+BG239*0.0661</f>
        <v>44</v>
      </c>
      <c r="BI239" s="666">
        <f>BI122*$BF180+IF(SUM($BI63:$BK63)&gt;0,BK122*$BF180*(BI63/SUM($BI63:$BJ63)))</f>
        <v>0</v>
      </c>
      <c r="BJ239" s="666">
        <f>BJ122*$BF180+IF(SUM($BI63:$BK63)&gt;0,BK122*$BF180*(BJ63/SUM($BI63:$BJ63)))</f>
        <v>0</v>
      </c>
      <c r="BK239" s="683">
        <f>BI239+BJ239*0.0661</f>
        <v>0</v>
      </c>
      <c r="BL239" s="574">
        <f>BL122*$BL180+IF(SUM($BL63:$BN63)&gt;0, BN122*$BL180*(BL63/SUM($BL63:$BM63)),0)</f>
        <v>10.4</v>
      </c>
      <c r="BM239" s="666">
        <f>BM122*$BL180+IF(SUM($BL63:$BN63)&gt;0, BN122*$BL180*(BM63/SUM($BL63:$BM63)),0)</f>
        <v>0</v>
      </c>
      <c r="BN239" s="683">
        <f>BL239+BM239*BO$303</f>
        <v>10.4</v>
      </c>
      <c r="BO239" s="666">
        <f>BO122*$BL180+IF(SUM($BO63:$BQ63)&gt;0, BQ122*$BL180*(BO63/SUM($BO63:$BP63)))</f>
        <v>2.6</v>
      </c>
      <c r="BP239" s="666">
        <f>BP122*$BL180+IF(SUM($BO63:$BQ63)&gt;0, BQ122*$BL180*(BP63/SUM($BO63:$BP63)))</f>
        <v>0</v>
      </c>
      <c r="BQ239" s="696">
        <f>BO239+BP239*BO$303</f>
        <v>2.6</v>
      </c>
      <c r="BR239" s="574">
        <f>BR122*$BR180+IF(SUM($BR63:$BT63)&gt;0, BT122*$BR180*(BR63/SUM($BR63:$BS63)),0)</f>
        <v>6</v>
      </c>
      <c r="BS239" s="666">
        <f>BS122*$BR180+IF(SUM($BR63:$BT63)&gt;0, BT122*$BR180*(BS63/SUM($BR63:$BS63)),0)</f>
        <v>0</v>
      </c>
      <c r="BT239" s="683">
        <f>BR239+BS239*BU$303</f>
        <v>6</v>
      </c>
      <c r="BU239" s="666">
        <f>BU122*$BR180+IF(SUM($BU63:$BW63)&gt;0, BW122*$BR180*(BU63/SUM($BU63:$BV63)))</f>
        <v>3</v>
      </c>
      <c r="BV239" s="666">
        <f>BV122*$BR180+IF(SUM($BU63:$BW63)&gt;0, BW122*$BR180*(BV63/SUM($BU63:$BV63)))</f>
        <v>0</v>
      </c>
      <c r="BW239" s="696">
        <f>BU239+BV239*BU$303</f>
        <v>3</v>
      </c>
      <c r="BX239" s="817"/>
      <c r="BY239" s="818"/>
      <c r="BZ239" s="819"/>
      <c r="CA239" s="818"/>
      <c r="CB239" s="818"/>
      <c r="CC239" s="820"/>
      <c r="CD239" s="817"/>
      <c r="CE239" s="818"/>
      <c r="CF239" s="819"/>
      <c r="CG239" s="818"/>
      <c r="CH239" s="818"/>
      <c r="CI239" s="820"/>
      <c r="CJ239" s="817"/>
      <c r="CK239" s="818"/>
      <c r="CL239" s="819"/>
      <c r="CM239" s="818"/>
      <c r="CN239" s="818"/>
      <c r="CO239" s="820"/>
      <c r="CP239" s="817"/>
      <c r="CQ239" s="818"/>
      <c r="CR239" s="819"/>
      <c r="CS239" s="818"/>
      <c r="CT239" s="818"/>
      <c r="CU239" s="820"/>
      <c r="CV239" s="817"/>
      <c r="CW239" s="818"/>
      <c r="CX239" s="819"/>
      <c r="CY239" s="818"/>
      <c r="CZ239" s="818"/>
      <c r="DA239" s="820"/>
      <c r="DB239" s="1558"/>
      <c r="DC239" s="819"/>
      <c r="DD239" s="819"/>
      <c r="DE239" s="819"/>
      <c r="DF239" s="819"/>
      <c r="DG239" s="820"/>
      <c r="DH239" s="817"/>
      <c r="DI239" s="818"/>
      <c r="DJ239" s="819"/>
      <c r="DK239" s="818"/>
      <c r="DL239" s="818"/>
      <c r="DM239" s="820"/>
      <c r="DN239" s="817"/>
      <c r="DO239" s="818"/>
      <c r="DP239" s="819"/>
      <c r="DQ239" s="818"/>
      <c r="DR239" s="818"/>
      <c r="DS239" s="820"/>
      <c r="DT239" s="817"/>
      <c r="DU239" s="818"/>
      <c r="DV239" s="819"/>
      <c r="DW239" s="818"/>
      <c r="DX239" s="818"/>
      <c r="DY239" s="820"/>
      <c r="DZ239" s="817"/>
      <c r="EA239" s="818"/>
      <c r="EB239" s="819"/>
      <c r="EC239" s="818"/>
      <c r="ED239" s="818"/>
      <c r="EE239" s="820"/>
      <c r="EF239" s="196">
        <f t="shared" si="266"/>
        <v>1</v>
      </c>
      <c r="EG239" s="224"/>
      <c r="EH239" s="579">
        <f>EF239</f>
        <v>1</v>
      </c>
      <c r="EI239" s="602">
        <f t="shared" ref="EI239:EI270" si="281">AVERAGE(F239,H239,J239,L239,N239,P239,R239,T239,V239,X239,Z239,AB239,AD239,AF239,AH239,AJ239,AL239,AN239,AP239,AR239,AT239,AV239,AX239,AZ239,BB239,BD239)</f>
        <v>56.73394388939434</v>
      </c>
      <c r="EJ239" s="602">
        <f t="shared" ref="EJ239:EJ270" si="282">AVERAGE(E239,G239,I239,K239,M239,O239,Q239,S239,U239,W239,Y239,,AA239,AC239,AE239,AG239,AI239,AK239,AM239,AO239,AQ239,AS239,AU239,AW239,AY239,BA239,BC239,BE239)</f>
        <v>8.2047716217572155</v>
      </c>
      <c r="EK239" s="579">
        <f>EF239</f>
        <v>1</v>
      </c>
      <c r="EL239" s="602">
        <f t="shared" ref="EL239:EL252" si="283">AVERAGE(D239,F239,H239,J239,L239,N239,P239,R239,T239,V239,X239,Z239,AB239,AD239,AF239,AH239)</f>
        <v>79.053248363992864</v>
      </c>
      <c r="EM239" s="602">
        <f t="shared" ref="EM239:EM252" si="284">AVERAGE(E239,G239,I239,K239,M239,O239,Q239,S239,U239,W239,Y239,AA239,AC239,AE239,AG239,AI239)</f>
        <v>7.3217516360071437</v>
      </c>
      <c r="EN239" s="579">
        <f>EF239</f>
        <v>1</v>
      </c>
      <c r="EO239" s="602">
        <f t="shared" ref="EO239:EO260" si="285">AVERAGE(AJ239,AL239,AN239,AP239,AR239,AT239,AV239,AX239,AZ239,BB239,BD239)</f>
        <v>5.0035919540229878</v>
      </c>
      <c r="EP239" s="602">
        <f t="shared" ref="EP239:EP260" si="286">AVERAGE(AK239,AM239,AO239,AQ239,AS239,AU239,AW239,AY239,BA239,BC239,BE239)</f>
        <v>10.996408045977011</v>
      </c>
      <c r="EQ239" s="580"/>
      <c r="ER239" s="519" t="s">
        <v>112</v>
      </c>
      <c r="ES239" s="622"/>
      <c r="ET239" s="622"/>
      <c r="EU239" s="579"/>
      <c r="EV239" s="579"/>
      <c r="EW239" s="580"/>
      <c r="EX239" s="580"/>
      <c r="EY239" s="580"/>
      <c r="EZ239" s="580"/>
      <c r="FA239" s="580"/>
      <c r="FB239" s="580"/>
      <c r="FC239" s="580"/>
      <c r="FD239" s="580"/>
      <c r="FE239" s="580"/>
      <c r="FF239" s="580"/>
      <c r="FG239" s="580"/>
      <c r="FH239" s="580"/>
    </row>
    <row r="240" spans="1:165" x14ac:dyDescent="0.2">
      <c r="A240" s="180">
        <v>2</v>
      </c>
      <c r="B240" s="261">
        <f>B181*B123</f>
        <v>0</v>
      </c>
      <c r="C240" s="262">
        <f>B181*C123</f>
        <v>0</v>
      </c>
      <c r="D240" s="261">
        <f>D181*D123</f>
        <v>0</v>
      </c>
      <c r="E240" s="262">
        <f>D181*E123</f>
        <v>0</v>
      </c>
      <c r="F240" s="263">
        <f>F181*F123</f>
        <v>669.76</v>
      </c>
      <c r="G240" s="263">
        <f>F181*G123</f>
        <v>66.239999999999995</v>
      </c>
      <c r="H240" s="264">
        <f>H181*H123</f>
        <v>864.81564245810057</v>
      </c>
      <c r="I240" s="265">
        <f>H181*I123</f>
        <v>121.18435754189943</v>
      </c>
      <c r="J240" s="185">
        <f t="shared" si="267"/>
        <v>0</v>
      </c>
      <c r="K240" s="185">
        <f t="shared" si="268"/>
        <v>0</v>
      </c>
      <c r="L240" s="264">
        <f t="shared" si="269"/>
        <v>306.10628019323673</v>
      </c>
      <c r="M240" s="265">
        <f t="shared" si="270"/>
        <v>127.89371980676327</v>
      </c>
      <c r="N240" s="263">
        <f t="shared" si="271"/>
        <v>515.78947368421052</v>
      </c>
      <c r="O240" s="263">
        <f t="shared" si="272"/>
        <v>72.210526315789465</v>
      </c>
      <c r="P240" s="264">
        <f>P181*P123</f>
        <v>335.23333333333329</v>
      </c>
      <c r="Q240" s="265">
        <f>P181*Q123</f>
        <v>109.76666666666667</v>
      </c>
      <c r="R240" s="270">
        <f>R181*R122</f>
        <v>118.8</v>
      </c>
      <c r="S240" s="270">
        <f>R181*S122</f>
        <v>7.2</v>
      </c>
      <c r="T240" s="264">
        <f>T181*T123</f>
        <v>24.1869918699187</v>
      </c>
      <c r="U240" s="265">
        <f>T181*U123</f>
        <v>0.81300813008130091</v>
      </c>
      <c r="V240" s="185">
        <f>V181*V123</f>
        <v>0</v>
      </c>
      <c r="W240" s="185">
        <f>V181*W123</f>
        <v>0</v>
      </c>
      <c r="X240" s="264">
        <f t="shared" si="273"/>
        <v>222.85714285714283</v>
      </c>
      <c r="Y240" s="265">
        <f t="shared" si="274"/>
        <v>37.142857142857139</v>
      </c>
      <c r="Z240" s="263">
        <f t="shared" si="275"/>
        <v>141.34615384615384</v>
      </c>
      <c r="AA240" s="263">
        <f t="shared" si="276"/>
        <v>5.6538461538461542</v>
      </c>
      <c r="AB240" s="264">
        <f>AB181*AB123</f>
        <v>25.5</v>
      </c>
      <c r="AC240" s="265">
        <f>AB181*AC123</f>
        <v>4.5</v>
      </c>
      <c r="AD240" s="185">
        <f>AD181*AD123</f>
        <v>0</v>
      </c>
      <c r="AE240" s="262">
        <f>AD181*AE123</f>
        <v>0</v>
      </c>
      <c r="AF240" s="268">
        <f>AF181*Z123</f>
        <v>0.96153846153846156</v>
      </c>
      <c r="AG240" s="269">
        <f>AF181*AA123</f>
        <v>3.8461538461538464E-2</v>
      </c>
      <c r="AH240" s="268">
        <f>AH181*Z123</f>
        <v>66.346153846153854</v>
      </c>
      <c r="AI240" s="272">
        <f>AH181*AA123</f>
        <v>2.6538461538461542</v>
      </c>
      <c r="AJ240" s="273">
        <f t="shared" ref="AJ240:AJ248" si="287">AJ181*AJ123</f>
        <v>0</v>
      </c>
      <c r="AK240" s="265">
        <f t="shared" ref="AK240:AK248" si="288">AJ181*AK123</f>
        <v>13</v>
      </c>
      <c r="AL240" s="263">
        <f>AL181*AL123</f>
        <v>0</v>
      </c>
      <c r="AM240" s="263">
        <f>AL181*AM123</f>
        <v>4</v>
      </c>
      <c r="AN240" s="274">
        <f>AN181*AR123</f>
        <v>2.7857142857142856</v>
      </c>
      <c r="AO240" s="269">
        <f>AN181*AS123</f>
        <v>0.21428571428571427</v>
      </c>
      <c r="AP240" s="270">
        <f>AP181*AP124</f>
        <v>0</v>
      </c>
      <c r="AQ240" s="270">
        <f>AP181*AQ124</f>
        <v>47</v>
      </c>
      <c r="AR240" s="264">
        <f>AR181*AR123</f>
        <v>121.64285714285715</v>
      </c>
      <c r="AS240" s="265">
        <f>AR181*AS123</f>
        <v>9.3571428571428559</v>
      </c>
      <c r="AT240" s="185">
        <f t="shared" si="277"/>
        <v>0</v>
      </c>
      <c r="AU240" s="185">
        <f t="shared" si="278"/>
        <v>0</v>
      </c>
      <c r="AV240" s="264">
        <f t="shared" si="279"/>
        <v>175</v>
      </c>
      <c r="AW240" s="265">
        <f t="shared" si="280"/>
        <v>35</v>
      </c>
      <c r="AX240" s="270">
        <f>AX181*AX125</f>
        <v>0</v>
      </c>
      <c r="AY240" s="270">
        <f>AX181*AY125</f>
        <v>29</v>
      </c>
      <c r="AZ240" s="264">
        <f t="shared" ref="AZ240:AZ254" si="289">AZ181*AZ123</f>
        <v>0</v>
      </c>
      <c r="BA240" s="265">
        <f t="shared" ref="BA240:BA254" si="290">AZ181*BA123</f>
        <v>3</v>
      </c>
      <c r="BB240" s="264">
        <f t="shared" ref="BB240:BB244" si="291">BB181*BB123</f>
        <v>29.230769230769234</v>
      </c>
      <c r="BC240" s="265">
        <f t="shared" ref="BC240:BC245" si="292">BB181*BC123</f>
        <v>8.7692307692307701</v>
      </c>
      <c r="BD240" s="274">
        <f>BD181*BB123</f>
        <v>1.5384615384615385</v>
      </c>
      <c r="BE240" s="268">
        <f>BD181*BC123</f>
        <v>0.46153846153846156</v>
      </c>
      <c r="BF240" s="573">
        <f>BF122*$BF181+IF(SUM($BF63:$BH63)&gt;0,BH122*$BF181*(BF63/SUM($BF63:$BG63)))</f>
        <v>14</v>
      </c>
      <c r="BG240" s="667">
        <f>BG122*$BF181+IF(SUM($BF63:$BH63)&gt;0,BH122*$BF181*(BG63/SUM($BF63:$BG63)))</f>
        <v>0</v>
      </c>
      <c r="BH240" s="684">
        <f>BF240+BG240*0.0661</f>
        <v>14</v>
      </c>
      <c r="BI240" s="667">
        <f>BI122*$BF181+IF(SUM($BI63:$BK63)&gt;0,BK122*$BF181*(BI63/SUM($BI63:$BJ63)))</f>
        <v>0</v>
      </c>
      <c r="BJ240" s="667">
        <f>BJ122*$BF181+IF(SUM($BI63:$BK63)&gt;0,BK122*$BF181*(BJ63/SUM($BI63:$BJ63)))</f>
        <v>0</v>
      </c>
      <c r="BK240" s="684">
        <f>BI240+BJ240*0.0661</f>
        <v>0</v>
      </c>
      <c r="BL240" s="576">
        <f>BL123*$BL181+IF(SUM($BL64:$BN64)&gt;0, BN123*$BL181*(BL64/SUM($BL64:$BM64)),0)</f>
        <v>13.76470588235294</v>
      </c>
      <c r="BM240" s="670">
        <f>BM123*$BL181+IF(SUM($BL64:$BN64)&gt;0, BN123*$BL181*(BM64/SUM($BL64:$BM64)),0)</f>
        <v>1.0588235294117647</v>
      </c>
      <c r="BN240" s="687">
        <f t="shared" ref="BN240:BN241" si="293">BL240+BM240*BO$303</f>
        <v>13.856294117647058</v>
      </c>
      <c r="BO240" s="670">
        <f>BO123*$BL181+IF(SUM($BO64:$BQ64)&gt;0, BQ123*$BL181*(BO64/SUM($BO64:$BP64)))</f>
        <v>3.1764705882352944</v>
      </c>
      <c r="BP240" s="670">
        <f>BP123*$BL181+IF(SUM($BO64:$BQ64)&gt;0, BQ123*$BL181*(BP64/SUM($BO64:$BP64)))</f>
        <v>0</v>
      </c>
      <c r="BQ240" s="697">
        <f t="shared" ref="BQ240:BQ241" si="294">BO240+BP240*BO$303</f>
        <v>3.1764705882352944</v>
      </c>
      <c r="BR240" s="274">
        <f>BR122*$BR181+IF(SUM($BR63:$BT63)&gt;0, BT122*$BR181*(BR63/SUM($BR63:$BS63)),0)</f>
        <v>1.3333333333333333</v>
      </c>
      <c r="BS240" s="268">
        <f>BS122*$BR181+IF(SUM($BR63:$BT63)&gt;0, BT122*$BR181*(BS63/SUM($BR63:$BS63)),0)</f>
        <v>0</v>
      </c>
      <c r="BT240" s="940">
        <f>BR240+BS240*BU$303</f>
        <v>1.3333333333333333</v>
      </c>
      <c r="BU240" s="268">
        <f>BU122*$BR181+IF(SUM($BU63:$BW63)&gt;0, BW122*$BR181*(BU63/SUM($BU63:$BV63)))</f>
        <v>0.66666666666666663</v>
      </c>
      <c r="BV240" s="268">
        <f>BV122*$BR181+IF(SUM($BU63:$BW63)&gt;0, BW122*$BR181*(BV63/SUM($BU63:$BV63)))</f>
        <v>0</v>
      </c>
      <c r="BW240" s="944">
        <f>BU240+BV240*BU$303</f>
        <v>0.66666666666666663</v>
      </c>
      <c r="BX240" s="625"/>
      <c r="BY240" s="672"/>
      <c r="BZ240" s="689"/>
      <c r="CA240" s="672"/>
      <c r="CB240" s="672"/>
      <c r="CC240" s="821"/>
      <c r="CD240" s="625"/>
      <c r="CE240" s="672"/>
      <c r="CF240" s="689"/>
      <c r="CG240" s="672"/>
      <c r="CH240" s="672"/>
      <c r="CI240" s="821"/>
      <c r="CJ240" s="625"/>
      <c r="CK240" s="672"/>
      <c r="CL240" s="689"/>
      <c r="CM240" s="672"/>
      <c r="CN240" s="672"/>
      <c r="CO240" s="821"/>
      <c r="CP240" s="625"/>
      <c r="CQ240" s="672"/>
      <c r="CR240" s="689"/>
      <c r="CS240" s="672"/>
      <c r="CT240" s="672"/>
      <c r="CU240" s="821"/>
      <c r="CV240" s="625"/>
      <c r="CW240" s="672"/>
      <c r="CX240" s="689"/>
      <c r="CY240" s="672"/>
      <c r="CZ240" s="672"/>
      <c r="DA240" s="821"/>
      <c r="DB240" s="1559"/>
      <c r="DC240" s="689"/>
      <c r="DD240" s="689"/>
      <c r="DE240" s="689"/>
      <c r="DF240" s="689"/>
      <c r="DG240" s="821"/>
      <c r="DH240" s="625"/>
      <c r="DI240" s="672"/>
      <c r="DJ240" s="689"/>
      <c r="DK240" s="672"/>
      <c r="DL240" s="672"/>
      <c r="DM240" s="821"/>
      <c r="DN240" s="625"/>
      <c r="DO240" s="672"/>
      <c r="DP240" s="689"/>
      <c r="DQ240" s="672"/>
      <c r="DR240" s="672"/>
      <c r="DS240" s="821"/>
      <c r="DT240" s="625"/>
      <c r="DU240" s="672"/>
      <c r="DV240" s="689"/>
      <c r="DW240" s="672"/>
      <c r="DX240" s="672"/>
      <c r="DY240" s="821"/>
      <c r="DZ240" s="625"/>
      <c r="EA240" s="672"/>
      <c r="EB240" s="689"/>
      <c r="EC240" s="672"/>
      <c r="ED240" s="672"/>
      <c r="EE240" s="821"/>
      <c r="EF240" s="196">
        <f t="shared" si="266"/>
        <v>2</v>
      </c>
      <c r="EG240" s="224"/>
      <c r="EH240" s="579">
        <f t="shared" ref="EH240:EH291" si="295">EF240</f>
        <v>2</v>
      </c>
      <c r="EI240" s="602">
        <f t="shared" si="281"/>
        <v>139.30386587490733</v>
      </c>
      <c r="EJ240" s="602">
        <f t="shared" si="282"/>
        <v>25.18212454472889</v>
      </c>
      <c r="EK240" s="579">
        <f t="shared" ref="EK240:EK291" si="296">EF240</f>
        <v>2</v>
      </c>
      <c r="EL240" s="602">
        <f t="shared" si="283"/>
        <v>205.73141940936176</v>
      </c>
      <c r="EM240" s="602">
        <f t="shared" si="284"/>
        <v>34.706080590638201</v>
      </c>
      <c r="EN240" s="579">
        <f t="shared" ref="EN240:EN291" si="297">EF240</f>
        <v>2</v>
      </c>
      <c r="EO240" s="602">
        <f t="shared" si="285"/>
        <v>30.017982017982021</v>
      </c>
      <c r="EP240" s="602">
        <f t="shared" si="286"/>
        <v>13.618381618381619</v>
      </c>
      <c r="EQ240" s="580"/>
      <c r="ER240" s="519" t="s">
        <v>113</v>
      </c>
      <c r="ES240" s="622">
        <f>F296</f>
        <v>275</v>
      </c>
      <c r="ET240" s="622">
        <f>F298</f>
        <v>4518.4851634715251</v>
      </c>
      <c r="EU240" s="579">
        <f>SUM(ES240:ET240)</f>
        <v>4793.4851634715251</v>
      </c>
      <c r="EV240" s="579">
        <f>G300</f>
        <v>540.51483652847469</v>
      </c>
      <c r="EW240" s="580"/>
      <c r="EX240" s="580"/>
      <c r="EY240" s="580"/>
      <c r="EZ240" s="580"/>
      <c r="FA240" s="580"/>
      <c r="FB240" s="580"/>
      <c r="FC240" s="580"/>
      <c r="FD240" s="580"/>
      <c r="FE240" s="580"/>
      <c r="FF240" s="580"/>
      <c r="FG240" s="580"/>
      <c r="FH240" s="580"/>
    </row>
    <row r="241" spans="1:164" x14ac:dyDescent="0.2">
      <c r="A241" s="180">
        <v>3</v>
      </c>
      <c r="B241" s="261"/>
      <c r="C241" s="262"/>
      <c r="D241" s="261"/>
      <c r="E241" s="262"/>
      <c r="F241" s="263">
        <f>F182*F124</f>
        <v>757.38</v>
      </c>
      <c r="G241" s="263">
        <f>F182*G124</f>
        <v>213.62</v>
      </c>
      <c r="H241" s="264">
        <f>H182*H124</f>
        <v>441.46666666666664</v>
      </c>
      <c r="I241" s="265">
        <f>H182*I124</f>
        <v>160.53333333333333</v>
      </c>
      <c r="J241" s="263">
        <f t="shared" si="267"/>
        <v>755.64824120603009</v>
      </c>
      <c r="K241" s="263">
        <f t="shared" si="268"/>
        <v>178.35175879396985</v>
      </c>
      <c r="L241" s="264">
        <f t="shared" si="269"/>
        <v>269.37209302325584</v>
      </c>
      <c r="M241" s="265">
        <f t="shared" si="270"/>
        <v>198.62790697674419</v>
      </c>
      <c r="N241" s="263">
        <f t="shared" si="271"/>
        <v>591.30731707317068</v>
      </c>
      <c r="O241" s="263">
        <f t="shared" si="272"/>
        <v>89.692682926829278</v>
      </c>
      <c r="P241" s="264">
        <f>P182*P124</f>
        <v>90.707865168539328</v>
      </c>
      <c r="Q241" s="265">
        <f>P182*Q124</f>
        <v>26.292134831460672</v>
      </c>
      <c r="R241" s="263">
        <f>R182*R124</f>
        <v>652.625</v>
      </c>
      <c r="S241" s="263">
        <f>R182*S124</f>
        <v>28.375</v>
      </c>
      <c r="T241" s="264">
        <f>T182*T124</f>
        <v>0</v>
      </c>
      <c r="U241" s="265">
        <f>T182*U124</f>
        <v>0</v>
      </c>
      <c r="V241" s="270">
        <f>V182*V126</f>
        <v>0.81818181818181823</v>
      </c>
      <c r="W241" s="270">
        <f>V182*W126</f>
        <v>0.18181818181818182</v>
      </c>
      <c r="X241" s="264">
        <f t="shared" si="273"/>
        <v>38.571428571428569</v>
      </c>
      <c r="Y241" s="265">
        <f t="shared" si="274"/>
        <v>51.428571428571423</v>
      </c>
      <c r="Z241" s="263">
        <f t="shared" si="275"/>
        <v>66</v>
      </c>
      <c r="AA241" s="263">
        <f t="shared" si="276"/>
        <v>0</v>
      </c>
      <c r="AB241" s="274">
        <f>AB182*AB123</f>
        <v>7.6499999999999995</v>
      </c>
      <c r="AC241" s="269">
        <f>AB182*AC123</f>
        <v>1.3499999999999999</v>
      </c>
      <c r="AD241" s="185">
        <f>AD182*AD124</f>
        <v>0</v>
      </c>
      <c r="AE241" s="262">
        <f>AD182*AE124</f>
        <v>0</v>
      </c>
      <c r="AF241" s="224">
        <f>AF182*AF124</f>
        <v>0</v>
      </c>
      <c r="AG241" s="262">
        <f>AF182*AG124</f>
        <v>0</v>
      </c>
      <c r="AH241" s="268">
        <f>AH182*Z124</f>
        <v>12</v>
      </c>
      <c r="AI241" s="272">
        <f>AH182*AA124</f>
        <v>0</v>
      </c>
      <c r="AJ241" s="224">
        <f t="shared" si="287"/>
        <v>0</v>
      </c>
      <c r="AK241" s="262">
        <f t="shared" si="288"/>
        <v>0</v>
      </c>
      <c r="AL241" s="270">
        <f>AL182*AL123</f>
        <v>0</v>
      </c>
      <c r="AM241" s="270">
        <f>AL182*AM123</f>
        <v>25</v>
      </c>
      <c r="AN241" s="274">
        <f>AN182*AR124</f>
        <v>1.6666666666666667</v>
      </c>
      <c r="AO241" s="269">
        <f>AN182*AS124</f>
        <v>0.33333333333333331</v>
      </c>
      <c r="AP241" s="263">
        <f t="shared" ref="AP241:AP246" si="298">AP182*AP124</f>
        <v>0</v>
      </c>
      <c r="AQ241" s="263">
        <f t="shared" ref="AQ241:AQ246" si="299">AP182*AQ124</f>
        <v>48</v>
      </c>
      <c r="AR241" s="264">
        <f>AR182*AR124</f>
        <v>39.166666666666671</v>
      </c>
      <c r="AS241" s="265">
        <f>AR182*AS124</f>
        <v>7.833333333333333</v>
      </c>
      <c r="AT241" s="263">
        <f t="shared" si="277"/>
        <v>2</v>
      </c>
      <c r="AU241" s="263">
        <f t="shared" si="278"/>
        <v>0</v>
      </c>
      <c r="AV241" s="264">
        <f t="shared" si="279"/>
        <v>223.5</v>
      </c>
      <c r="AW241" s="265">
        <f t="shared" si="280"/>
        <v>74.5</v>
      </c>
      <c r="AX241" s="270">
        <f>AX182*AX125</f>
        <v>0</v>
      </c>
      <c r="AY241" s="270">
        <f>AX182*AY125</f>
        <v>19</v>
      </c>
      <c r="AZ241" s="261"/>
      <c r="BA241" s="262"/>
      <c r="BB241" s="264">
        <f t="shared" si="291"/>
        <v>12</v>
      </c>
      <c r="BC241" s="265">
        <f t="shared" si="292"/>
        <v>4</v>
      </c>
      <c r="BD241" s="261"/>
      <c r="BE241" s="224"/>
      <c r="BF241" s="566"/>
      <c r="BG241" s="668"/>
      <c r="BH241" s="685"/>
      <c r="BI241" s="668"/>
      <c r="BJ241" s="668"/>
      <c r="BK241" s="685"/>
      <c r="BL241" s="576">
        <f>BL124*$BL182+IF(SUM($BL65:$BN65)&gt;0, BN124*$BL182*(BL65/SUM($BL65:$BM65)),0)</f>
        <v>33.758620689655167</v>
      </c>
      <c r="BM241" s="670">
        <f>BM124*$BL182+IF(SUM($BL65:$BN65)&gt;0, BN124*$BL182*(BM65/SUM($BL65:$BM65)),0)</f>
        <v>2.0459770114942528</v>
      </c>
      <c r="BN241" s="687">
        <f t="shared" si="293"/>
        <v>33.935597701149419</v>
      </c>
      <c r="BO241" s="670">
        <f>BO124*$BL182+IF(SUM($BO65:$BQ65)&gt;0, BQ124*$BL182*(BO65/SUM($BO65:$BP65)))</f>
        <v>53.195402298850581</v>
      </c>
      <c r="BP241" s="670">
        <f>BP124*$BL182+IF(SUM($BO65:$BQ65)&gt;0, BQ124*$BL182*(BP65/SUM($BO65:$BP65)))</f>
        <v>0</v>
      </c>
      <c r="BQ241" s="697">
        <f t="shared" si="294"/>
        <v>53.195402298850581</v>
      </c>
      <c r="BR241" s="261"/>
      <c r="BS241" s="224"/>
      <c r="BT241" s="686"/>
      <c r="BU241" s="224"/>
      <c r="BV241" s="224"/>
      <c r="BW241" s="701"/>
      <c r="BX241" s="576">
        <f>BX124*$BX182+IF(SUM($BX65:$BZ65)&gt;0, BZ124*$BX182*(BX65/SUM($BX65:$BY65)),0)</f>
        <v>18</v>
      </c>
      <c r="BY241" s="670">
        <f>BY124*$BX182+IF(SUM($BX65:$BZ65)&gt;0, BZ124*$BX182*(BY65/SUM($BX65:$BY65)),0)</f>
        <v>4</v>
      </c>
      <c r="BZ241" s="687">
        <f>BX241+BY241*CA$303</f>
        <v>18.347200000000001</v>
      </c>
      <c r="CA241" s="670">
        <f>CA124*$BX182+IF(SUM($CA65:$CC65)&gt;0, CC124*$BX182*(CA65/SUM($CA65:$CB65)))</f>
        <v>14</v>
      </c>
      <c r="CB241" s="670">
        <f>CB124*$BX182+IF(SUM($CA65:$CC65)&gt;0, CC124*$BX182*(CB65/SUM($CA65:$CB65)))</f>
        <v>0</v>
      </c>
      <c r="CC241" s="697">
        <f>CA241+CB241*CA$303</f>
        <v>14</v>
      </c>
      <c r="CD241" s="625"/>
      <c r="CE241" s="672"/>
      <c r="CF241" s="689"/>
      <c r="CG241" s="672"/>
      <c r="CH241" s="672"/>
      <c r="CI241" s="821"/>
      <c r="CJ241" s="625"/>
      <c r="CK241" s="672"/>
      <c r="CL241" s="689"/>
      <c r="CM241" s="672"/>
      <c r="CN241" s="672"/>
      <c r="CO241" s="821"/>
      <c r="CP241" s="625"/>
      <c r="CQ241" s="672"/>
      <c r="CR241" s="689"/>
      <c r="CS241" s="672"/>
      <c r="CT241" s="672"/>
      <c r="CU241" s="821"/>
      <c r="CV241" s="625"/>
      <c r="CW241" s="672"/>
      <c r="CX241" s="689"/>
      <c r="CY241" s="672"/>
      <c r="CZ241" s="672"/>
      <c r="DA241" s="821"/>
      <c r="DB241" s="1559"/>
      <c r="DC241" s="689"/>
      <c r="DD241" s="689"/>
      <c r="DE241" s="689"/>
      <c r="DF241" s="689"/>
      <c r="DG241" s="821"/>
      <c r="DH241" s="625"/>
      <c r="DI241" s="672"/>
      <c r="DJ241" s="689"/>
      <c r="DK241" s="672"/>
      <c r="DL241" s="672"/>
      <c r="DM241" s="821"/>
      <c r="DN241" s="625"/>
      <c r="DO241" s="672"/>
      <c r="DP241" s="689"/>
      <c r="DQ241" s="672"/>
      <c r="DR241" s="672"/>
      <c r="DS241" s="821"/>
      <c r="DT241" s="625"/>
      <c r="DU241" s="672"/>
      <c r="DV241" s="689"/>
      <c r="DW241" s="672"/>
      <c r="DX241" s="672"/>
      <c r="DY241" s="821"/>
      <c r="DZ241" s="625"/>
      <c r="EA241" s="672"/>
      <c r="EB241" s="689"/>
      <c r="EC241" s="672"/>
      <c r="ED241" s="672"/>
      <c r="EE241" s="821"/>
      <c r="EF241" s="196">
        <f t="shared" si="266"/>
        <v>3</v>
      </c>
      <c r="EG241" s="224"/>
      <c r="EH241" s="579">
        <f t="shared" si="295"/>
        <v>3</v>
      </c>
      <c r="EI241" s="602">
        <f t="shared" si="281"/>
        <v>165.0783386191919</v>
      </c>
      <c r="EJ241" s="602">
        <f t="shared" si="282"/>
        <v>45.084794925575743</v>
      </c>
      <c r="EK241" s="579">
        <f t="shared" si="296"/>
        <v>3</v>
      </c>
      <c r="EL241" s="602">
        <f t="shared" si="283"/>
        <v>245.56978623515153</v>
      </c>
      <c r="EM241" s="602">
        <f t="shared" si="284"/>
        <v>63.230213764848465</v>
      </c>
      <c r="EN241" s="579">
        <f t="shared" si="297"/>
        <v>3</v>
      </c>
      <c r="EO241" s="602">
        <f t="shared" si="285"/>
        <v>30.925925925925924</v>
      </c>
      <c r="EP241" s="602">
        <f t="shared" si="286"/>
        <v>19.851851851851851</v>
      </c>
      <c r="EQ241" s="580"/>
      <c r="ER241" s="519" t="s">
        <v>114</v>
      </c>
      <c r="ES241" s="622">
        <f>H296</f>
        <v>283.8</v>
      </c>
      <c r="ET241" s="622">
        <f>H298</f>
        <v>3481.8230707870216</v>
      </c>
      <c r="EU241" s="579">
        <f t="shared" ref="EU241:EU266" si="300">SUM(ES241:ET241)</f>
        <v>3765.6230707870218</v>
      </c>
      <c r="EV241" s="579">
        <f>I300</f>
        <v>673.37692921297844</v>
      </c>
      <c r="EW241" s="580"/>
      <c r="EX241" s="580"/>
      <c r="EY241" s="580"/>
      <c r="EZ241" s="580"/>
      <c r="FA241" s="580"/>
      <c r="FB241" s="580"/>
      <c r="FC241" s="580"/>
      <c r="FD241" s="580"/>
      <c r="FE241" s="580"/>
      <c r="FF241" s="580"/>
      <c r="FG241" s="580"/>
      <c r="FH241" s="580"/>
    </row>
    <row r="242" spans="1:164" x14ac:dyDescent="0.2">
      <c r="A242" s="180">
        <v>4</v>
      </c>
      <c r="B242" s="261"/>
      <c r="C242" s="262"/>
      <c r="D242" s="261"/>
      <c r="E242" s="262"/>
      <c r="F242" s="263">
        <f>F183*F125</f>
        <v>182.25</v>
      </c>
      <c r="G242" s="263">
        <f>F183*G125</f>
        <v>87.75</v>
      </c>
      <c r="H242" s="264">
        <f>H183*H125</f>
        <v>184.65573770491804</v>
      </c>
      <c r="I242" s="265">
        <f>H183*I125</f>
        <v>71.344262295081961</v>
      </c>
      <c r="J242" s="263">
        <f t="shared" si="267"/>
        <v>394.71356783919595</v>
      </c>
      <c r="K242" s="263">
        <f t="shared" si="268"/>
        <v>143.28643216080403</v>
      </c>
      <c r="L242" s="264">
        <f t="shared" si="269"/>
        <v>27.94736842105263</v>
      </c>
      <c r="M242" s="265">
        <f t="shared" si="270"/>
        <v>31.052631578947366</v>
      </c>
      <c r="N242" s="263">
        <f t="shared" si="271"/>
        <v>18.944444444444446</v>
      </c>
      <c r="O242" s="263">
        <f t="shared" si="272"/>
        <v>12.055555555555555</v>
      </c>
      <c r="P242" s="264">
        <f>P183*P125</f>
        <v>200.77777777777777</v>
      </c>
      <c r="Q242" s="265">
        <f>P183*Q125</f>
        <v>77.222222222222229</v>
      </c>
      <c r="R242" s="270">
        <f>R183*R124</f>
        <v>91.041666666666671</v>
      </c>
      <c r="S242" s="270">
        <f>R183*S124</f>
        <v>3.958333333333333</v>
      </c>
      <c r="T242" s="274">
        <f>T183*T124</f>
        <v>0</v>
      </c>
      <c r="U242" s="269">
        <f>T183*U124</f>
        <v>0</v>
      </c>
      <c r="V242" s="185">
        <f>V183*V125</f>
        <v>0</v>
      </c>
      <c r="W242" s="185">
        <f>V183*W125</f>
        <v>0</v>
      </c>
      <c r="X242" s="264">
        <f t="shared" si="273"/>
        <v>28.888888888888886</v>
      </c>
      <c r="Y242" s="265">
        <f t="shared" si="274"/>
        <v>36.111111111111114</v>
      </c>
      <c r="Z242" s="263">
        <f t="shared" si="275"/>
        <v>6</v>
      </c>
      <c r="AA242" s="263">
        <f t="shared" si="276"/>
        <v>0</v>
      </c>
      <c r="AB242" s="264">
        <f>AB183*AB125</f>
        <v>1</v>
      </c>
      <c r="AC242" s="265">
        <f>AB183*AC125</f>
        <v>3</v>
      </c>
      <c r="AD242" s="270">
        <f>AD183*AD126</f>
        <v>17.5</v>
      </c>
      <c r="AE242" s="269">
        <f>AD183*AE126</f>
        <v>17.5</v>
      </c>
      <c r="AF242" s="268">
        <f>AF183*Z125</f>
        <v>25</v>
      </c>
      <c r="AG242" s="269">
        <f>AF183*AA125</f>
        <v>0</v>
      </c>
      <c r="AH242" s="224">
        <f>AH183*AH125</f>
        <v>0</v>
      </c>
      <c r="AI242" s="275">
        <f>AH183*AI125</f>
        <v>0</v>
      </c>
      <c r="AJ242" s="224">
        <f t="shared" si="287"/>
        <v>0</v>
      </c>
      <c r="AK242" s="262">
        <f t="shared" si="288"/>
        <v>0</v>
      </c>
      <c r="AL242" s="270">
        <f>AL183*AL123</f>
        <v>0</v>
      </c>
      <c r="AM242" s="270">
        <f>AL183*AM123</f>
        <v>16</v>
      </c>
      <c r="AN242" s="261">
        <f>AN183*AN125</f>
        <v>0</v>
      </c>
      <c r="AO242" s="262">
        <f>AN183*AO125</f>
        <v>0</v>
      </c>
      <c r="AP242" s="263">
        <f t="shared" si="298"/>
        <v>0</v>
      </c>
      <c r="AQ242" s="263">
        <f t="shared" si="299"/>
        <v>26</v>
      </c>
      <c r="AR242" s="274">
        <f>AR183*AR124</f>
        <v>35.833333333333336</v>
      </c>
      <c r="AS242" s="269">
        <f>AR183*AS124</f>
        <v>7.1666666666666661</v>
      </c>
      <c r="AT242" s="263">
        <f t="shared" si="277"/>
        <v>6</v>
      </c>
      <c r="AU242" s="263">
        <f t="shared" si="278"/>
        <v>0</v>
      </c>
      <c r="AV242" s="264">
        <f t="shared" si="279"/>
        <v>76</v>
      </c>
      <c r="AW242" s="265">
        <f t="shared" si="280"/>
        <v>38</v>
      </c>
      <c r="AX242" s="263">
        <f t="shared" ref="AX242:AX250" si="301">AX183*AX125</f>
        <v>0</v>
      </c>
      <c r="AY242" s="263">
        <f t="shared" ref="AY242:AY250" si="302">AX183*AY125</f>
        <v>22</v>
      </c>
      <c r="AZ242" s="264">
        <f t="shared" si="289"/>
        <v>5</v>
      </c>
      <c r="BA242" s="265">
        <f t="shared" si="290"/>
        <v>1</v>
      </c>
      <c r="BB242" s="264">
        <f t="shared" si="291"/>
        <v>13.263157894736841</v>
      </c>
      <c r="BC242" s="265">
        <f t="shared" si="292"/>
        <v>4.7368421052631575</v>
      </c>
      <c r="BD242" s="261"/>
      <c r="BE242" s="224"/>
      <c r="BF242" s="573">
        <f>BH242</f>
        <v>12.947368421052632</v>
      </c>
      <c r="BG242" s="667">
        <v>0</v>
      </c>
      <c r="BH242" s="684">
        <f>BF183*AVERAGE(BB125,AZ125,AX125,AV125,AT125)</f>
        <v>12.947368421052632</v>
      </c>
      <c r="BI242" s="667">
        <f>BK242</f>
        <v>7.0526315789473681</v>
      </c>
      <c r="BJ242" s="667">
        <v>0</v>
      </c>
      <c r="BK242" s="684">
        <f>BF183*AVERAGE(BC125,BA125,AY125,AW125,AU125)</f>
        <v>7.0526315789473681</v>
      </c>
      <c r="BL242" s="211"/>
      <c r="BM242" s="196"/>
      <c r="BN242" s="691"/>
      <c r="BO242" s="196"/>
      <c r="BP242" s="196"/>
      <c r="BQ242" s="698"/>
      <c r="BR242" s="576">
        <f>BR125*$BR183+IF(SUM($BR66:$BT66)&gt;0, BT125*$BR183*(BR66/SUM($BR66:$BS66)),0)</f>
        <v>11</v>
      </c>
      <c r="BS242" s="670">
        <f>BS125*$BR183+IF(SUM($BR66:$BT66)&gt;0, BT125*$BR183*(BS66/SUM($BR66:$BS66)),0)</f>
        <v>5</v>
      </c>
      <c r="BT242" s="687">
        <f>BR242+BS242*BU$303</f>
        <v>11.44</v>
      </c>
      <c r="BU242" s="670">
        <f>BU125*$BR183+IF(SUM($BU66:$BW66)&gt;0, BW125*$BR183*(BU66/SUM($BU66:$BV66)))</f>
        <v>19</v>
      </c>
      <c r="BV242" s="670">
        <f>BV125*$BR183+IF(SUM($BU66:$BW66)&gt;0, BW125*$BR183*(BV66/SUM($BU66:$BV66)))</f>
        <v>1</v>
      </c>
      <c r="BW242" s="697">
        <f>BU242+BV242*BU$303</f>
        <v>19.088000000000001</v>
      </c>
      <c r="BX242" s="576">
        <f>BX125*$BX183+IF(SUM($BX66:$BZ66)&gt;0, BZ125*$BX183*(BX66/SUM($BX66:$BY66)),0)</f>
        <v>13.588235294117649</v>
      </c>
      <c r="BY242" s="670">
        <f>BY125*$BX183+IF(SUM($BX66:$BZ66)&gt;0, BZ125*$BX183*(BY66/SUM($BX66:$BY66)),0)</f>
        <v>0</v>
      </c>
      <c r="BZ242" s="687">
        <f>BX242+BY242*CA$303</f>
        <v>13.588235294117649</v>
      </c>
      <c r="CA242" s="670">
        <f>CA125*$BX183+IF(SUM($CA66:$CC66)&gt;0, CC125*$BX183*(CA66/SUM($CA66:$CB66)))</f>
        <v>7.4117647058823533</v>
      </c>
      <c r="CB242" s="670">
        <f>CB125*$BX183+IF(SUM($CA66:$CC66)&gt;0, CC125*$BX183*(CB66/SUM($CA66:$CB66)))</f>
        <v>0</v>
      </c>
      <c r="CC242" s="697">
        <f>CA242+CB242*CA$303</f>
        <v>7.4117647058823533</v>
      </c>
      <c r="CD242" s="211"/>
      <c r="CE242" s="196"/>
      <c r="CF242" s="691"/>
      <c r="CG242" s="196"/>
      <c r="CH242" s="196"/>
      <c r="CI242" s="698"/>
      <c r="CJ242" s="211"/>
      <c r="CK242" s="196"/>
      <c r="CL242" s="691"/>
      <c r="CM242" s="196"/>
      <c r="CN242" s="196"/>
      <c r="CO242" s="698"/>
      <c r="CP242" s="211"/>
      <c r="CQ242" s="196"/>
      <c r="CR242" s="691"/>
      <c r="CS242" s="196"/>
      <c r="CT242" s="196"/>
      <c r="CU242" s="698"/>
      <c r="CV242" s="211"/>
      <c r="CW242" s="196"/>
      <c r="CX242" s="691"/>
      <c r="CY242" s="196"/>
      <c r="CZ242" s="196"/>
      <c r="DA242" s="698"/>
      <c r="DB242" s="1560"/>
      <c r="DC242" s="691"/>
      <c r="DD242" s="691"/>
      <c r="DE242" s="691"/>
      <c r="DF242" s="691"/>
      <c r="DG242" s="698"/>
      <c r="DH242" s="261"/>
      <c r="DI242" s="224"/>
      <c r="DJ242" s="691"/>
      <c r="DK242" s="224"/>
      <c r="DL242" s="224"/>
      <c r="DM242" s="698"/>
      <c r="DN242" s="261"/>
      <c r="DO242" s="224"/>
      <c r="DP242" s="691"/>
      <c r="DQ242" s="224"/>
      <c r="DR242" s="224"/>
      <c r="DS242" s="698"/>
      <c r="DT242" s="261"/>
      <c r="DU242" s="224"/>
      <c r="DV242" s="691"/>
      <c r="DW242" s="224"/>
      <c r="DX242" s="224"/>
      <c r="DY242" s="698"/>
      <c r="DZ242" s="261"/>
      <c r="EA242" s="224"/>
      <c r="EB242" s="691"/>
      <c r="EC242" s="224"/>
      <c r="ED242" s="224"/>
      <c r="EE242" s="698"/>
      <c r="EF242" s="196">
        <f t="shared" si="266"/>
        <v>4</v>
      </c>
      <c r="EG242" s="224"/>
      <c r="EH242" s="579">
        <f t="shared" si="295"/>
        <v>4</v>
      </c>
      <c r="EI242" s="602">
        <f t="shared" si="281"/>
        <v>52.592637718840585</v>
      </c>
      <c r="EJ242" s="602">
        <f t="shared" si="282"/>
        <v>23.007079116499433</v>
      </c>
      <c r="EK242" s="579">
        <f t="shared" si="296"/>
        <v>4</v>
      </c>
      <c r="EL242" s="602">
        <f t="shared" si="283"/>
        <v>78.581296782862964</v>
      </c>
      <c r="EM242" s="602">
        <f t="shared" si="284"/>
        <v>32.21870321713704</v>
      </c>
      <c r="EN242" s="579">
        <f t="shared" si="297"/>
        <v>4</v>
      </c>
      <c r="EO242" s="602">
        <f t="shared" si="285"/>
        <v>13.609649122807019</v>
      </c>
      <c r="EP242" s="602">
        <f t="shared" si="286"/>
        <v>11.490350877192981</v>
      </c>
      <c r="EQ242" s="580"/>
      <c r="ER242" s="519" t="s">
        <v>115</v>
      </c>
      <c r="ES242" s="622">
        <f>J296</f>
        <v>369</v>
      </c>
      <c r="ET242" s="622">
        <f>J298</f>
        <v>3987.1818452744369</v>
      </c>
      <c r="EU242" s="579">
        <f t="shared" si="300"/>
        <v>4356.1818452744374</v>
      </c>
      <c r="EV242" s="579">
        <f>K300</f>
        <v>871.81815472556264</v>
      </c>
      <c r="EW242" s="580"/>
      <c r="EX242" s="580"/>
      <c r="EY242" s="580"/>
      <c r="EZ242" s="580"/>
      <c r="FA242" s="580"/>
      <c r="FB242" s="580"/>
      <c r="FC242" s="580"/>
      <c r="FD242" s="580"/>
      <c r="FE242" s="580"/>
      <c r="FF242" s="580"/>
      <c r="FG242" s="580"/>
      <c r="FH242" s="580"/>
    </row>
    <row r="243" spans="1:164" x14ac:dyDescent="0.2">
      <c r="A243" s="180">
        <v>5</v>
      </c>
      <c r="B243" s="261"/>
      <c r="C243" s="262"/>
      <c r="D243" s="261"/>
      <c r="E243" s="262"/>
      <c r="F243" s="185"/>
      <c r="G243" s="185"/>
      <c r="H243" s="264">
        <f>H184*H126</f>
        <v>490.70707070707073</v>
      </c>
      <c r="I243" s="265">
        <f>H184*I126</f>
        <v>203.2929292929293</v>
      </c>
      <c r="J243" s="263">
        <f t="shared" si="267"/>
        <v>132.37</v>
      </c>
      <c r="K243" s="263">
        <f t="shared" si="268"/>
        <v>84.63000000000001</v>
      </c>
      <c r="L243" s="264">
        <f t="shared" si="269"/>
        <v>16.900000000000002</v>
      </c>
      <c r="M243" s="265">
        <f t="shared" si="270"/>
        <v>48.1</v>
      </c>
      <c r="N243" s="263">
        <f t="shared" si="271"/>
        <v>82.222222222222214</v>
      </c>
      <c r="O243" s="263">
        <f t="shared" si="272"/>
        <v>17.777777777777779</v>
      </c>
      <c r="P243" s="274">
        <f>P184*P125</f>
        <v>23.111111111111111</v>
      </c>
      <c r="Q243" s="269">
        <f>P184*Q125</f>
        <v>8.8888888888888893</v>
      </c>
      <c r="R243" s="263">
        <f>R184*R126</f>
        <v>156.17647058823528</v>
      </c>
      <c r="S243" s="263">
        <f>R184*S126</f>
        <v>20.823529411764707</v>
      </c>
      <c r="T243" s="274">
        <f>T184*T127</f>
        <v>7.1111111111111107</v>
      </c>
      <c r="U243" s="269">
        <f>T184*U127</f>
        <v>0.88888888888888884</v>
      </c>
      <c r="V243" s="263">
        <f>V184*V126</f>
        <v>10.636363636363637</v>
      </c>
      <c r="W243" s="263">
        <f>V184*W126</f>
        <v>2.3636363636363638</v>
      </c>
      <c r="X243" s="264">
        <f t="shared" si="273"/>
        <v>14</v>
      </c>
      <c r="Y243" s="265">
        <f t="shared" si="274"/>
        <v>14</v>
      </c>
      <c r="Z243" s="263">
        <f t="shared" si="275"/>
        <v>13.333333333333332</v>
      </c>
      <c r="AA243" s="263">
        <f t="shared" si="276"/>
        <v>1.6666666666666665</v>
      </c>
      <c r="AB243" s="264">
        <f>AB184*AB126</f>
        <v>45.625</v>
      </c>
      <c r="AC243" s="265">
        <f>AB184*AC126</f>
        <v>27.375</v>
      </c>
      <c r="AD243" s="263">
        <f t="shared" ref="AD243:AD248" si="303">AD184*AD126</f>
        <v>10.5</v>
      </c>
      <c r="AE243" s="265">
        <f>AD184*AE126</f>
        <v>10.5</v>
      </c>
      <c r="AF243" s="268">
        <f>AF184*Z126</f>
        <v>39.111111111111107</v>
      </c>
      <c r="AG243" s="269">
        <f>AF184*AA126</f>
        <v>4.8888888888888884</v>
      </c>
      <c r="AH243" s="268">
        <f>AH184*Z126</f>
        <v>2.6666666666666665</v>
      </c>
      <c r="AI243" s="272">
        <f>AH184*AA126</f>
        <v>0.33333333333333331</v>
      </c>
      <c r="AJ243" s="224">
        <f t="shared" si="287"/>
        <v>0</v>
      </c>
      <c r="AK243" s="262">
        <f t="shared" si="288"/>
        <v>0</v>
      </c>
      <c r="AL243" s="270">
        <f>AL184*AL123</f>
        <v>0</v>
      </c>
      <c r="AM243" s="270">
        <f>AL184*AM123</f>
        <v>16</v>
      </c>
      <c r="AN243" s="261">
        <f>AN184*AN126</f>
        <v>0</v>
      </c>
      <c r="AO243" s="262">
        <f>AN184*AO126</f>
        <v>0</v>
      </c>
      <c r="AP243" s="185">
        <f t="shared" si="298"/>
        <v>0</v>
      </c>
      <c r="AQ243" s="185">
        <f t="shared" si="299"/>
        <v>0</v>
      </c>
      <c r="AR243" s="261">
        <f>AR184*AR126</f>
        <v>0</v>
      </c>
      <c r="AS243" s="262">
        <f>AR184*AS126</f>
        <v>0</v>
      </c>
      <c r="AT243" s="263">
        <f t="shared" si="277"/>
        <v>2</v>
      </c>
      <c r="AU243" s="263">
        <f t="shared" si="278"/>
        <v>2</v>
      </c>
      <c r="AV243" s="264">
        <f t="shared" si="279"/>
        <v>0</v>
      </c>
      <c r="AW243" s="265">
        <f t="shared" si="280"/>
        <v>50</v>
      </c>
      <c r="AX243" s="263">
        <f t="shared" si="301"/>
        <v>4.5</v>
      </c>
      <c r="AY243" s="263">
        <f t="shared" si="302"/>
        <v>10.5</v>
      </c>
      <c r="AZ243" s="264">
        <f t="shared" si="289"/>
        <v>8</v>
      </c>
      <c r="BA243" s="265">
        <f t="shared" si="290"/>
        <v>2</v>
      </c>
      <c r="BB243" s="264">
        <f t="shared" si="291"/>
        <v>3.5999999999999996</v>
      </c>
      <c r="BC243" s="265">
        <f t="shared" si="292"/>
        <v>2.4000000000000004</v>
      </c>
      <c r="BD243" s="261"/>
      <c r="BE243" s="224"/>
      <c r="BF243" s="573">
        <f t="shared" ref="BF243:BF245" si="304">BH243</f>
        <v>9.6800000000000015</v>
      </c>
      <c r="BG243" s="667">
        <v>0</v>
      </c>
      <c r="BH243" s="684">
        <f t="shared" ref="BH243:BH245" si="305">BF184*AVERAGE(BB126,AZ126,AX126,AV126,AT126)</f>
        <v>9.6800000000000015</v>
      </c>
      <c r="BI243" s="667">
        <f t="shared" ref="BI243:BI245" si="306">BK243</f>
        <v>12.319999999999999</v>
      </c>
      <c r="BJ243" s="667">
        <v>0</v>
      </c>
      <c r="BK243" s="684">
        <f t="shared" ref="BK243:BK245" si="307">BF184*AVERAGE(BC126,BA126,AY126,AW126,AU126)</f>
        <v>12.319999999999999</v>
      </c>
      <c r="BL243" s="211"/>
      <c r="BM243" s="196"/>
      <c r="BN243" s="691"/>
      <c r="BO243" s="196"/>
      <c r="BP243" s="196"/>
      <c r="BQ243" s="698"/>
      <c r="BR243" s="264">
        <f t="shared" ref="BR243:BR246" si="308">BR126*$BR184+IF(SUM($BR67:$BT67)&gt;0, BT126*$BR184*(BR67/SUM($BR67:$BS67)),0)</f>
        <v>2</v>
      </c>
      <c r="BS243" s="273">
        <f t="shared" ref="BS243:BS255" si="309">BS126*$BR184+IF(SUM($BR67:$BT67)&gt;0, BT126*$BR184*(BS67/SUM($BR67:$BS67)),0)</f>
        <v>0</v>
      </c>
      <c r="BT243" s="941">
        <f t="shared" ref="BT243:BT246" si="310">BR243+BS243*BU$303</f>
        <v>2</v>
      </c>
      <c r="BU243" s="273">
        <f t="shared" ref="BU243:BU246" si="311">BU126*$BR184+IF(SUM($BU67:$BW67)&gt;0, BW126*$BR184*(BU67/SUM($BU67:$BV67)))</f>
        <v>10</v>
      </c>
      <c r="BV243" s="273">
        <f t="shared" ref="BV243:BV255" si="312">BV126*$BR184+IF(SUM($BU67:$BW67)&gt;0, BW126*$BR184*(BV67/SUM($BU67:$BV67)))</f>
        <v>0</v>
      </c>
      <c r="BW243" s="945">
        <f t="shared" ref="BW243:BW246" si="313">BU243+BV243*BU$303</f>
        <v>10</v>
      </c>
      <c r="BX243" s="576">
        <f>BX126*$BX184+IF(SUM($BX67:$BZ67)&gt;0, BZ126*$BX184*(BX67/SUM($BX67:$BY67)),0)</f>
        <v>2.5714285714285712</v>
      </c>
      <c r="BY243" s="670">
        <f>BY126*$BX184+IF(SUM($BX67:$BZ67)&gt;0, BZ126*$BX184*(BY67/SUM($BX67:$BY67)),0)</f>
        <v>0</v>
      </c>
      <c r="BZ243" s="687">
        <f>BX243+BY243*CA$303</f>
        <v>2.5714285714285712</v>
      </c>
      <c r="CA243" s="670">
        <f>CA126*$BX184+IF(SUM($CA67:$CC67)&gt;0, CC126*$BX184*(CA67/SUM($CA67:$CB67)))</f>
        <v>5.1428571428571423</v>
      </c>
      <c r="CB243" s="670">
        <f>CB126*$BX184+IF(SUM($CA67:$CC67)&gt;0, CC126*$BX184*(CB67/SUM($CA67:$CB67)))</f>
        <v>1.2857142857142856</v>
      </c>
      <c r="CC243" s="697">
        <f>CA243+CB243*CA$303</f>
        <v>5.2544571428571425</v>
      </c>
      <c r="CD243" s="211"/>
      <c r="CE243" s="196"/>
      <c r="CF243" s="691"/>
      <c r="CG243" s="196"/>
      <c r="CH243" s="196"/>
      <c r="CI243" s="698"/>
      <c r="CJ243" s="146"/>
      <c r="CK243" s="196"/>
      <c r="CL243" s="691"/>
      <c r="CM243" s="196"/>
      <c r="CN243" s="196"/>
      <c r="CO243" s="698"/>
      <c r="CP243" s="211"/>
      <c r="CQ243" s="196"/>
      <c r="CR243" s="691"/>
      <c r="CS243" s="196"/>
      <c r="CT243" s="196"/>
      <c r="CU243" s="698"/>
      <c r="CV243" s="211"/>
      <c r="CW243" s="196"/>
      <c r="CX243" s="691"/>
      <c r="CY243" s="196"/>
      <c r="CZ243" s="196"/>
      <c r="DA243" s="698"/>
      <c r="DB243" s="1560"/>
      <c r="DC243" s="691"/>
      <c r="DD243" s="691"/>
      <c r="DE243" s="691"/>
      <c r="DF243" s="691"/>
      <c r="DG243" s="698"/>
      <c r="DH243" s="261"/>
      <c r="DI243" s="224"/>
      <c r="DJ243" s="691"/>
      <c r="DK243" s="224"/>
      <c r="DL243" s="224"/>
      <c r="DM243" s="698"/>
      <c r="DN243" s="261"/>
      <c r="DO243" s="224"/>
      <c r="DP243" s="691"/>
      <c r="DQ243" s="224"/>
      <c r="DR243" s="224"/>
      <c r="DS243" s="698"/>
      <c r="DT243" s="261"/>
      <c r="DU243" s="224"/>
      <c r="DV243" s="691"/>
      <c r="DW243" s="224"/>
      <c r="DX243" s="224"/>
      <c r="DY243" s="698"/>
      <c r="DZ243" s="261"/>
      <c r="EA243" s="224"/>
      <c r="EB243" s="691"/>
      <c r="EC243" s="224"/>
      <c r="ED243" s="224"/>
      <c r="EE243" s="698"/>
      <c r="EF243" s="196">
        <f t="shared" si="266"/>
        <v>5</v>
      </c>
      <c r="EG243" s="224"/>
      <c r="EH243" s="579">
        <f t="shared" si="295"/>
        <v>5</v>
      </c>
      <c r="EI243" s="602">
        <f t="shared" si="281"/>
        <v>44.273769186967712</v>
      </c>
      <c r="EJ243" s="602">
        <f t="shared" si="282"/>
        <v>21.137181580510997</v>
      </c>
      <c r="EK243" s="579">
        <f t="shared" si="296"/>
        <v>5</v>
      </c>
      <c r="EL243" s="602">
        <f t="shared" si="283"/>
        <v>74.60503289194466</v>
      </c>
      <c r="EM243" s="602">
        <f t="shared" si="284"/>
        <v>31.823538536626781</v>
      </c>
      <c r="EN243" s="579">
        <f t="shared" si="297"/>
        <v>5</v>
      </c>
      <c r="EO243" s="602">
        <f t="shared" si="285"/>
        <v>1.81</v>
      </c>
      <c r="EP243" s="602">
        <f t="shared" si="286"/>
        <v>8.2900000000000009</v>
      </c>
      <c r="EQ243" s="580"/>
      <c r="ER243" s="519" t="s">
        <v>116</v>
      </c>
      <c r="ES243" s="622">
        <f>L296</f>
        <v>265.5</v>
      </c>
      <c r="ET243" s="622">
        <f>L298</f>
        <v>2902.9172431015522</v>
      </c>
      <c r="EU243" s="579">
        <f t="shared" si="300"/>
        <v>3168.4172431015522</v>
      </c>
      <c r="EV243" s="579">
        <f>M300</f>
        <v>801.56578689844775</v>
      </c>
      <c r="EW243" s="580"/>
      <c r="EX243" s="580"/>
      <c r="EY243" s="580"/>
      <c r="EZ243" s="580"/>
      <c r="FA243" s="580"/>
      <c r="FB243" s="580"/>
      <c r="FC243" s="580"/>
      <c r="FD243" s="580"/>
      <c r="FE243" s="580"/>
      <c r="FF243" s="580"/>
      <c r="FG243" s="580"/>
      <c r="FH243" s="580"/>
    </row>
    <row r="244" spans="1:164" x14ac:dyDescent="0.2">
      <c r="A244" s="180">
        <v>6</v>
      </c>
      <c r="B244" s="261"/>
      <c r="C244" s="262"/>
      <c r="D244" s="261"/>
      <c r="E244" s="262"/>
      <c r="F244" s="185"/>
      <c r="G244" s="185"/>
      <c r="H244" s="261"/>
      <c r="I244" s="262"/>
      <c r="J244" s="263">
        <f t="shared" si="267"/>
        <v>103.86666666666666</v>
      </c>
      <c r="K244" s="263">
        <f t="shared" si="268"/>
        <v>60.133333333333326</v>
      </c>
      <c r="L244" s="264">
        <f t="shared" si="269"/>
        <v>7</v>
      </c>
      <c r="M244" s="265">
        <f t="shared" si="270"/>
        <v>16</v>
      </c>
      <c r="N244" s="263">
        <f t="shared" si="271"/>
        <v>47.982608695652175</v>
      </c>
      <c r="O244" s="263">
        <f t="shared" si="272"/>
        <v>41.017391304347825</v>
      </c>
      <c r="P244" s="261"/>
      <c r="Q244" s="262"/>
      <c r="R244" s="185"/>
      <c r="S244" s="185"/>
      <c r="T244" s="264">
        <f>T185*T127</f>
        <v>108.44444444444444</v>
      </c>
      <c r="U244" s="265">
        <f>T185*U127</f>
        <v>13.555555555555555</v>
      </c>
      <c r="V244" s="276">
        <v>8</v>
      </c>
      <c r="W244" s="276">
        <v>3</v>
      </c>
      <c r="X244" s="264">
        <f t="shared" si="273"/>
        <v>2.8000000000000003</v>
      </c>
      <c r="Y244" s="265">
        <f t="shared" si="274"/>
        <v>11.200000000000001</v>
      </c>
      <c r="Z244" s="263">
        <f t="shared" si="275"/>
        <v>12</v>
      </c>
      <c r="AA244" s="263">
        <f t="shared" si="276"/>
        <v>3</v>
      </c>
      <c r="AB244" s="264">
        <f>AB185*AB127</f>
        <v>0</v>
      </c>
      <c r="AC244" s="265">
        <f>AB185*AC127</f>
        <v>11</v>
      </c>
      <c r="AD244" s="185">
        <f t="shared" si="303"/>
        <v>0</v>
      </c>
      <c r="AE244" s="262">
        <f>AD185*AE127</f>
        <v>0</v>
      </c>
      <c r="AF244" s="268">
        <f>AF185*Z127</f>
        <v>24</v>
      </c>
      <c r="AG244" s="269">
        <f>AF185*AA127</f>
        <v>6</v>
      </c>
      <c r="AH244" s="268">
        <f>AH185*Z127</f>
        <v>20.8</v>
      </c>
      <c r="AI244" s="272">
        <f>AH185*AA127</f>
        <v>5.2</v>
      </c>
      <c r="AJ244" s="224">
        <f t="shared" si="287"/>
        <v>0</v>
      </c>
      <c r="AK244" s="262">
        <f t="shared" si="288"/>
        <v>0</v>
      </c>
      <c r="AL244" s="270">
        <f>AL185*AR127</f>
        <v>2.9629629629629628</v>
      </c>
      <c r="AM244" s="270">
        <f>AL185*AS127</f>
        <v>21.037037037037038</v>
      </c>
      <c r="AN244" s="274">
        <f>AN185*AN130</f>
        <v>0</v>
      </c>
      <c r="AO244" s="269">
        <f>AN185*AO130</f>
        <v>4</v>
      </c>
      <c r="AP244" s="185">
        <f t="shared" si="298"/>
        <v>0</v>
      </c>
      <c r="AQ244" s="185">
        <f t="shared" si="299"/>
        <v>0</v>
      </c>
      <c r="AR244" s="264">
        <f>AR185*AR127</f>
        <v>12.222222222222221</v>
      </c>
      <c r="AS244" s="265">
        <f>AR185*AS127</f>
        <v>86.777777777777771</v>
      </c>
      <c r="AT244" s="263">
        <f t="shared" si="277"/>
        <v>3</v>
      </c>
      <c r="AU244" s="263">
        <f t="shared" si="278"/>
        <v>16</v>
      </c>
      <c r="AV244" s="264">
        <f t="shared" si="279"/>
        <v>2</v>
      </c>
      <c r="AW244" s="265">
        <f t="shared" si="280"/>
        <v>18</v>
      </c>
      <c r="AX244" s="263">
        <f t="shared" si="301"/>
        <v>2.333333333333333</v>
      </c>
      <c r="AY244" s="263">
        <f t="shared" si="302"/>
        <v>11.666666666666668</v>
      </c>
      <c r="AZ244" s="264">
        <f t="shared" si="289"/>
        <v>0</v>
      </c>
      <c r="BA244" s="265">
        <f t="shared" si="290"/>
        <v>1</v>
      </c>
      <c r="BB244" s="264">
        <f t="shared" si="291"/>
        <v>3</v>
      </c>
      <c r="BC244" s="265">
        <f t="shared" si="292"/>
        <v>12</v>
      </c>
      <c r="BD244" s="261"/>
      <c r="BE244" s="224"/>
      <c r="BF244" s="573">
        <f t="shared" si="304"/>
        <v>0.74947368421052629</v>
      </c>
      <c r="BG244" s="667">
        <v>0</v>
      </c>
      <c r="BH244" s="684">
        <f t="shared" si="305"/>
        <v>0.74947368421052629</v>
      </c>
      <c r="BI244" s="667">
        <f t="shared" si="306"/>
        <v>5.2505263157894735</v>
      </c>
      <c r="BJ244" s="667">
        <v>0</v>
      </c>
      <c r="BK244" s="684">
        <f t="shared" si="307"/>
        <v>5.2505263157894735</v>
      </c>
      <c r="BL244" s="211"/>
      <c r="BM244" s="196"/>
      <c r="BN244" s="691"/>
      <c r="BO244" s="196"/>
      <c r="BP244" s="196"/>
      <c r="BQ244" s="698"/>
      <c r="BR244" s="264">
        <f t="shared" si="308"/>
        <v>1</v>
      </c>
      <c r="BS244" s="273">
        <f t="shared" si="309"/>
        <v>3</v>
      </c>
      <c r="BT244" s="941">
        <f t="shared" si="310"/>
        <v>1.264</v>
      </c>
      <c r="BU244" s="273">
        <f t="shared" si="311"/>
        <v>18</v>
      </c>
      <c r="BV244" s="273">
        <f t="shared" si="312"/>
        <v>0</v>
      </c>
      <c r="BW244" s="945">
        <f t="shared" si="313"/>
        <v>18</v>
      </c>
      <c r="BX244" s="573">
        <f>BX126*$BX185+IF(SUM($BX67:$BZ67)&gt;0, BZ126*$BX185*(BX67/SUM($BX67:$BY67)),0)</f>
        <v>0.8571428571428571</v>
      </c>
      <c r="BY244" s="667">
        <f>BY126*$BX185+IF(SUM($BX67:$BZ67)&gt;0, BZ126*$BX185*(BY67/SUM($BX67:$BY67)),0)</f>
        <v>0</v>
      </c>
      <c r="BZ244" s="684">
        <f>BX244+BY244*CA$303</f>
        <v>0.8571428571428571</v>
      </c>
      <c r="CA244" s="667">
        <f>CA126*$BX185+IF(SUM($CA67:$CC67)&gt;0, CC126*$BX185*(CA67/SUM($CA67:$CB67)))</f>
        <v>1.7142857142857142</v>
      </c>
      <c r="CB244" s="667">
        <f>CB126*$BX185+IF(SUM($CA67:$CC67)&gt;0, CC126*$BX185*(CB68/SUM($CA67:$CB67)))</f>
        <v>0.42857142857142855</v>
      </c>
      <c r="CC244" s="979">
        <f>CA244+CB244*CA$303</f>
        <v>1.7514857142857141</v>
      </c>
      <c r="CD244" s="211"/>
      <c r="CE244" s="196"/>
      <c r="CF244" s="691"/>
      <c r="CG244" s="196"/>
      <c r="CH244" s="196"/>
      <c r="CI244" s="698"/>
      <c r="CJ244" s="211"/>
      <c r="CK244" s="196"/>
      <c r="CL244" s="691"/>
      <c r="CM244" s="196"/>
      <c r="CN244" s="196"/>
      <c r="CO244" s="698"/>
      <c r="CP244" s="211"/>
      <c r="CQ244" s="196"/>
      <c r="CR244" s="691"/>
      <c r="CS244" s="196"/>
      <c r="CT244" s="196"/>
      <c r="CU244" s="698"/>
      <c r="CV244" s="211"/>
      <c r="CW244" s="196"/>
      <c r="CX244" s="691"/>
      <c r="CY244" s="196"/>
      <c r="CZ244" s="196"/>
      <c r="DA244" s="698"/>
      <c r="DB244" s="1560"/>
      <c r="DC244" s="691"/>
      <c r="DD244" s="691"/>
      <c r="DE244" s="691"/>
      <c r="DF244" s="691"/>
      <c r="DG244" s="698"/>
      <c r="DH244" s="261"/>
      <c r="DI244" s="224"/>
      <c r="DJ244" s="691"/>
      <c r="DK244" s="224"/>
      <c r="DL244" s="224"/>
      <c r="DM244" s="698"/>
      <c r="DN244" s="261"/>
      <c r="DO244" s="224"/>
      <c r="DP244" s="691"/>
      <c r="DQ244" s="224"/>
      <c r="DR244" s="224"/>
      <c r="DS244" s="698"/>
      <c r="DT244" s="261"/>
      <c r="DU244" s="224"/>
      <c r="DV244" s="691"/>
      <c r="DW244" s="224"/>
      <c r="DX244" s="224"/>
      <c r="DY244" s="698"/>
      <c r="DZ244" s="261"/>
      <c r="EA244" s="224"/>
      <c r="EB244" s="691"/>
      <c r="EC244" s="224"/>
      <c r="ED244" s="224"/>
      <c r="EE244" s="698"/>
      <c r="EF244" s="196">
        <f t="shared" si="266"/>
        <v>6</v>
      </c>
      <c r="EG244" s="224"/>
      <c r="EH244" s="579">
        <f t="shared" si="295"/>
        <v>6</v>
      </c>
      <c r="EI244" s="602">
        <f t="shared" si="281"/>
        <v>17.162487539299136</v>
      </c>
      <c r="EJ244" s="602">
        <f t="shared" si="282"/>
        <v>15.481261894305369</v>
      </c>
      <c r="EK244" s="579">
        <f t="shared" si="296"/>
        <v>6</v>
      </c>
      <c r="EL244" s="602">
        <f t="shared" si="283"/>
        <v>30.444883618796666</v>
      </c>
      <c r="EM244" s="602">
        <f t="shared" si="284"/>
        <v>15.464207290294242</v>
      </c>
      <c r="EN244" s="579">
        <f t="shared" si="297"/>
        <v>6</v>
      </c>
      <c r="EO244" s="602">
        <f t="shared" si="285"/>
        <v>2.5518518518518514</v>
      </c>
      <c r="EP244" s="602">
        <f t="shared" si="286"/>
        <v>17.048148148148147</v>
      </c>
      <c r="EQ244" s="580"/>
      <c r="ER244" s="519" t="s">
        <v>117</v>
      </c>
      <c r="ES244" s="622">
        <f>N296</f>
        <v>235.1</v>
      </c>
      <c r="ET244" s="622">
        <f>N298</f>
        <v>3076.1031808089328</v>
      </c>
      <c r="EU244" s="579">
        <f t="shared" si="300"/>
        <v>3311.2031808089328</v>
      </c>
      <c r="EV244" s="579">
        <f>O300</f>
        <v>374.89681919106721</v>
      </c>
      <c r="EW244" s="580"/>
      <c r="EX244" s="580"/>
      <c r="EY244" s="580"/>
      <c r="EZ244" s="580"/>
      <c r="FA244" s="580"/>
      <c r="FB244" s="580"/>
      <c r="FC244" s="580"/>
      <c r="FD244" s="580"/>
      <c r="FE244" s="580"/>
      <c r="FF244" s="580"/>
      <c r="FG244" s="580"/>
      <c r="FH244" s="580"/>
    </row>
    <row r="245" spans="1:164" x14ac:dyDescent="0.2">
      <c r="A245" s="180">
        <v>7</v>
      </c>
      <c r="B245" s="261"/>
      <c r="C245" s="262"/>
      <c r="D245" s="261"/>
      <c r="E245" s="262"/>
      <c r="F245" s="185"/>
      <c r="G245" s="185"/>
      <c r="H245" s="261"/>
      <c r="I245" s="262"/>
      <c r="J245" s="263">
        <f t="shared" si="267"/>
        <v>62.112676056338032</v>
      </c>
      <c r="K245" s="263">
        <f t="shared" si="268"/>
        <v>63.887323943661968</v>
      </c>
      <c r="L245" s="264">
        <f t="shared" si="269"/>
        <v>25.862068965517242</v>
      </c>
      <c r="M245" s="265">
        <f t="shared" si="270"/>
        <v>49.137931034482754</v>
      </c>
      <c r="N245" s="276">
        <v>11</v>
      </c>
      <c r="O245" s="276">
        <v>4</v>
      </c>
      <c r="P245" s="264">
        <f>P186*P128</f>
        <v>114.81308411214953</v>
      </c>
      <c r="Q245" s="265">
        <f>P186*Q128</f>
        <v>200.18691588785046</v>
      </c>
      <c r="R245" s="185"/>
      <c r="S245" s="185"/>
      <c r="T245" s="274">
        <f>T186*T127</f>
        <v>36.444444444444443</v>
      </c>
      <c r="U245" s="269">
        <f>T186*U127</f>
        <v>4.5555555555555554</v>
      </c>
      <c r="V245" s="263">
        <f>V186*V128</f>
        <v>3</v>
      </c>
      <c r="W245" s="263">
        <f>V186*W128</f>
        <v>6</v>
      </c>
      <c r="X245" s="264">
        <f t="shared" si="273"/>
        <v>4</v>
      </c>
      <c r="Y245" s="265">
        <f t="shared" si="274"/>
        <v>16</v>
      </c>
      <c r="Z245" s="263">
        <f t="shared" si="275"/>
        <v>9.4285714285714288</v>
      </c>
      <c r="AA245" s="263">
        <f t="shared" si="276"/>
        <v>1.5714285714285714</v>
      </c>
      <c r="AB245" s="274">
        <f>AB186*AB129</f>
        <v>2</v>
      </c>
      <c r="AC245" s="269">
        <f>AB186*AC129</f>
        <v>6</v>
      </c>
      <c r="AD245" s="185">
        <f t="shared" si="303"/>
        <v>0</v>
      </c>
      <c r="AE245" s="262">
        <f>AD186*AE128</f>
        <v>0</v>
      </c>
      <c r="AF245" s="268">
        <f>AF186*Z128</f>
        <v>17.142857142857142</v>
      </c>
      <c r="AG245" s="269">
        <f>AF186*AA128</f>
        <v>2.8571428571428568</v>
      </c>
      <c r="AH245" s="268">
        <f>AH186*Z128</f>
        <v>4.2857142857142856</v>
      </c>
      <c r="AI245" s="272">
        <f>AH186*AA128</f>
        <v>0.71428571428571419</v>
      </c>
      <c r="AJ245" s="224">
        <f t="shared" si="287"/>
        <v>0</v>
      </c>
      <c r="AK245" s="262">
        <f t="shared" si="288"/>
        <v>0</v>
      </c>
      <c r="AL245" s="270">
        <f>AL186*AR128</f>
        <v>1.5384615384615385</v>
      </c>
      <c r="AM245" s="270">
        <f>AL186*AS128</f>
        <v>8.4615384615384617</v>
      </c>
      <c r="AN245" s="261">
        <f>AN186*AN128</f>
        <v>0</v>
      </c>
      <c r="AO245" s="262">
        <f>AN186*AO128</f>
        <v>0</v>
      </c>
      <c r="AP245" s="263">
        <f t="shared" si="298"/>
        <v>2</v>
      </c>
      <c r="AQ245" s="263">
        <f t="shared" si="299"/>
        <v>6</v>
      </c>
      <c r="AR245" s="264">
        <f>AR186*AR128</f>
        <v>2.1538461538461542</v>
      </c>
      <c r="AS245" s="265">
        <f>AR186*AS128</f>
        <v>11.846153846153847</v>
      </c>
      <c r="AT245" s="263">
        <f t="shared" si="277"/>
        <v>7.0588235294117654</v>
      </c>
      <c r="AU245" s="263">
        <f t="shared" si="278"/>
        <v>32.941176470588232</v>
      </c>
      <c r="AV245" s="264">
        <f t="shared" si="279"/>
        <v>9.4285714285714288</v>
      </c>
      <c r="AW245" s="265">
        <f t="shared" si="280"/>
        <v>23.571428571428573</v>
      </c>
      <c r="AX245" s="263">
        <f t="shared" si="301"/>
        <v>0</v>
      </c>
      <c r="AY245" s="263">
        <f t="shared" si="302"/>
        <v>8</v>
      </c>
      <c r="AZ245" s="264">
        <f t="shared" si="289"/>
        <v>3</v>
      </c>
      <c r="BA245" s="265">
        <f t="shared" si="290"/>
        <v>3</v>
      </c>
      <c r="BB245" s="264">
        <f>BB186*BB128</f>
        <v>12</v>
      </c>
      <c r="BC245" s="265">
        <f t="shared" si="292"/>
        <v>38</v>
      </c>
      <c r="BD245" s="274">
        <f>BD186*BB128</f>
        <v>7.68</v>
      </c>
      <c r="BE245" s="268">
        <f>BD186*BC128</f>
        <v>24.32</v>
      </c>
      <c r="BF245" s="573">
        <f t="shared" si="304"/>
        <v>1.20218487394958</v>
      </c>
      <c r="BG245" s="667">
        <v>0</v>
      </c>
      <c r="BH245" s="684">
        <f t="shared" si="305"/>
        <v>1.20218487394958</v>
      </c>
      <c r="BI245" s="667">
        <f t="shared" si="306"/>
        <v>3.7978151260504198</v>
      </c>
      <c r="BJ245" s="667">
        <v>0</v>
      </c>
      <c r="BK245" s="684">
        <f t="shared" si="307"/>
        <v>3.7978151260504198</v>
      </c>
      <c r="BL245" s="211"/>
      <c r="BM245" s="196"/>
      <c r="BN245" s="691"/>
      <c r="BO245" s="196"/>
      <c r="BP245" s="196"/>
      <c r="BQ245" s="698"/>
      <c r="BR245" s="264">
        <f t="shared" si="308"/>
        <v>6.1034482758620685</v>
      </c>
      <c r="BS245" s="273">
        <f t="shared" si="309"/>
        <v>4.068965517241379</v>
      </c>
      <c r="BT245" s="941">
        <f t="shared" si="310"/>
        <v>6.4615172413793101</v>
      </c>
      <c r="BU245" s="273">
        <f t="shared" si="311"/>
        <v>47.810344827586206</v>
      </c>
      <c r="BV245" s="273">
        <f t="shared" si="312"/>
        <v>1.0172413793103448</v>
      </c>
      <c r="BW245" s="945">
        <f t="shared" si="313"/>
        <v>47.899862068965518</v>
      </c>
      <c r="BX245" s="211"/>
      <c r="BY245" s="196"/>
      <c r="BZ245" s="691"/>
      <c r="CA245" s="196"/>
      <c r="CB245" s="196"/>
      <c r="CC245" s="698"/>
      <c r="CD245" s="211"/>
      <c r="CE245" s="196"/>
      <c r="CF245" s="691"/>
      <c r="CG245" s="196"/>
      <c r="CH245" s="196"/>
      <c r="CI245" s="698"/>
      <c r="CJ245" s="211"/>
      <c r="CK245" s="196"/>
      <c r="CL245" s="691"/>
      <c r="CM245" s="196"/>
      <c r="CN245" s="196"/>
      <c r="CO245" s="698"/>
      <c r="CP245" s="211"/>
      <c r="CQ245" s="196"/>
      <c r="CR245" s="691"/>
      <c r="CS245" s="196"/>
      <c r="CT245" s="196"/>
      <c r="CU245" s="698"/>
      <c r="CV245" s="211"/>
      <c r="CW245" s="196"/>
      <c r="CX245" s="691"/>
      <c r="CY245" s="196"/>
      <c r="CZ245" s="196"/>
      <c r="DA245" s="698"/>
      <c r="DB245" s="1560"/>
      <c r="DC245" s="691"/>
      <c r="DD245" s="691"/>
      <c r="DE245" s="691"/>
      <c r="DF245" s="691"/>
      <c r="DG245" s="698"/>
      <c r="DH245" s="261"/>
      <c r="DI245" s="224"/>
      <c r="DJ245" s="691"/>
      <c r="DK245" s="224"/>
      <c r="DL245" s="224"/>
      <c r="DM245" s="698"/>
      <c r="DN245" s="261"/>
      <c r="DO245" s="224"/>
      <c r="DP245" s="691"/>
      <c r="DQ245" s="224"/>
      <c r="DR245" s="224"/>
      <c r="DS245" s="698"/>
      <c r="DT245" s="261"/>
      <c r="DU245" s="224"/>
      <c r="DV245" s="691"/>
      <c r="DW245" s="224"/>
      <c r="DX245" s="224"/>
      <c r="DY245" s="698"/>
      <c r="DZ245" s="261"/>
      <c r="EA245" s="224"/>
      <c r="EB245" s="691"/>
      <c r="EC245" s="224"/>
      <c r="ED245" s="224"/>
      <c r="EE245" s="698"/>
      <c r="EF245" s="196">
        <f t="shared" si="266"/>
        <v>7</v>
      </c>
      <c r="EG245" s="224"/>
      <c r="EH245" s="579">
        <f t="shared" si="295"/>
        <v>7</v>
      </c>
      <c r="EI245" s="602">
        <f t="shared" si="281"/>
        <v>14.563005177647087</v>
      </c>
      <c r="EJ245" s="602">
        <f t="shared" si="282"/>
        <v>21.293786704754872</v>
      </c>
      <c r="EK245" s="579">
        <f t="shared" si="296"/>
        <v>7</v>
      </c>
      <c r="EL245" s="602">
        <f t="shared" si="283"/>
        <v>24.174118036299344</v>
      </c>
      <c r="EM245" s="602">
        <f t="shared" si="284"/>
        <v>29.575881963700652</v>
      </c>
      <c r="EN245" s="579">
        <f t="shared" si="297"/>
        <v>7</v>
      </c>
      <c r="EO245" s="602">
        <f t="shared" si="285"/>
        <v>4.0781547863900807</v>
      </c>
      <c r="EP245" s="602">
        <f t="shared" si="286"/>
        <v>14.194572486337192</v>
      </c>
      <c r="EQ245" s="580"/>
      <c r="ER245" s="519" t="s">
        <v>118</v>
      </c>
      <c r="ES245" s="622">
        <f>P296</f>
        <v>93</v>
      </c>
      <c r="ET245" s="622">
        <f>P298</f>
        <v>1590.7294138642621</v>
      </c>
      <c r="EU245" s="579">
        <f t="shared" si="300"/>
        <v>1683.7294138642621</v>
      </c>
      <c r="EV245" s="579">
        <f>Q300</f>
        <v>558.27058613573763</v>
      </c>
      <c r="EW245" s="580"/>
      <c r="EX245" s="580"/>
      <c r="EY245" s="580"/>
      <c r="EZ245" s="580"/>
      <c r="FA245" s="580"/>
      <c r="FB245" s="580"/>
      <c r="FC245" s="580"/>
      <c r="FD245" s="580"/>
      <c r="FE245" s="580"/>
      <c r="FF245" s="580"/>
      <c r="FG245" s="580"/>
      <c r="FH245" s="580"/>
    </row>
    <row r="246" spans="1:164" x14ac:dyDescent="0.2">
      <c r="A246" s="180">
        <v>8</v>
      </c>
      <c r="B246" s="261"/>
      <c r="C246" s="262"/>
      <c r="D246" s="261"/>
      <c r="E246" s="262"/>
      <c r="F246" s="185"/>
      <c r="G246" s="185"/>
      <c r="H246" s="261"/>
      <c r="I246" s="262"/>
      <c r="J246" s="263">
        <f t="shared" si="267"/>
        <v>16</v>
      </c>
      <c r="K246" s="263">
        <f t="shared" si="268"/>
        <v>37</v>
      </c>
      <c r="L246" s="261"/>
      <c r="M246" s="262"/>
      <c r="N246" s="185"/>
      <c r="O246" s="185"/>
      <c r="P246" s="261"/>
      <c r="Q246" s="262"/>
      <c r="R246" s="185"/>
      <c r="S246" s="185"/>
      <c r="T246" s="274">
        <f>T187*T127</f>
        <v>8</v>
      </c>
      <c r="U246" s="269">
        <f>T187*U127</f>
        <v>1</v>
      </c>
      <c r="V246" s="276">
        <v>16</v>
      </c>
      <c r="W246" s="276">
        <v>1</v>
      </c>
      <c r="X246" s="264">
        <f t="shared" si="273"/>
        <v>10.444444444444445</v>
      </c>
      <c r="Y246" s="265">
        <f t="shared" si="274"/>
        <v>83.555555555555557</v>
      </c>
      <c r="Z246" s="276">
        <v>2</v>
      </c>
      <c r="AA246" s="276">
        <v>1</v>
      </c>
      <c r="AB246" s="264">
        <f>AB187*AB129</f>
        <v>2.75</v>
      </c>
      <c r="AC246" s="265">
        <f>AB187*AC129</f>
        <v>8.25</v>
      </c>
      <c r="AD246" s="185">
        <f t="shared" si="303"/>
        <v>0</v>
      </c>
      <c r="AE246" s="262">
        <f>AD187*AE129</f>
        <v>0</v>
      </c>
      <c r="AF246" s="268">
        <f>AF187*Z129</f>
        <v>16.666666666666664</v>
      </c>
      <c r="AG246" s="269">
        <f>AF187*AA129</f>
        <v>8.3333333333333321</v>
      </c>
      <c r="AH246" s="268">
        <f>AH187*Z129</f>
        <v>2.6666666666666665</v>
      </c>
      <c r="AI246" s="272">
        <f>AH187*AA129</f>
        <v>1.3333333333333333</v>
      </c>
      <c r="AJ246" s="224">
        <f t="shared" si="287"/>
        <v>0</v>
      </c>
      <c r="AK246" s="262">
        <f t="shared" si="288"/>
        <v>0</v>
      </c>
      <c r="AL246" s="270">
        <f>AL187*AR129</f>
        <v>1.25</v>
      </c>
      <c r="AM246" s="270">
        <f>AL187*AS129</f>
        <v>8.75</v>
      </c>
      <c r="AN246" s="261"/>
      <c r="AO246" s="262"/>
      <c r="AP246" s="185">
        <f t="shared" si="298"/>
        <v>0</v>
      </c>
      <c r="AQ246" s="185">
        <f t="shared" si="299"/>
        <v>0</v>
      </c>
      <c r="AR246" s="264">
        <f>AR187*AR129</f>
        <v>2.125</v>
      </c>
      <c r="AS246" s="265">
        <f>AR187*AS129</f>
        <v>14.875</v>
      </c>
      <c r="AT246" s="263">
        <f t="shared" si="277"/>
        <v>7</v>
      </c>
      <c r="AU246" s="263">
        <f t="shared" si="278"/>
        <v>28</v>
      </c>
      <c r="AV246" s="264">
        <f t="shared" si="279"/>
        <v>7.2222222222222223</v>
      </c>
      <c r="AW246" s="265">
        <f t="shared" si="280"/>
        <v>18.777777777777779</v>
      </c>
      <c r="AX246" s="263">
        <f t="shared" si="301"/>
        <v>4</v>
      </c>
      <c r="AY246" s="263">
        <f t="shared" si="302"/>
        <v>0</v>
      </c>
      <c r="AZ246" s="264">
        <f t="shared" si="289"/>
        <v>3</v>
      </c>
      <c r="BA246" s="265">
        <f t="shared" si="290"/>
        <v>7</v>
      </c>
      <c r="BB246" s="261"/>
      <c r="BC246" s="262"/>
      <c r="BD246" s="261"/>
      <c r="BE246" s="224"/>
      <c r="BF246" s="566"/>
      <c r="BG246" s="668"/>
      <c r="BH246" s="686"/>
      <c r="BI246" s="224"/>
      <c r="BJ246" s="224"/>
      <c r="BK246" s="686"/>
      <c r="BL246" s="576">
        <f>BL129*$BL187+IF(SUM($BL70:$BN70)&gt;0, BN129*$BL187*(BL70/SUM($BL70:$BM70)),0)</f>
        <v>0</v>
      </c>
      <c r="BM246" s="670">
        <f>BM129*$BL187+IF(SUM($BL70:$BN70)&gt;0, BN129*$BL187*(BM70/SUM($BL70:$BM70)),0)</f>
        <v>0</v>
      </c>
      <c r="BN246" s="687">
        <f t="shared" ref="BN246:BN255" si="314">BL246+BM246*BO$303</f>
        <v>0</v>
      </c>
      <c r="BO246" s="670">
        <f>BO129*$BL187+IF(SUM($BO70:$BQ70)&gt;0, BQ129*$BL187*(BO70/SUM($BO70:$BP70)))</f>
        <v>0.55499999999999994</v>
      </c>
      <c r="BP246" s="670">
        <f>BP129*$BL187+IF(SUM($BO70:$BQ70)&gt;0, BQ129*$BL187*(BP70/SUM($BO70:$BP70)))</f>
        <v>0</v>
      </c>
      <c r="BQ246" s="697">
        <f t="shared" ref="BQ246:BQ259" si="315">BO246+BP246*BO$303</f>
        <v>0.55499999999999994</v>
      </c>
      <c r="BR246" s="264">
        <f t="shared" si="308"/>
        <v>0</v>
      </c>
      <c r="BS246" s="273">
        <f t="shared" si="309"/>
        <v>0</v>
      </c>
      <c r="BT246" s="941">
        <f t="shared" si="310"/>
        <v>0</v>
      </c>
      <c r="BU246" s="273">
        <f t="shared" si="311"/>
        <v>1.85</v>
      </c>
      <c r="BV246" s="273">
        <f t="shared" si="312"/>
        <v>0</v>
      </c>
      <c r="BW246" s="945">
        <f t="shared" si="313"/>
        <v>1.85</v>
      </c>
      <c r="BX246" s="576">
        <f>BX129*$BX187+IF(SUM($BX70:$BZ70)&gt;0, BZ129*$BX187*(BX70/SUM($BX70:$BY70)),0)</f>
        <v>1</v>
      </c>
      <c r="BY246" s="670">
        <f>BY129*$BX187+IF(SUM($BX70:$BZ70)&gt;0, BZ129*$BX187*(BY70/SUM($BX70:$BY70)),0)</f>
        <v>1</v>
      </c>
      <c r="BZ246" s="687">
        <f>BX246+BY246*CA$303</f>
        <v>1.0868</v>
      </c>
      <c r="CA246" s="1021">
        <f>(CA129*$BX187+IF(SUM($CA70:$CC70)&gt;0, CC129*$BX187*(CA70/SUM($CA70:$CB70))))*0.185</f>
        <v>0.55499999999999994</v>
      </c>
      <c r="CB246" s="1021">
        <f>(CB129*$BX187+IF(SUM($CA70:$CC70)&gt;0, CC129*$BX187*(CB70/SUM($CA70:$CB70))))*0.185</f>
        <v>0</v>
      </c>
      <c r="CC246" s="1022">
        <f>CA246+CB246*CA$303</f>
        <v>0.55499999999999994</v>
      </c>
      <c r="CD246" s="625"/>
      <c r="CE246" s="672"/>
      <c r="CF246" s="689"/>
      <c r="CG246" s="672"/>
      <c r="CH246" s="672"/>
      <c r="CI246" s="821"/>
      <c r="CJ246" s="625"/>
      <c r="CK246" s="672"/>
      <c r="CL246" s="689"/>
      <c r="CM246" s="672"/>
      <c r="CN246" s="672"/>
      <c r="CO246" s="821"/>
      <c r="CP246" s="625"/>
      <c r="CQ246" s="672"/>
      <c r="CR246" s="689"/>
      <c r="CS246" s="672"/>
      <c r="CT246" s="672"/>
      <c r="CU246" s="821"/>
      <c r="CV246" s="625">
        <v>0</v>
      </c>
      <c r="CW246" s="672">
        <v>0</v>
      </c>
      <c r="CX246" s="687">
        <f t="shared" ref="CX246" si="316">CV246+CW246*CY$303</f>
        <v>0</v>
      </c>
      <c r="CY246" s="672">
        <v>58.3</v>
      </c>
      <c r="CZ246" s="672">
        <v>8.6999999999999993</v>
      </c>
      <c r="DA246" s="697">
        <f t="shared" ref="DA246" si="317">CY246+CZ246*CY$303</f>
        <v>59.077779999999997</v>
      </c>
      <c r="DB246" s="1559"/>
      <c r="DC246" s="689"/>
      <c r="DD246" s="689"/>
      <c r="DE246" s="689"/>
      <c r="DF246" s="689"/>
      <c r="DG246" s="821"/>
      <c r="DH246" s="124">
        <v>0</v>
      </c>
      <c r="DI246" s="124">
        <v>0</v>
      </c>
      <c r="DJ246" s="687">
        <f t="shared" ref="DJ246:DJ249" si="318">DH246+DI246*DK$303</f>
        <v>0</v>
      </c>
      <c r="DK246" s="124">
        <v>8</v>
      </c>
      <c r="DL246" s="124">
        <v>0</v>
      </c>
      <c r="DM246" s="687">
        <f>DK246+DL246*DK$303</f>
        <v>8</v>
      </c>
      <c r="DN246" s="625"/>
      <c r="DO246" s="672"/>
      <c r="DP246" s="689"/>
      <c r="DQ246" s="672"/>
      <c r="DR246" s="672"/>
      <c r="DS246" s="821"/>
      <c r="DT246" s="625"/>
      <c r="DU246" s="672"/>
      <c r="DV246" s="689"/>
      <c r="DW246" s="672"/>
      <c r="DX246" s="672"/>
      <c r="DY246" s="821"/>
      <c r="DZ246" s="625"/>
      <c r="EA246" s="672"/>
      <c r="EB246" s="689"/>
      <c r="EC246" s="672"/>
      <c r="ED246" s="672"/>
      <c r="EE246" s="821"/>
      <c r="EF246" s="196">
        <f t="shared" si="266"/>
        <v>8</v>
      </c>
      <c r="EG246" s="224"/>
      <c r="EH246" s="579">
        <f t="shared" si="295"/>
        <v>8</v>
      </c>
      <c r="EI246" s="602">
        <f t="shared" si="281"/>
        <v>5.8308823529411775</v>
      </c>
      <c r="EJ246" s="602">
        <f t="shared" si="282"/>
        <v>12.159722222222221</v>
      </c>
      <c r="EK246" s="579">
        <f t="shared" si="296"/>
        <v>8</v>
      </c>
      <c r="EL246" s="602">
        <f t="shared" si="283"/>
        <v>8.2808641975308657</v>
      </c>
      <c r="EM246" s="602">
        <f t="shared" si="284"/>
        <v>15.719135802469136</v>
      </c>
      <c r="EN246" s="579">
        <f t="shared" si="297"/>
        <v>8</v>
      </c>
      <c r="EO246" s="602">
        <f t="shared" si="285"/>
        <v>3.0746527777777777</v>
      </c>
      <c r="EP246" s="602">
        <f t="shared" si="286"/>
        <v>9.6753472222222214</v>
      </c>
      <c r="EQ246" s="580"/>
      <c r="ER246" s="519" t="s">
        <v>53</v>
      </c>
      <c r="ES246" s="622">
        <f>R296</f>
        <v>64</v>
      </c>
      <c r="ET246" s="622">
        <f>R298</f>
        <v>2245.9774229691875</v>
      </c>
      <c r="EU246" s="579">
        <f t="shared" si="300"/>
        <v>2309.9774229691875</v>
      </c>
      <c r="EV246" s="579">
        <f>S300</f>
        <v>116.02257703081233</v>
      </c>
      <c r="EW246" s="580"/>
      <c r="EX246" s="580"/>
      <c r="EY246" s="580"/>
      <c r="EZ246" s="580"/>
      <c r="FA246" s="580"/>
      <c r="FB246" s="580"/>
      <c r="FC246" s="580"/>
      <c r="FD246" s="580"/>
      <c r="FE246" s="580"/>
      <c r="FF246" s="580"/>
      <c r="FG246" s="580"/>
      <c r="FH246" s="580"/>
    </row>
    <row r="247" spans="1:164" x14ac:dyDescent="0.2">
      <c r="A247" s="180">
        <v>9</v>
      </c>
      <c r="B247" s="261"/>
      <c r="C247" s="262"/>
      <c r="D247" s="261"/>
      <c r="E247" s="262"/>
      <c r="F247" s="185"/>
      <c r="G247" s="185"/>
      <c r="H247" s="261"/>
      <c r="I247" s="262"/>
      <c r="J247" s="185"/>
      <c r="K247" s="185"/>
      <c r="L247" s="261"/>
      <c r="M247" s="262"/>
      <c r="N247" s="185"/>
      <c r="O247" s="185"/>
      <c r="P247" s="261"/>
      <c r="Q247" s="262"/>
      <c r="R247" s="185"/>
      <c r="S247" s="185"/>
      <c r="T247" s="261">
        <f>T188*T130</f>
        <v>0</v>
      </c>
      <c r="U247" s="262">
        <f>T188*U130</f>
        <v>0</v>
      </c>
      <c r="V247" s="276">
        <v>1</v>
      </c>
      <c r="W247" s="276">
        <v>1</v>
      </c>
      <c r="X247" s="261"/>
      <c r="Y247" s="262"/>
      <c r="Z247" s="185"/>
      <c r="AA247" s="185"/>
      <c r="AB247" s="261"/>
      <c r="AC247" s="262"/>
      <c r="AD247" s="185">
        <f t="shared" si="303"/>
        <v>0</v>
      </c>
      <c r="AE247" s="262">
        <f>AD188*AE130</f>
        <v>0</v>
      </c>
      <c r="AF247" s="268">
        <f>AF188*V130</f>
        <v>10</v>
      </c>
      <c r="AG247" s="269">
        <f>AF188*W130</f>
        <v>20</v>
      </c>
      <c r="AH247" s="268">
        <f>AH188*V130</f>
        <v>0.66666666666666663</v>
      </c>
      <c r="AI247" s="272">
        <f>AH188*W130</f>
        <v>1.3333333333333333</v>
      </c>
      <c r="AJ247" s="224">
        <f t="shared" si="287"/>
        <v>0</v>
      </c>
      <c r="AK247" s="262">
        <f t="shared" si="288"/>
        <v>0</v>
      </c>
      <c r="AL247" s="270">
        <f>AL188*AR130</f>
        <v>0.33333333333333331</v>
      </c>
      <c r="AM247" s="270">
        <f>AL188*AS130</f>
        <v>3.6666666666666665</v>
      </c>
      <c r="AN247" s="264">
        <f>AN188*AN130</f>
        <v>0</v>
      </c>
      <c r="AO247" s="265">
        <f>AN188*AO130</f>
        <v>12</v>
      </c>
      <c r="AP247" s="270">
        <f>AP188*AP128</f>
        <v>5</v>
      </c>
      <c r="AQ247" s="270">
        <f>AP188*AQ128</f>
        <v>15</v>
      </c>
      <c r="AR247" s="264">
        <f>AR188*AR130</f>
        <v>2.583333333333333</v>
      </c>
      <c r="AS247" s="265">
        <f>AR188*AS130</f>
        <v>28.416666666666664</v>
      </c>
      <c r="AT247" s="263">
        <f t="shared" si="277"/>
        <v>5</v>
      </c>
      <c r="AU247" s="263">
        <f t="shared" si="278"/>
        <v>27</v>
      </c>
      <c r="AV247" s="264">
        <f t="shared" si="279"/>
        <v>3.125</v>
      </c>
      <c r="AW247" s="265">
        <f t="shared" si="280"/>
        <v>21.875</v>
      </c>
      <c r="AX247" s="263">
        <f t="shared" si="301"/>
        <v>0</v>
      </c>
      <c r="AY247" s="263">
        <f t="shared" si="302"/>
        <v>15</v>
      </c>
      <c r="AZ247" s="264">
        <f t="shared" si="289"/>
        <v>1</v>
      </c>
      <c r="BA247" s="265">
        <f t="shared" si="290"/>
        <v>1</v>
      </c>
      <c r="BB247" s="261"/>
      <c r="BC247" s="262"/>
      <c r="BD247" s="264">
        <f>BD188*BD130</f>
        <v>0</v>
      </c>
      <c r="BE247" s="273">
        <f>BD188*BE130</f>
        <v>14</v>
      </c>
      <c r="BF247" s="566"/>
      <c r="BG247" s="668"/>
      <c r="BH247" s="686"/>
      <c r="BI247" s="224"/>
      <c r="BJ247" s="224"/>
      <c r="BK247" s="686"/>
      <c r="BL247" s="576">
        <f>BL130*$BL188+IF(SUM($BL71:$BN71)&gt;0, BN130*$BL188*(BL71/SUM($BL71:$BM71)),0)</f>
        <v>0.18499999999999997</v>
      </c>
      <c r="BM247" s="670">
        <f>BM130*$BL188+IF(SUM($BL71:$BN71)&gt;0, BN130*$BL188*(BM71/SUM($BL71:$BM71)),0)</f>
        <v>0</v>
      </c>
      <c r="BN247" s="687">
        <f t="shared" si="314"/>
        <v>0.18499999999999997</v>
      </c>
      <c r="BO247" s="670">
        <f>BO130*$BL188+IF(SUM($BO71:$BQ71)&gt;0, BQ130*$BL188*(BO71/SUM($BO71:$BP71)))</f>
        <v>0.92499999999999993</v>
      </c>
      <c r="BP247" s="670">
        <f>BP130*$BL188+IF(SUM($BO71:$BQ71)&gt;0, BQ130*$BL188*(BP71/SUM($BO71:$BP71)))</f>
        <v>0</v>
      </c>
      <c r="BQ247" s="697">
        <f t="shared" si="315"/>
        <v>0.92499999999999993</v>
      </c>
      <c r="BR247" s="264">
        <f t="shared" ref="BR247:BR255" si="319">BR130*$BR188+IF(SUM($BR71:$BT71)&gt;0, BT130*$BR188*(BR71/SUM($BR71:$BS71)),0)</f>
        <v>0</v>
      </c>
      <c r="BS247" s="273">
        <f t="shared" si="309"/>
        <v>0</v>
      </c>
      <c r="BT247" s="941">
        <f t="shared" ref="BT247:BT255" si="320">BR247+BS247*BU$303</f>
        <v>0</v>
      </c>
      <c r="BU247" s="273">
        <f t="shared" ref="BU247:BU255" si="321">BU130*$BR188+IF(SUM($BU71:$BW71)&gt;0, BW130*$BR188*(BU71/SUM($BU71:$BV71)))</f>
        <v>3.145</v>
      </c>
      <c r="BV247" s="273">
        <f t="shared" si="312"/>
        <v>0</v>
      </c>
      <c r="BW247" s="945">
        <f t="shared" ref="BW247:BW255" si="322">BU247+BV247*BU$303</f>
        <v>3.145</v>
      </c>
      <c r="BX247" s="576">
        <f t="shared" ref="BX247:BX255" si="323">BX130*$BX188+IF(SUM($BX71:$BZ71)&gt;0, BZ130*$BX188*(BX71/SUM($BX71:$BY71)),0)</f>
        <v>0</v>
      </c>
      <c r="BY247" s="670">
        <f t="shared" ref="BY247:BY256" si="324">BY130*$BX188+IF(SUM($BX71:$BZ71)&gt;0, BZ130*$BX188*(BY71/SUM($BX71:$BY71)),0)</f>
        <v>1</v>
      </c>
      <c r="BZ247" s="687">
        <f t="shared" ref="BZ247:BZ255" si="325">BX247+BY247*CA$303</f>
        <v>8.6800000000000002E-2</v>
      </c>
      <c r="CA247" s="1021">
        <f t="shared" ref="CA247:CA255" si="326">(CA130*$BX188+IF(SUM($CA71:$CC71)&gt;0, CC130*$BX188*(CA71/SUM($CA71:$CB71))))*0.185</f>
        <v>3.145</v>
      </c>
      <c r="CB247" s="1021">
        <f t="shared" ref="CB247:CB256" si="327">(CB130*$BX188+IF(SUM($CA71:$CC71)&gt;0, CC130*$BX188*(CB71/SUM($CA71:$CB71))))*0.185</f>
        <v>0</v>
      </c>
      <c r="CC247" s="1022">
        <f t="shared" ref="CC247:CC255" si="328">CA247+CB247*CA$303</f>
        <v>3.145</v>
      </c>
      <c r="CD247" s="574">
        <f>CD130*$CD188+IF(SUM($CD71:$CF71)&gt;0, CF130*$CD188*(CD71/SUM($CD71:$CGO71)),0)</f>
        <v>0</v>
      </c>
      <c r="CE247" s="666">
        <f>CE130*$CD188+IF(SUM($CD71:$CF71)&gt;0, CF130*$CD188*(CE71/SUM($CD71:$CE71)),0)</f>
        <v>0</v>
      </c>
      <c r="CF247" s="683">
        <f t="shared" ref="CF247" si="329">CD247+CE247*CG$303</f>
        <v>0</v>
      </c>
      <c r="CG247" s="1135">
        <f>(CG130*$CD188+IF(SUM($CG71:$CI71)&gt;0, CI130*$CD188*(CG71/SUM($CG71:$CH71))))*0.185</f>
        <v>0.185</v>
      </c>
      <c r="CH247" s="1135">
        <f>(CH130*$CD188+IF(SUM($CG71:$CI71)&gt;0, CI130*$CD188*(CH71/SUM($CG71:$CH71))))*0.185</f>
        <v>0</v>
      </c>
      <c r="CI247" s="1136">
        <f t="shared" ref="CI247" si="330">CG247+CH247*CG$303</f>
        <v>0.185</v>
      </c>
      <c r="CJ247" s="625"/>
      <c r="CK247" s="672"/>
      <c r="CL247" s="689"/>
      <c r="CM247" s="672"/>
      <c r="CN247" s="672"/>
      <c r="CO247" s="821"/>
      <c r="CP247" s="625"/>
      <c r="CQ247" s="672"/>
      <c r="CR247" s="689"/>
      <c r="CS247" s="672"/>
      <c r="CT247" s="672"/>
      <c r="CU247" s="821"/>
      <c r="CV247" s="625"/>
      <c r="CW247" s="672"/>
      <c r="CX247" s="689"/>
      <c r="CY247" s="672"/>
      <c r="CZ247" s="672"/>
      <c r="DA247" s="821"/>
      <c r="DB247" s="1559"/>
      <c r="DC247" s="689"/>
      <c r="DD247" s="689"/>
      <c r="DE247" s="689"/>
      <c r="DF247" s="689"/>
      <c r="DG247" s="821"/>
      <c r="DH247" s="625"/>
      <c r="DI247" s="672"/>
      <c r="DJ247" s="687"/>
      <c r="DK247" s="672"/>
      <c r="DL247" s="672"/>
      <c r="DM247" s="687"/>
      <c r="DN247" s="625"/>
      <c r="DO247" s="672"/>
      <c r="DP247" s="689"/>
      <c r="DQ247" s="672"/>
      <c r="DR247" s="672"/>
      <c r="DS247" s="821"/>
      <c r="DT247" s="625"/>
      <c r="DU247" s="672"/>
      <c r="DV247" s="689"/>
      <c r="DW247" s="672"/>
      <c r="DX247" s="672"/>
      <c r="DY247" s="821"/>
      <c r="DZ247" s="625"/>
      <c r="EA247" s="672"/>
      <c r="EB247" s="689"/>
      <c r="EC247" s="672"/>
      <c r="ED247" s="672"/>
      <c r="EE247" s="821"/>
      <c r="EF247" s="196">
        <f t="shared" si="266"/>
        <v>9</v>
      </c>
      <c r="EG247" s="224"/>
      <c r="EH247" s="579">
        <f t="shared" si="295"/>
        <v>9</v>
      </c>
      <c r="EI247" s="602">
        <f t="shared" si="281"/>
        <v>1.9138888888888888</v>
      </c>
      <c r="EJ247" s="602">
        <f t="shared" si="282"/>
        <v>10.018229166666666</v>
      </c>
      <c r="EK247" s="579">
        <f t="shared" si="296"/>
        <v>9</v>
      </c>
      <c r="EL247" s="602">
        <f t="shared" si="283"/>
        <v>2.333333333333333</v>
      </c>
      <c r="EM247" s="602">
        <f t="shared" si="284"/>
        <v>4.4666666666666668</v>
      </c>
      <c r="EN247" s="579">
        <f t="shared" si="297"/>
        <v>9</v>
      </c>
      <c r="EO247" s="602">
        <f t="shared" si="285"/>
        <v>1.7041666666666664</v>
      </c>
      <c r="EP247" s="602">
        <f t="shared" si="286"/>
        <v>13.795833333333331</v>
      </c>
      <c r="EQ247" s="580"/>
      <c r="ER247" s="519" t="s">
        <v>54</v>
      </c>
      <c r="ES247" s="622">
        <f>T296</f>
        <v>48.5</v>
      </c>
      <c r="ET247" s="622">
        <f>T298</f>
        <v>698.45971914264601</v>
      </c>
      <c r="EU247" s="579">
        <f t="shared" si="300"/>
        <v>746.95971914264601</v>
      </c>
      <c r="EV247" s="579">
        <f>U300</f>
        <v>58.040280857354027</v>
      </c>
      <c r="EW247" s="580"/>
      <c r="EX247" s="580"/>
      <c r="EY247" s="580"/>
      <c r="EZ247" s="580"/>
      <c r="FA247" s="580"/>
      <c r="FB247" s="580"/>
      <c r="FC247" s="580"/>
      <c r="FD247" s="580"/>
      <c r="FE247" s="580"/>
      <c r="FF247" s="580"/>
      <c r="FG247" s="580"/>
      <c r="FH247" s="580"/>
    </row>
    <row r="248" spans="1:164" x14ac:dyDescent="0.2">
      <c r="A248" s="180">
        <v>10</v>
      </c>
      <c r="B248" s="261"/>
      <c r="C248" s="262"/>
      <c r="D248" s="261"/>
      <c r="E248" s="262"/>
      <c r="F248" s="185"/>
      <c r="G248" s="185"/>
      <c r="H248" s="261"/>
      <c r="I248" s="262"/>
      <c r="J248" s="270">
        <f>J189*J129</f>
        <v>14.79245283018868</v>
      </c>
      <c r="K248" s="270">
        <f>J189*K129</f>
        <v>34.20754716981132</v>
      </c>
      <c r="L248" s="261"/>
      <c r="M248" s="262"/>
      <c r="N248" s="185"/>
      <c r="O248" s="185"/>
      <c r="P248" s="261"/>
      <c r="Q248" s="262"/>
      <c r="R248" s="185"/>
      <c r="S248" s="185"/>
      <c r="T248" s="264">
        <f>T189*T131</f>
        <v>4</v>
      </c>
      <c r="U248" s="265">
        <f>T189*U131</f>
        <v>8</v>
      </c>
      <c r="V248" s="185">
        <f>V189*V131</f>
        <v>0</v>
      </c>
      <c r="W248" s="185">
        <f>V189*W131</f>
        <v>0</v>
      </c>
      <c r="X248" s="261"/>
      <c r="Y248" s="262"/>
      <c r="Z248" s="185"/>
      <c r="AA248" s="185"/>
      <c r="AB248" s="261"/>
      <c r="AC248" s="262"/>
      <c r="AD248" s="276">
        <f t="shared" si="303"/>
        <v>0</v>
      </c>
      <c r="AE248" s="277">
        <v>13</v>
      </c>
      <c r="AF248" s="268">
        <f>AF189*AD131</f>
        <v>0</v>
      </c>
      <c r="AG248" s="269">
        <f>AF189*AE131</f>
        <v>30</v>
      </c>
      <c r="AH248" s="224">
        <f>AH189*AH131</f>
        <v>0</v>
      </c>
      <c r="AI248" s="275">
        <f>AH189*AI131</f>
        <v>0</v>
      </c>
      <c r="AJ248" s="224">
        <f t="shared" si="287"/>
        <v>0</v>
      </c>
      <c r="AK248" s="262">
        <f t="shared" si="288"/>
        <v>0</v>
      </c>
      <c r="AL248" s="185"/>
      <c r="AM248" s="185"/>
      <c r="AN248" s="261"/>
      <c r="AO248" s="262"/>
      <c r="AP248" s="185">
        <f>AP189*AP131</f>
        <v>0</v>
      </c>
      <c r="AQ248" s="185">
        <f>AP189*AQ131</f>
        <v>0</v>
      </c>
      <c r="AR248" s="274">
        <f>AR189*AR130</f>
        <v>1.25</v>
      </c>
      <c r="AS248" s="269">
        <f>AR189*AS130</f>
        <v>13.75</v>
      </c>
      <c r="AT248" s="263">
        <f t="shared" si="277"/>
        <v>1.3846153846153846</v>
      </c>
      <c r="AU248" s="263">
        <f t="shared" si="278"/>
        <v>34.615384615384613</v>
      </c>
      <c r="AV248" s="264">
        <f t="shared" si="279"/>
        <v>1.05</v>
      </c>
      <c r="AW248" s="265">
        <f t="shared" si="280"/>
        <v>19.95</v>
      </c>
      <c r="AX248" s="263">
        <f t="shared" si="301"/>
        <v>0</v>
      </c>
      <c r="AY248" s="263">
        <f t="shared" si="302"/>
        <v>12</v>
      </c>
      <c r="AZ248" s="264">
        <f t="shared" si="289"/>
        <v>2.5</v>
      </c>
      <c r="BA248" s="265">
        <f t="shared" si="290"/>
        <v>7.5</v>
      </c>
      <c r="BB248" s="261"/>
      <c r="BC248" s="262"/>
      <c r="BD248" s="261"/>
      <c r="BE248" s="224"/>
      <c r="BF248" s="566"/>
      <c r="BG248" s="668"/>
      <c r="BH248" s="686"/>
      <c r="BI248" s="224"/>
      <c r="BJ248" s="224"/>
      <c r="BK248" s="686"/>
      <c r="BL248" s="216">
        <f t="shared" ref="BL248:BL256" si="331">BL131*$BL189+IF(SUM($BL72:$BN72)&gt;0, BN131*$BL189*(BL72/SUM($BL72:$BM72)),0)</f>
        <v>0.185</v>
      </c>
      <c r="BM248" s="227">
        <f t="shared" ref="BM248:BM256" si="332">BM131*$BL189+IF(SUM($BL72:$BN72)&gt;0, BN131*$BL189*(BM72/SUM($BL72:$BM72)),0)</f>
        <v>0</v>
      </c>
      <c r="BN248" s="711">
        <f t="shared" si="314"/>
        <v>0.185</v>
      </c>
      <c r="BO248" s="227">
        <f t="shared" ref="BO248:BO256" si="333">BO131*$BL189+IF(SUM($BO72:$BQ72)&gt;0, BQ131*$BL189*(BO72/SUM($BO72:$BP72)))</f>
        <v>1.2949999999999999</v>
      </c>
      <c r="BP248" s="227">
        <f t="shared" ref="BP248:BP256" si="334">BP131*$BL189+IF(SUM($BO72:$BQ72)&gt;0, BQ131*$BL189*(BP72/SUM($BO72:$BP72)))</f>
        <v>0</v>
      </c>
      <c r="BQ248" s="775">
        <f t="shared" si="315"/>
        <v>1.2949999999999999</v>
      </c>
      <c r="BR248" s="264">
        <f t="shared" si="319"/>
        <v>0</v>
      </c>
      <c r="BS248" s="273">
        <f t="shared" si="309"/>
        <v>0.55499999999999994</v>
      </c>
      <c r="BT248" s="941">
        <f t="shared" si="320"/>
        <v>4.8839999999999995E-2</v>
      </c>
      <c r="BU248" s="273">
        <f t="shared" si="321"/>
        <v>0.92500000000000004</v>
      </c>
      <c r="BV248" s="273">
        <f t="shared" si="312"/>
        <v>0</v>
      </c>
      <c r="BW248" s="945">
        <f t="shared" si="322"/>
        <v>0.92500000000000004</v>
      </c>
      <c r="BX248" s="576">
        <f t="shared" si="323"/>
        <v>0</v>
      </c>
      <c r="BY248" s="670">
        <f t="shared" si="324"/>
        <v>0</v>
      </c>
      <c r="BZ248" s="687">
        <f t="shared" si="325"/>
        <v>0</v>
      </c>
      <c r="CA248" s="1021">
        <f t="shared" si="326"/>
        <v>3.8849999999999998</v>
      </c>
      <c r="CB248" s="1021">
        <f t="shared" si="327"/>
        <v>0</v>
      </c>
      <c r="CC248" s="1022">
        <f t="shared" si="328"/>
        <v>3.8849999999999998</v>
      </c>
      <c r="CD248" s="576"/>
      <c r="CE248" s="670"/>
      <c r="CF248" s="687"/>
      <c r="CG248" s="1021"/>
      <c r="CH248" s="1021"/>
      <c r="CI248" s="1022"/>
      <c r="CJ248" s="211"/>
      <c r="CK248" s="196"/>
      <c r="CL248" s="691"/>
      <c r="CM248" s="196"/>
      <c r="CN248" s="196"/>
      <c r="CO248" s="698"/>
      <c r="CP248" s="211"/>
      <c r="CQ248" s="196"/>
      <c r="CR248" s="691"/>
      <c r="CS248" s="196"/>
      <c r="CT248" s="196"/>
      <c r="CU248" s="698"/>
      <c r="CV248" s="211"/>
      <c r="CW248" s="196"/>
      <c r="CX248" s="691"/>
      <c r="CY248" s="196"/>
      <c r="CZ248" s="196"/>
      <c r="DA248" s="698"/>
      <c r="DB248" s="1560"/>
      <c r="DC248" s="691"/>
      <c r="DD248" s="691"/>
      <c r="DE248" s="691"/>
      <c r="DF248" s="691"/>
      <c r="DG248" s="698"/>
      <c r="DH248" s="625">
        <v>0</v>
      </c>
      <c r="DI248" s="672">
        <v>0</v>
      </c>
      <c r="DJ248" s="687">
        <f t="shared" si="318"/>
        <v>0</v>
      </c>
      <c r="DK248" s="672">
        <v>33</v>
      </c>
      <c r="DL248" s="672">
        <v>0</v>
      </c>
      <c r="DM248" s="687">
        <f t="shared" ref="DM248:DM249" si="335">DK248+DL248*DK$303</f>
        <v>33</v>
      </c>
      <c r="DN248" s="261"/>
      <c r="DO248" s="224"/>
      <c r="DP248" s="691"/>
      <c r="DQ248" s="224"/>
      <c r="DR248" s="224"/>
      <c r="DS248" s="698"/>
      <c r="DT248" s="261"/>
      <c r="DU248" s="224"/>
      <c r="DV248" s="691"/>
      <c r="DW248" s="224"/>
      <c r="DX248" s="224"/>
      <c r="DY248" s="698"/>
      <c r="DZ248" s="261"/>
      <c r="EA248" s="224"/>
      <c r="EB248" s="691"/>
      <c r="EC248" s="224"/>
      <c r="ED248" s="224"/>
      <c r="EE248" s="698"/>
      <c r="EF248" s="196">
        <f t="shared" si="266"/>
        <v>10</v>
      </c>
      <c r="EG248" s="224"/>
      <c r="EH248" s="579">
        <f t="shared" si="295"/>
        <v>10</v>
      </c>
      <c r="EI248" s="602">
        <f t="shared" si="281"/>
        <v>1.9213129396003126</v>
      </c>
      <c r="EJ248" s="602">
        <f t="shared" si="282"/>
        <v>12.358780841799708</v>
      </c>
      <c r="EK248" s="579">
        <f t="shared" si="296"/>
        <v>10</v>
      </c>
      <c r="EL248" s="602">
        <f t="shared" si="283"/>
        <v>3.1320754716981134</v>
      </c>
      <c r="EM248" s="602">
        <f t="shared" si="284"/>
        <v>14.20125786163522</v>
      </c>
      <c r="EN248" s="579">
        <f t="shared" si="297"/>
        <v>10</v>
      </c>
      <c r="EO248" s="602">
        <f t="shared" si="285"/>
        <v>0.8835164835164836</v>
      </c>
      <c r="EP248" s="602">
        <f t="shared" si="286"/>
        <v>12.545054945054945</v>
      </c>
      <c r="EQ248" s="580"/>
      <c r="ER248" s="519" t="s">
        <v>55</v>
      </c>
      <c r="ES248" s="622">
        <f>V296</f>
        <v>21</v>
      </c>
      <c r="ET248" s="622">
        <f>V298</f>
        <v>172.52265690965382</v>
      </c>
      <c r="EU248" s="579">
        <f t="shared" si="300"/>
        <v>193.52265690965382</v>
      </c>
      <c r="EV248" s="579">
        <f>W300</f>
        <v>62.477343090346181</v>
      </c>
      <c r="EW248" s="580"/>
      <c r="EX248" s="580"/>
      <c r="EY248" s="580"/>
      <c r="EZ248" s="580"/>
      <c r="FA248" s="580"/>
      <c r="FB248" s="580"/>
      <c r="FC248" s="580"/>
      <c r="FD248" s="580"/>
      <c r="FE248" s="580"/>
      <c r="FF248" s="580"/>
      <c r="FG248" s="580"/>
      <c r="FH248" s="580"/>
    </row>
    <row r="249" spans="1:164" x14ac:dyDescent="0.2">
      <c r="A249" s="180">
        <v>11</v>
      </c>
      <c r="B249" s="261"/>
      <c r="C249" s="262"/>
      <c r="D249" s="261"/>
      <c r="E249" s="262"/>
      <c r="F249" s="185"/>
      <c r="G249" s="185"/>
      <c r="H249" s="261"/>
      <c r="I249" s="262"/>
      <c r="J249" s="185"/>
      <c r="K249" s="185"/>
      <c r="L249" s="261"/>
      <c r="M249" s="262"/>
      <c r="N249" s="185"/>
      <c r="O249" s="185"/>
      <c r="P249" s="261"/>
      <c r="Q249" s="262"/>
      <c r="R249" s="185"/>
      <c r="S249" s="185"/>
      <c r="T249" s="261">
        <f>T190*T132</f>
        <v>0</v>
      </c>
      <c r="U249" s="262">
        <f>T190*U132</f>
        <v>0</v>
      </c>
      <c r="V249" s="263">
        <f>V190*V132</f>
        <v>1.6470588235294117</v>
      </c>
      <c r="W249" s="263">
        <f>V190*W132</f>
        <v>26.352941176470587</v>
      </c>
      <c r="X249" s="261"/>
      <c r="Y249" s="262"/>
      <c r="Z249" s="185"/>
      <c r="AA249" s="185"/>
      <c r="AB249" s="261"/>
      <c r="AC249" s="262"/>
      <c r="AD249" s="185"/>
      <c r="AE249" s="262"/>
      <c r="AF249" s="268">
        <f>AF190*V132</f>
        <v>0.94117647058823528</v>
      </c>
      <c r="AG249" s="269">
        <f>AF190*W132</f>
        <v>15.058823529411764</v>
      </c>
      <c r="AH249" s="268">
        <f>AH190*V132</f>
        <v>5.8823529411764705E-2</v>
      </c>
      <c r="AI249" s="272">
        <f>AH190*W132</f>
        <v>0.94117647058823528</v>
      </c>
      <c r="AJ249" s="224"/>
      <c r="AK249" s="262"/>
      <c r="AL249" s="185"/>
      <c r="AM249" s="185"/>
      <c r="AN249" s="261"/>
      <c r="AO249" s="262"/>
      <c r="AP249" s="185">
        <f>AP190*AP132</f>
        <v>0</v>
      </c>
      <c r="AQ249" s="185">
        <f>AP190*AQ132</f>
        <v>0</v>
      </c>
      <c r="AR249" s="261">
        <f>AR190*AR132</f>
        <v>0</v>
      </c>
      <c r="AS249" s="262">
        <f>AR190*AS132</f>
        <v>0</v>
      </c>
      <c r="AT249" s="263">
        <f t="shared" si="277"/>
        <v>11.76923076923077</v>
      </c>
      <c r="AU249" s="263">
        <f t="shared" si="278"/>
        <v>90.230769230769226</v>
      </c>
      <c r="AV249" s="264">
        <f t="shared" si="279"/>
        <v>0</v>
      </c>
      <c r="AW249" s="265">
        <f t="shared" si="280"/>
        <v>0</v>
      </c>
      <c r="AX249" s="263">
        <f t="shared" si="301"/>
        <v>0</v>
      </c>
      <c r="AY249" s="263">
        <f t="shared" si="302"/>
        <v>15</v>
      </c>
      <c r="AZ249" s="261">
        <f t="shared" si="289"/>
        <v>0</v>
      </c>
      <c r="BA249" s="262">
        <f t="shared" si="290"/>
        <v>0</v>
      </c>
      <c r="BB249" s="261"/>
      <c r="BC249" s="262"/>
      <c r="BD249" s="261"/>
      <c r="BE249" s="224"/>
      <c r="BF249" s="566"/>
      <c r="BG249" s="668"/>
      <c r="BH249" s="686"/>
      <c r="BI249" s="224"/>
      <c r="BJ249" s="224"/>
      <c r="BK249" s="686"/>
      <c r="BL249" s="216">
        <f t="shared" si="331"/>
        <v>0</v>
      </c>
      <c r="BM249" s="227">
        <f t="shared" si="332"/>
        <v>0</v>
      </c>
      <c r="BN249" s="711">
        <f t="shared" si="314"/>
        <v>0</v>
      </c>
      <c r="BO249" s="227">
        <f t="shared" si="333"/>
        <v>0.185</v>
      </c>
      <c r="BP249" s="227">
        <f t="shared" si="334"/>
        <v>0</v>
      </c>
      <c r="BQ249" s="775">
        <f t="shared" si="315"/>
        <v>0.185</v>
      </c>
      <c r="BR249" s="264">
        <f t="shared" si="319"/>
        <v>0</v>
      </c>
      <c r="BS249" s="273">
        <f t="shared" si="309"/>
        <v>0</v>
      </c>
      <c r="BT249" s="941">
        <f t="shared" si="320"/>
        <v>0</v>
      </c>
      <c r="BU249" s="273">
        <f t="shared" si="321"/>
        <v>3.8850000000000002</v>
      </c>
      <c r="BV249" s="273">
        <f t="shared" si="312"/>
        <v>0.18500000000000003</v>
      </c>
      <c r="BW249" s="945">
        <f t="shared" si="322"/>
        <v>3.9012800000000003</v>
      </c>
      <c r="BX249" s="576">
        <f t="shared" si="323"/>
        <v>1</v>
      </c>
      <c r="BY249" s="670">
        <f t="shared" si="324"/>
        <v>0</v>
      </c>
      <c r="BZ249" s="687">
        <f t="shared" si="325"/>
        <v>1</v>
      </c>
      <c r="CA249" s="1021">
        <f t="shared" si="326"/>
        <v>2.59</v>
      </c>
      <c r="CB249" s="1021">
        <f t="shared" si="327"/>
        <v>0</v>
      </c>
      <c r="CC249" s="1022">
        <f t="shared" si="328"/>
        <v>2.59</v>
      </c>
      <c r="CD249" s="576"/>
      <c r="CE249" s="670"/>
      <c r="CF249" s="687"/>
      <c r="CG249" s="1021"/>
      <c r="CH249" s="1021"/>
      <c r="CI249" s="1022"/>
      <c r="CJ249" s="211"/>
      <c r="CK249" s="196"/>
      <c r="CL249" s="691"/>
      <c r="CM249" s="196"/>
      <c r="CN249" s="196"/>
      <c r="CO249" s="698"/>
      <c r="CP249" s="211"/>
      <c r="CQ249" s="196"/>
      <c r="CR249" s="691"/>
      <c r="CS249" s="196"/>
      <c r="CT249" s="196"/>
      <c r="CU249" s="698"/>
      <c r="CV249" s="211"/>
      <c r="CW249" s="196"/>
      <c r="CX249" s="691"/>
      <c r="CY249" s="196"/>
      <c r="CZ249" s="196"/>
      <c r="DA249" s="698"/>
      <c r="DB249" s="1560"/>
      <c r="DC249" s="691"/>
      <c r="DD249" s="691"/>
      <c r="DE249" s="691"/>
      <c r="DF249" s="691"/>
      <c r="DG249" s="698"/>
      <c r="DH249" s="1145">
        <v>0</v>
      </c>
      <c r="DI249" s="1146">
        <v>0</v>
      </c>
      <c r="DJ249" s="687">
        <f t="shared" si="318"/>
        <v>0</v>
      </c>
      <c r="DK249" s="1146">
        <v>27</v>
      </c>
      <c r="DL249" s="1146">
        <v>0</v>
      </c>
      <c r="DM249" s="1658">
        <f t="shared" si="335"/>
        <v>27</v>
      </c>
      <c r="DN249" s="261"/>
      <c r="DO249" s="224"/>
      <c r="DP249" s="691"/>
      <c r="DQ249" s="224"/>
      <c r="DR249" s="224"/>
      <c r="DS249" s="698"/>
      <c r="DT249" s="261"/>
      <c r="DU249" s="224"/>
      <c r="DV249" s="691"/>
      <c r="DW249" s="224"/>
      <c r="DX249" s="224"/>
      <c r="DY249" s="698"/>
      <c r="DZ249" s="261"/>
      <c r="EA249" s="224"/>
      <c r="EB249" s="691"/>
      <c r="EC249" s="224"/>
      <c r="ED249" s="224"/>
      <c r="EE249" s="698"/>
      <c r="EF249" s="196">
        <f t="shared" si="266"/>
        <v>11</v>
      </c>
      <c r="EG249" s="224"/>
      <c r="EH249" s="579">
        <f t="shared" si="295"/>
        <v>11</v>
      </c>
      <c r="EI249" s="602">
        <f t="shared" si="281"/>
        <v>1.4416289592760181</v>
      </c>
      <c r="EJ249" s="602">
        <f t="shared" si="282"/>
        <v>13.41670094611271</v>
      </c>
      <c r="EK249" s="579">
        <f t="shared" si="296"/>
        <v>11</v>
      </c>
      <c r="EL249" s="602">
        <f t="shared" si="283"/>
        <v>0.66176470588235281</v>
      </c>
      <c r="EM249" s="602">
        <f t="shared" si="284"/>
        <v>10.588235294117645</v>
      </c>
      <c r="EN249" s="579">
        <f t="shared" si="297"/>
        <v>11</v>
      </c>
      <c r="EO249" s="602">
        <f t="shared" si="285"/>
        <v>1.9615384615384617</v>
      </c>
      <c r="EP249" s="602">
        <f t="shared" si="286"/>
        <v>17.538461538461537</v>
      </c>
      <c r="EQ249" s="580"/>
      <c r="ER249" s="519" t="s">
        <v>56</v>
      </c>
      <c r="ES249" s="622">
        <f>X296</f>
        <v>25</v>
      </c>
      <c r="ET249" s="622">
        <f>X298</f>
        <v>915.01050061050046</v>
      </c>
      <c r="EU249" s="579">
        <f t="shared" si="300"/>
        <v>940.01050061050046</v>
      </c>
      <c r="EV249" s="579">
        <f>Y300</f>
        <v>296.98949938949937</v>
      </c>
      <c r="EW249" s="580"/>
      <c r="EX249" s="580"/>
      <c r="EY249" s="580"/>
      <c r="EZ249" s="580"/>
      <c r="FA249" s="580"/>
      <c r="FB249" s="580"/>
      <c r="FC249" s="580"/>
      <c r="FD249" s="580"/>
      <c r="FE249" s="580"/>
      <c r="FF249" s="580"/>
      <c r="FG249" s="580"/>
      <c r="FH249" s="580"/>
    </row>
    <row r="250" spans="1:164" x14ac:dyDescent="0.2">
      <c r="A250" s="180">
        <v>12</v>
      </c>
      <c r="B250" s="261"/>
      <c r="C250" s="262"/>
      <c r="D250" s="261"/>
      <c r="E250" s="262"/>
      <c r="F250" s="185"/>
      <c r="G250" s="185"/>
      <c r="H250" s="261"/>
      <c r="I250" s="262"/>
      <c r="J250" s="185"/>
      <c r="K250" s="185"/>
      <c r="L250" s="261"/>
      <c r="M250" s="262"/>
      <c r="N250" s="185"/>
      <c r="O250" s="185"/>
      <c r="P250" s="261"/>
      <c r="Q250" s="262"/>
      <c r="R250" s="185"/>
      <c r="S250" s="185"/>
      <c r="T250" s="261">
        <f>T191*T133</f>
        <v>0</v>
      </c>
      <c r="U250" s="262">
        <f>T191*U133</f>
        <v>0</v>
      </c>
      <c r="V250" s="263">
        <f>V191*V133</f>
        <v>3.4210526315789473</v>
      </c>
      <c r="W250" s="263">
        <f>V191*W133</f>
        <v>9.5789473684210513</v>
      </c>
      <c r="X250" s="261"/>
      <c r="Y250" s="262"/>
      <c r="Z250" s="185"/>
      <c r="AA250" s="185"/>
      <c r="AB250" s="261"/>
      <c r="AC250" s="262"/>
      <c r="AD250" s="185"/>
      <c r="AE250" s="262"/>
      <c r="AF250" s="224">
        <f>AF191*AF133</f>
        <v>0</v>
      </c>
      <c r="AG250" s="262">
        <f>AF191*AG133</f>
        <v>0</v>
      </c>
      <c r="AH250" s="268">
        <f>AH191*V133</f>
        <v>1.3157894736842104</v>
      </c>
      <c r="AI250" s="272">
        <f>AH191*W133</f>
        <v>3.6842105263157894</v>
      </c>
      <c r="AJ250" s="224"/>
      <c r="AK250" s="262"/>
      <c r="AL250" s="185"/>
      <c r="AM250" s="185"/>
      <c r="AN250" s="261"/>
      <c r="AO250" s="262"/>
      <c r="AP250" s="185">
        <f>AP191*AP133</f>
        <v>0</v>
      </c>
      <c r="AQ250" s="185">
        <f>AP191*AQ133</f>
        <v>0</v>
      </c>
      <c r="AR250" s="274">
        <f>AR191*AR130</f>
        <v>0.41666666666666663</v>
      </c>
      <c r="AS250" s="269">
        <f>AR191*AS130</f>
        <v>4.583333333333333</v>
      </c>
      <c r="AT250" s="263">
        <f t="shared" si="277"/>
        <v>0</v>
      </c>
      <c r="AU250" s="263">
        <f t="shared" si="278"/>
        <v>27</v>
      </c>
      <c r="AV250" s="264">
        <f>AV191*AV133</f>
        <v>3.4615384615384617</v>
      </c>
      <c r="AW250" s="265">
        <f>AV191*AW133</f>
        <v>41.53846153846154</v>
      </c>
      <c r="AX250" s="263">
        <f t="shared" si="301"/>
        <v>4.24</v>
      </c>
      <c r="AY250" s="263">
        <f t="shared" si="302"/>
        <v>48.760000000000005</v>
      </c>
      <c r="AZ250" s="264">
        <f t="shared" si="289"/>
        <v>0</v>
      </c>
      <c r="BA250" s="265">
        <f t="shared" si="290"/>
        <v>12</v>
      </c>
      <c r="BB250" s="261"/>
      <c r="BC250" s="262"/>
      <c r="BD250" s="261"/>
      <c r="BE250" s="224"/>
      <c r="BF250" s="576">
        <f>BF133*$BF191+IF(SUM($BF74:$BH74)&gt;0,BH133*$BF191*(BF74/SUM($BF74:$BG74)))</f>
        <v>0</v>
      </c>
      <c r="BG250" s="670">
        <f>BG133*$BF191+IF(SUM($BF74:$BH74)&gt;0,BH133*$BF191*(BG74/SUM($BF74:$BG74)))</f>
        <v>0</v>
      </c>
      <c r="BH250" s="687">
        <f>BF250+BG250*0.0661</f>
        <v>0</v>
      </c>
      <c r="BI250" s="670">
        <f>BI133*$BF191+IF(SUM($BI74:$BK74)&gt;0,BK133*$BF191*(BI74/SUM($BI74:$BJ74)))</f>
        <v>30</v>
      </c>
      <c r="BJ250" s="670">
        <f>BJ133*$BF191+IF(SUM($BI74:$BK74)&gt;0,BK133*$BF191*(BJ74/SUM($BI74:$BJ74)))</f>
        <v>1</v>
      </c>
      <c r="BK250" s="687">
        <f>BI250+BJ250*0.0661</f>
        <v>30.066099999999999</v>
      </c>
      <c r="BL250" s="214">
        <f t="shared" si="331"/>
        <v>0</v>
      </c>
      <c r="BM250" s="776">
        <f t="shared" si="332"/>
        <v>0</v>
      </c>
      <c r="BN250" s="777">
        <f t="shared" si="314"/>
        <v>0</v>
      </c>
      <c r="BO250" s="776">
        <f t="shared" si="333"/>
        <v>1.1099999999999999</v>
      </c>
      <c r="BP250" s="776">
        <f t="shared" si="334"/>
        <v>0</v>
      </c>
      <c r="BQ250" s="778">
        <f t="shared" si="315"/>
        <v>1.1099999999999999</v>
      </c>
      <c r="BR250" s="264">
        <f t="shared" si="319"/>
        <v>0</v>
      </c>
      <c r="BS250" s="273">
        <f t="shared" si="309"/>
        <v>0</v>
      </c>
      <c r="BT250" s="941">
        <f t="shared" si="320"/>
        <v>0</v>
      </c>
      <c r="BU250" s="273">
        <f t="shared" si="321"/>
        <v>3.33</v>
      </c>
      <c r="BV250" s="273">
        <f t="shared" si="312"/>
        <v>0</v>
      </c>
      <c r="BW250" s="945">
        <f t="shared" si="322"/>
        <v>3.33</v>
      </c>
      <c r="BX250" s="576">
        <f t="shared" si="323"/>
        <v>0</v>
      </c>
      <c r="BY250" s="670">
        <f t="shared" si="324"/>
        <v>0</v>
      </c>
      <c r="BZ250" s="687">
        <f t="shared" si="325"/>
        <v>0</v>
      </c>
      <c r="CA250" s="1021">
        <f t="shared" si="326"/>
        <v>2.4049999999999998</v>
      </c>
      <c r="CB250" s="1021">
        <f t="shared" si="327"/>
        <v>0.185</v>
      </c>
      <c r="CC250" s="1022">
        <f t="shared" si="328"/>
        <v>2.4210579999999999</v>
      </c>
      <c r="CD250" s="576">
        <f t="shared" ref="CD250:CD256" si="336">CD133*$CD191+IF(SUM($CD74:$CF74)&gt;0, CF133*$CD191*(CD74/SUM($CD74:$CGO74)),0)</f>
        <v>0</v>
      </c>
      <c r="CE250" s="670">
        <f t="shared" ref="CE250:CE256" si="337">CE133*$CD191+IF(SUM($CD74:$CF74)&gt;0, CF133*$CD191*(CE74/SUM($CD74:$CE74)),0)</f>
        <v>0</v>
      </c>
      <c r="CF250" s="687">
        <f t="shared" ref="CF250:CF255" si="338">CD250+CE250*CG$303</f>
        <v>0</v>
      </c>
      <c r="CG250" s="1021">
        <f t="shared" ref="CG250:CG256" si="339">(CG133*$CD191+IF(SUM($CG74:$CI74)&gt;0, CI133*$CD191*(CG74/SUM($CG74:$CH74))))*0.185</f>
        <v>2.96</v>
      </c>
      <c r="CH250" s="1021">
        <f t="shared" ref="CH250:CH256" si="340">(CH133*$CD191+IF(SUM($CG74:$CI74)&gt;0, CI133*$CD191*(CH74/SUM($CG74:$CH74))))*0.185</f>
        <v>0.55499999999999994</v>
      </c>
      <c r="CI250" s="1022">
        <f t="shared" ref="CI250:CI265" si="341">CG250+CH250*CG$303</f>
        <v>3.0091174999999999</v>
      </c>
      <c r="CJ250" s="822"/>
      <c r="CK250" s="823"/>
      <c r="CL250" s="428"/>
      <c r="CM250" s="823"/>
      <c r="CN250" s="823"/>
      <c r="CO250" s="824"/>
      <c r="CP250" s="822"/>
      <c r="CQ250" s="823"/>
      <c r="CR250" s="428"/>
      <c r="CS250" s="823"/>
      <c r="CT250" s="823"/>
      <c r="CU250" s="824"/>
      <c r="CV250" s="822"/>
      <c r="CW250" s="823"/>
      <c r="CX250" s="428"/>
      <c r="CY250" s="823"/>
      <c r="CZ250" s="823"/>
      <c r="DA250" s="824"/>
      <c r="DB250" s="1561"/>
      <c r="DC250" s="428"/>
      <c r="DD250" s="428"/>
      <c r="DE250" s="428"/>
      <c r="DF250" s="428"/>
      <c r="DG250" s="824"/>
      <c r="DH250" s="625"/>
      <c r="DI250" s="672"/>
      <c r="DJ250" s="428"/>
      <c r="DK250" s="672"/>
      <c r="DL250" s="672"/>
      <c r="DM250" s="824"/>
      <c r="DN250" s="625"/>
      <c r="DO250" s="672"/>
      <c r="DP250" s="428"/>
      <c r="DQ250" s="672"/>
      <c r="DR250" s="672"/>
      <c r="DS250" s="824"/>
      <c r="DT250" s="625"/>
      <c r="DU250" s="672"/>
      <c r="DV250" s="428"/>
      <c r="DW250" s="672"/>
      <c r="DX250" s="672"/>
      <c r="DY250" s="824"/>
      <c r="DZ250" s="625"/>
      <c r="EA250" s="672"/>
      <c r="EB250" s="428"/>
      <c r="EC250" s="672"/>
      <c r="ED250" s="672"/>
      <c r="EE250" s="824"/>
      <c r="EF250" s="196">
        <f t="shared" si="266"/>
        <v>12</v>
      </c>
      <c r="EG250" s="224"/>
      <c r="EH250" s="579">
        <f t="shared" si="295"/>
        <v>12</v>
      </c>
      <c r="EI250" s="602">
        <f t="shared" si="281"/>
        <v>1.2855047233468286</v>
      </c>
      <c r="EJ250" s="602">
        <f t="shared" si="282"/>
        <v>13.37681388786652</v>
      </c>
      <c r="EK250" s="579">
        <f t="shared" si="296"/>
        <v>12</v>
      </c>
      <c r="EL250" s="602">
        <f t="shared" si="283"/>
        <v>1.1842105263157894</v>
      </c>
      <c r="EM250" s="602">
        <f t="shared" si="284"/>
        <v>3.3157894736842102</v>
      </c>
      <c r="EN250" s="579">
        <f t="shared" si="297"/>
        <v>12</v>
      </c>
      <c r="EO250" s="602">
        <f t="shared" si="285"/>
        <v>1.3530341880341881</v>
      </c>
      <c r="EP250" s="602">
        <f t="shared" si="286"/>
        <v>22.313632478632481</v>
      </c>
      <c r="EQ250" s="580"/>
      <c r="ER250" s="519" t="s">
        <v>57</v>
      </c>
      <c r="ES250" s="622">
        <f>Z296</f>
        <v>105.5</v>
      </c>
      <c r="ET250" s="622">
        <f>Z298</f>
        <v>979.82234432234441</v>
      </c>
      <c r="EU250" s="579">
        <f t="shared" si="300"/>
        <v>1085.3223443223444</v>
      </c>
      <c r="EV250" s="579">
        <f>AA300</f>
        <v>46.177655677655672</v>
      </c>
      <c r="EW250" s="580"/>
      <c r="EX250" s="580"/>
      <c r="EY250" s="580"/>
      <c r="EZ250" s="580"/>
      <c r="FA250" s="580"/>
      <c r="FB250" s="580"/>
      <c r="FC250" s="580"/>
      <c r="FD250" s="580"/>
      <c r="FE250" s="580"/>
      <c r="FF250" s="580"/>
      <c r="FG250" s="580"/>
      <c r="FH250" s="580"/>
    </row>
    <row r="251" spans="1:164" x14ac:dyDescent="0.2">
      <c r="A251" s="180">
        <v>13</v>
      </c>
      <c r="B251" s="261"/>
      <c r="C251" s="262"/>
      <c r="D251" s="261"/>
      <c r="E251" s="262"/>
      <c r="F251" s="185"/>
      <c r="G251" s="185"/>
      <c r="H251" s="261"/>
      <c r="I251" s="262"/>
      <c r="J251" s="185"/>
      <c r="K251" s="185"/>
      <c r="L251" s="261"/>
      <c r="M251" s="262"/>
      <c r="N251" s="185"/>
      <c r="O251" s="185"/>
      <c r="P251" s="261"/>
      <c r="Q251" s="262"/>
      <c r="R251" s="185"/>
      <c r="S251" s="185"/>
      <c r="T251" s="261"/>
      <c r="U251" s="262"/>
      <c r="V251" s="185"/>
      <c r="W251" s="185"/>
      <c r="X251" s="261"/>
      <c r="Y251" s="262"/>
      <c r="Z251" s="185"/>
      <c r="AA251" s="185"/>
      <c r="AB251" s="261"/>
      <c r="AC251" s="262"/>
      <c r="AD251" s="185"/>
      <c r="AE251" s="262"/>
      <c r="AF251" s="224"/>
      <c r="AG251" s="262"/>
      <c r="AH251" s="268">
        <f>AH192*V133</f>
        <v>2.6315789473684208</v>
      </c>
      <c r="AI251" s="272">
        <f>AH192*W133</f>
        <v>7.3684210526315788</v>
      </c>
      <c r="AJ251" s="224"/>
      <c r="AK251" s="262"/>
      <c r="AL251" s="185"/>
      <c r="AM251" s="185"/>
      <c r="AN251" s="261"/>
      <c r="AO251" s="262"/>
      <c r="AP251" s="263">
        <f>AP192*AP134</f>
        <v>4.5789473684210522</v>
      </c>
      <c r="AQ251" s="263">
        <f>AP192*AQ134</f>
        <v>24.421052631578945</v>
      </c>
      <c r="AR251" s="261">
        <f>AR192*AR134</f>
        <v>0</v>
      </c>
      <c r="AS251" s="262">
        <f>AR192*AS134</f>
        <v>0</v>
      </c>
      <c r="AT251" s="185">
        <f t="shared" si="277"/>
        <v>0</v>
      </c>
      <c r="AU251" s="185">
        <f t="shared" si="278"/>
        <v>0</v>
      </c>
      <c r="AV251" s="274">
        <f>AV192*AV133</f>
        <v>7.3076923076923084</v>
      </c>
      <c r="AW251" s="269">
        <f>AV192*AW133</f>
        <v>87.692307692307693</v>
      </c>
      <c r="AX251" s="270">
        <f>AX192*AX133</f>
        <v>0.32</v>
      </c>
      <c r="AY251" s="270">
        <f>AX192*AY133</f>
        <v>3.68</v>
      </c>
      <c r="AZ251" s="264">
        <f t="shared" si="289"/>
        <v>0</v>
      </c>
      <c r="BA251" s="265">
        <f t="shared" si="290"/>
        <v>3</v>
      </c>
      <c r="BB251" s="261"/>
      <c r="BC251" s="262"/>
      <c r="BD251" s="261"/>
      <c r="BE251" s="224"/>
      <c r="BF251" s="576">
        <f>BF134*$BF192+IF(SUM($BF75:$BH75)&gt;0,BH134*$BF192*(BF75/SUM($BF75:$BG75)))</f>
        <v>0</v>
      </c>
      <c r="BG251" s="670">
        <f>BG134*$BF192+IF(SUM($BF75:$BH75)&gt;0,BH134*$BF192*(BG75/SUM($BF75:$BG75)))</f>
        <v>0</v>
      </c>
      <c r="BH251" s="687">
        <f>BF251+BG251*0.0661</f>
        <v>0</v>
      </c>
      <c r="BI251" s="670">
        <f>BI134*$BF192+IF(SUM($BI75:$BK75)&gt;0,BK134*$BF192*(BI75/SUM($BI75:$BJ75)))</f>
        <v>41</v>
      </c>
      <c r="BJ251" s="670">
        <f>BJ134*$BF192+IF(SUM($BI75:$BK75)&gt;0,BK134*$BF192*(BJ75/SUM($BI75:$BJ75)))</f>
        <v>2</v>
      </c>
      <c r="BK251" s="687">
        <f>BI251+BJ251*0.0661</f>
        <v>41.132199999999997</v>
      </c>
      <c r="BL251" s="216">
        <f t="shared" si="331"/>
        <v>0.18500000000000003</v>
      </c>
      <c r="BM251" s="227">
        <f t="shared" si="332"/>
        <v>0</v>
      </c>
      <c r="BN251" s="711">
        <f t="shared" si="314"/>
        <v>0.18500000000000003</v>
      </c>
      <c r="BO251" s="227">
        <f t="shared" si="333"/>
        <v>1.6650000000000003</v>
      </c>
      <c r="BP251" s="227">
        <f t="shared" si="334"/>
        <v>0.18500000000000003</v>
      </c>
      <c r="BQ251" s="775">
        <f t="shared" si="315"/>
        <v>1.6810025000000002</v>
      </c>
      <c r="BR251" s="264">
        <f t="shared" si="319"/>
        <v>0</v>
      </c>
      <c r="BS251" s="273">
        <f t="shared" si="309"/>
        <v>0</v>
      </c>
      <c r="BT251" s="941">
        <f t="shared" si="320"/>
        <v>0</v>
      </c>
      <c r="BU251" s="273">
        <f t="shared" si="321"/>
        <v>4.8099999999999996</v>
      </c>
      <c r="BV251" s="273">
        <f t="shared" si="312"/>
        <v>0</v>
      </c>
      <c r="BW251" s="945">
        <f t="shared" si="322"/>
        <v>4.8099999999999996</v>
      </c>
      <c r="BX251" s="576">
        <f t="shared" si="323"/>
        <v>0</v>
      </c>
      <c r="BY251" s="670">
        <f t="shared" si="324"/>
        <v>0</v>
      </c>
      <c r="BZ251" s="687">
        <f t="shared" si="325"/>
        <v>0</v>
      </c>
      <c r="CA251" s="1021">
        <f t="shared" si="326"/>
        <v>1.1099999999999999</v>
      </c>
      <c r="CB251" s="1021">
        <f t="shared" si="327"/>
        <v>0.185</v>
      </c>
      <c r="CC251" s="1022">
        <f t="shared" si="328"/>
        <v>1.1260579999999998</v>
      </c>
      <c r="CD251" s="576">
        <f t="shared" si="336"/>
        <v>0</v>
      </c>
      <c r="CE251" s="670">
        <f t="shared" si="337"/>
        <v>0</v>
      </c>
      <c r="CF251" s="687">
        <f t="shared" si="338"/>
        <v>0</v>
      </c>
      <c r="CG251" s="1021">
        <f t="shared" si="339"/>
        <v>3.33</v>
      </c>
      <c r="CH251" s="1021">
        <f t="shared" si="340"/>
        <v>0</v>
      </c>
      <c r="CI251" s="1022">
        <f t="shared" si="341"/>
        <v>3.33</v>
      </c>
      <c r="CJ251" s="211"/>
      <c r="CK251" s="196"/>
      <c r="CL251" s="691"/>
      <c r="CM251" s="196"/>
      <c r="CN251" s="196"/>
      <c r="CO251" s="698"/>
      <c r="CP251" s="211"/>
      <c r="CQ251" s="196"/>
      <c r="CR251" s="691"/>
      <c r="CS251" s="196"/>
      <c r="CT251" s="196"/>
      <c r="CU251" s="698"/>
      <c r="CV251" s="211"/>
      <c r="CW251" s="196"/>
      <c r="CX251" s="691"/>
      <c r="CY251" s="196"/>
      <c r="CZ251" s="196"/>
      <c r="DA251" s="698"/>
      <c r="DB251" s="1560"/>
      <c r="DC251" s="691"/>
      <c r="DD251" s="691"/>
      <c r="DE251" s="691"/>
      <c r="DF251" s="691"/>
      <c r="DG251" s="698"/>
      <c r="DH251" s="261"/>
      <c r="DI251" s="224"/>
      <c r="DJ251" s="691"/>
      <c r="DK251" s="224"/>
      <c r="DL251" s="224"/>
      <c r="DM251" s="698"/>
      <c r="DN251" s="261"/>
      <c r="DO251" s="224"/>
      <c r="DP251" s="691"/>
      <c r="DQ251" s="224"/>
      <c r="DR251" s="224"/>
      <c r="DS251" s="698"/>
      <c r="DT251" s="261"/>
      <c r="DU251" s="224"/>
      <c r="DV251" s="691"/>
      <c r="DW251" s="224"/>
      <c r="DX251" s="224"/>
      <c r="DY251" s="698"/>
      <c r="DZ251" s="261"/>
      <c r="EA251" s="224"/>
      <c r="EB251" s="691"/>
      <c r="EC251" s="224"/>
      <c r="ED251" s="224"/>
      <c r="EE251" s="698"/>
      <c r="EF251" s="196">
        <f t="shared" si="266"/>
        <v>13</v>
      </c>
      <c r="EG251" s="224"/>
      <c r="EH251" s="579">
        <f t="shared" si="295"/>
        <v>13</v>
      </c>
      <c r="EI251" s="602">
        <f t="shared" si="281"/>
        <v>2.1197455176402547</v>
      </c>
      <c r="EJ251" s="602">
        <f t="shared" si="282"/>
        <v>15.770222672064778</v>
      </c>
      <c r="EK251" s="579">
        <f t="shared" si="296"/>
        <v>13</v>
      </c>
      <c r="EL251" s="602">
        <f t="shared" si="283"/>
        <v>2.6315789473684208</v>
      </c>
      <c r="EM251" s="602">
        <f t="shared" si="284"/>
        <v>7.3684210526315788</v>
      </c>
      <c r="EN251" s="579">
        <f t="shared" si="297"/>
        <v>13</v>
      </c>
      <c r="EO251" s="602">
        <f t="shared" si="285"/>
        <v>2.0344399460188938</v>
      </c>
      <c r="EP251" s="602">
        <f t="shared" si="286"/>
        <v>19.79889338731444</v>
      </c>
      <c r="EQ251" s="580"/>
      <c r="ER251" s="519" t="s">
        <v>58</v>
      </c>
      <c r="ES251" s="622">
        <f>AB296</f>
        <v>0.66666666666666663</v>
      </c>
      <c r="ET251" s="622">
        <f>AB298</f>
        <v>96.525000000000006</v>
      </c>
      <c r="EU251" s="579">
        <f t="shared" si="300"/>
        <v>97.191666666666677</v>
      </c>
      <c r="EV251" s="579">
        <f>AC300</f>
        <v>62.808333333333337</v>
      </c>
      <c r="EW251" s="580"/>
      <c r="EX251" s="580"/>
      <c r="EY251" s="580"/>
      <c r="EZ251" s="580"/>
      <c r="FA251" s="580"/>
      <c r="FB251" s="580"/>
      <c r="FC251" s="580"/>
      <c r="FD251" s="580"/>
      <c r="FE251" s="580"/>
      <c r="FF251" s="580"/>
      <c r="FG251" s="580"/>
      <c r="FH251" s="580"/>
    </row>
    <row r="252" spans="1:164" x14ac:dyDescent="0.2">
      <c r="A252" s="180">
        <v>14</v>
      </c>
      <c r="B252" s="261"/>
      <c r="C252" s="262"/>
      <c r="D252" s="261"/>
      <c r="E252" s="262"/>
      <c r="F252" s="185"/>
      <c r="G252" s="185"/>
      <c r="H252" s="261"/>
      <c r="I252" s="262"/>
      <c r="J252" s="185"/>
      <c r="K252" s="185"/>
      <c r="L252" s="261"/>
      <c r="M252" s="262"/>
      <c r="N252" s="185"/>
      <c r="O252" s="185"/>
      <c r="P252" s="261"/>
      <c r="Q252" s="262"/>
      <c r="R252" s="185"/>
      <c r="S252" s="185"/>
      <c r="T252" s="261"/>
      <c r="U252" s="262"/>
      <c r="V252" s="185"/>
      <c r="W252" s="185"/>
      <c r="X252" s="261"/>
      <c r="Y252" s="262"/>
      <c r="Z252" s="185"/>
      <c r="AA252" s="185"/>
      <c r="AB252" s="261"/>
      <c r="AC252" s="262"/>
      <c r="AD252" s="185"/>
      <c r="AE252" s="262"/>
      <c r="AF252" s="224"/>
      <c r="AG252" s="262"/>
      <c r="AH252" s="268">
        <f>AH193*V133</f>
        <v>7.6315789473684204</v>
      </c>
      <c r="AI252" s="272">
        <f>AH193*W133</f>
        <v>21.368421052631579</v>
      </c>
      <c r="AJ252" s="224"/>
      <c r="AK252" s="262"/>
      <c r="AL252" s="185"/>
      <c r="AM252" s="185"/>
      <c r="AN252" s="261"/>
      <c r="AO252" s="262"/>
      <c r="AP252" s="278">
        <f>AP193*AP135</f>
        <v>0</v>
      </c>
      <c r="AQ252" s="278">
        <v>32</v>
      </c>
      <c r="AR252" s="261">
        <f>AR193*AR135</f>
        <v>0</v>
      </c>
      <c r="AS252" s="262">
        <f>AR193*AS135</f>
        <v>0</v>
      </c>
      <c r="AT252" s="185">
        <f t="shared" si="277"/>
        <v>0</v>
      </c>
      <c r="AU252" s="185">
        <f t="shared" si="278"/>
        <v>0</v>
      </c>
      <c r="AV252" s="264">
        <f>AV193*AV135</f>
        <v>0</v>
      </c>
      <c r="AW252" s="265">
        <f>AV193*AW135</f>
        <v>0</v>
      </c>
      <c r="AX252" s="185">
        <f t="shared" ref="AX252:AX272" si="342">AX193*AX135</f>
        <v>0</v>
      </c>
      <c r="AY252" s="185">
        <f t="shared" ref="AY252:AY272" si="343">AX193*AY135</f>
        <v>0</v>
      </c>
      <c r="AZ252" s="264">
        <f t="shared" si="289"/>
        <v>0</v>
      </c>
      <c r="BA252" s="265">
        <f t="shared" si="290"/>
        <v>4</v>
      </c>
      <c r="BB252" s="261"/>
      <c r="BC252" s="262"/>
      <c r="BD252" s="261"/>
      <c r="BE252" s="224"/>
      <c r="BF252" s="566"/>
      <c r="BG252" s="668"/>
      <c r="BH252" s="686"/>
      <c r="BI252" s="224"/>
      <c r="BJ252" s="224"/>
      <c r="BK252" s="686"/>
      <c r="BL252" s="216">
        <f t="shared" si="331"/>
        <v>0</v>
      </c>
      <c r="BM252" s="227">
        <f t="shared" si="332"/>
        <v>0</v>
      </c>
      <c r="BN252" s="711">
        <f t="shared" si="314"/>
        <v>0</v>
      </c>
      <c r="BO252" s="227">
        <f t="shared" si="333"/>
        <v>1.1099999999999999</v>
      </c>
      <c r="BP252" s="227">
        <f t="shared" si="334"/>
        <v>0</v>
      </c>
      <c r="BQ252" s="775">
        <f t="shared" si="315"/>
        <v>1.1099999999999999</v>
      </c>
      <c r="BR252" s="264">
        <f t="shared" si="319"/>
        <v>0</v>
      </c>
      <c r="BS252" s="273">
        <f t="shared" si="309"/>
        <v>0</v>
      </c>
      <c r="BT252" s="941">
        <f t="shared" si="320"/>
        <v>0</v>
      </c>
      <c r="BU252" s="273">
        <f t="shared" si="321"/>
        <v>3.6999999999999997</v>
      </c>
      <c r="BV252" s="273">
        <f t="shared" si="312"/>
        <v>0.18499999999999997</v>
      </c>
      <c r="BW252" s="945">
        <f t="shared" si="322"/>
        <v>3.7162799999999998</v>
      </c>
      <c r="BX252" s="576">
        <f t="shared" si="323"/>
        <v>0</v>
      </c>
      <c r="BY252" s="670">
        <f t="shared" si="324"/>
        <v>0</v>
      </c>
      <c r="BZ252" s="687">
        <f t="shared" si="325"/>
        <v>0</v>
      </c>
      <c r="CA252" s="1021">
        <f t="shared" si="326"/>
        <v>0.92500000000000004</v>
      </c>
      <c r="CB252" s="1021">
        <f t="shared" si="327"/>
        <v>0.185</v>
      </c>
      <c r="CC252" s="1022">
        <f t="shared" si="328"/>
        <v>0.94105800000000006</v>
      </c>
      <c r="CD252" s="576">
        <f t="shared" si="336"/>
        <v>0</v>
      </c>
      <c r="CE252" s="670">
        <f t="shared" si="337"/>
        <v>0</v>
      </c>
      <c r="CF252" s="687">
        <f t="shared" si="338"/>
        <v>0</v>
      </c>
      <c r="CG252" s="1021">
        <f t="shared" si="339"/>
        <v>3.5150000000000001</v>
      </c>
      <c r="CH252" s="1021">
        <f t="shared" si="340"/>
        <v>0</v>
      </c>
      <c r="CI252" s="1022">
        <f t="shared" si="341"/>
        <v>3.5150000000000001</v>
      </c>
      <c r="CJ252" s="211"/>
      <c r="CK252" s="196"/>
      <c r="CL252" s="691"/>
      <c r="CM252" s="196"/>
      <c r="CN252" s="196"/>
      <c r="CO252" s="698"/>
      <c r="CP252" s="211"/>
      <c r="CQ252" s="196"/>
      <c r="CR252" s="691"/>
      <c r="CS252" s="196"/>
      <c r="CT252" s="196"/>
      <c r="CU252" s="698"/>
      <c r="CV252" s="211">
        <v>0</v>
      </c>
      <c r="CW252" s="196">
        <v>0</v>
      </c>
      <c r="CX252" s="687">
        <f t="shared" ref="CX252:CX254" si="344">CV252+CW252*CY$303</f>
        <v>0</v>
      </c>
      <c r="CY252" s="196">
        <v>3</v>
      </c>
      <c r="CZ252" s="196">
        <v>0</v>
      </c>
      <c r="DA252" s="697">
        <f t="shared" ref="DA252:DA254" si="345">CY252+CZ252*CY$303</f>
        <v>3</v>
      </c>
      <c r="DB252" s="1560"/>
      <c r="DC252" s="691"/>
      <c r="DD252" s="691"/>
      <c r="DE252" s="691"/>
      <c r="DF252" s="691"/>
      <c r="DG252" s="698"/>
      <c r="DH252" s="261"/>
      <c r="DI252" s="224"/>
      <c r="DJ252" s="691"/>
      <c r="DK252" s="224"/>
      <c r="DL252" s="224"/>
      <c r="DM252" s="698"/>
      <c r="DN252" s="261"/>
      <c r="DO252" s="224"/>
      <c r="DP252" s="691"/>
      <c r="DQ252" s="224"/>
      <c r="DR252" s="224"/>
      <c r="DS252" s="698"/>
      <c r="DT252" s="261"/>
      <c r="DU252" s="224"/>
      <c r="DV252" s="691"/>
      <c r="DW252" s="224"/>
      <c r="DX252" s="224"/>
      <c r="DY252" s="698"/>
      <c r="DZ252" s="261"/>
      <c r="EA252" s="224"/>
      <c r="EB252" s="691"/>
      <c r="EC252" s="224"/>
      <c r="ED252" s="224"/>
      <c r="EE252" s="698"/>
      <c r="EF252" s="196">
        <f t="shared" si="266"/>
        <v>14</v>
      </c>
      <c r="EG252" s="224"/>
      <c r="EH252" s="579">
        <f t="shared" si="295"/>
        <v>14</v>
      </c>
      <c r="EI252" s="602">
        <f t="shared" si="281"/>
        <v>1.0902255639097744</v>
      </c>
      <c r="EJ252" s="602">
        <f t="shared" si="282"/>
        <v>7.1710526315789469</v>
      </c>
      <c r="EK252" s="579">
        <f t="shared" si="296"/>
        <v>14</v>
      </c>
      <c r="EL252" s="602">
        <f t="shared" si="283"/>
        <v>7.6315789473684204</v>
      </c>
      <c r="EM252" s="602">
        <f t="shared" si="284"/>
        <v>21.368421052631579</v>
      </c>
      <c r="EN252" s="579">
        <f t="shared" si="297"/>
        <v>14</v>
      </c>
      <c r="EO252" s="602">
        <f t="shared" si="285"/>
        <v>0</v>
      </c>
      <c r="EP252" s="602">
        <f t="shared" si="286"/>
        <v>6</v>
      </c>
      <c r="EQ252" s="580"/>
      <c r="ER252" s="519" t="s">
        <v>59</v>
      </c>
      <c r="ES252" s="622">
        <f>AD296</f>
        <v>1</v>
      </c>
      <c r="ET252" s="622">
        <f>AD298</f>
        <v>32</v>
      </c>
      <c r="EU252" s="579">
        <f t="shared" si="300"/>
        <v>33</v>
      </c>
      <c r="EV252" s="579">
        <f>AE300</f>
        <v>48</v>
      </c>
      <c r="EW252" s="580"/>
      <c r="EX252" s="580"/>
      <c r="EY252" s="580"/>
      <c r="EZ252" s="580"/>
      <c r="FA252" s="580"/>
      <c r="FB252" s="580"/>
      <c r="FC252" s="580"/>
      <c r="FD252" s="580"/>
      <c r="FE252" s="580"/>
      <c r="FF252" s="580"/>
      <c r="FG252" s="580"/>
      <c r="FH252" s="580"/>
    </row>
    <row r="253" spans="1:164" x14ac:dyDescent="0.2">
      <c r="A253" s="180">
        <v>15</v>
      </c>
      <c r="B253" s="261"/>
      <c r="C253" s="262"/>
      <c r="D253" s="261"/>
      <c r="E253" s="262"/>
      <c r="F253" s="185"/>
      <c r="G253" s="185"/>
      <c r="H253" s="261"/>
      <c r="I253" s="262"/>
      <c r="J253" s="185"/>
      <c r="K253" s="185"/>
      <c r="L253" s="261"/>
      <c r="M253" s="262"/>
      <c r="N253" s="185"/>
      <c r="O253" s="185"/>
      <c r="P253" s="261"/>
      <c r="Q253" s="262"/>
      <c r="R253" s="185"/>
      <c r="S253" s="185"/>
      <c r="T253" s="261"/>
      <c r="U253" s="262"/>
      <c r="V253" s="185"/>
      <c r="W253" s="185"/>
      <c r="X253" s="261"/>
      <c r="Y253" s="262"/>
      <c r="Z253" s="185"/>
      <c r="AA253" s="185"/>
      <c r="AB253" s="261"/>
      <c r="AC253" s="262"/>
      <c r="AD253" s="185"/>
      <c r="AE253" s="262"/>
      <c r="AF253" s="224"/>
      <c r="AG253" s="262"/>
      <c r="AH253" s="224"/>
      <c r="AI253" s="275"/>
      <c r="AJ253" s="224"/>
      <c r="AK253" s="262"/>
      <c r="AL253" s="185"/>
      <c r="AM253" s="185"/>
      <c r="AN253" s="261"/>
      <c r="AO253" s="262"/>
      <c r="AP253" s="185"/>
      <c r="AQ253" s="185"/>
      <c r="AR253" s="261">
        <f>AR194*AR136</f>
        <v>0</v>
      </c>
      <c r="AS253" s="262">
        <f>AR194*AS136</f>
        <v>0</v>
      </c>
      <c r="AT253" s="263">
        <f t="shared" si="277"/>
        <v>0</v>
      </c>
      <c r="AU253" s="263">
        <f t="shared" si="278"/>
        <v>15</v>
      </c>
      <c r="AV253" s="264">
        <f>AV194*AV136</f>
        <v>0</v>
      </c>
      <c r="AW253" s="265">
        <f>AV194*AW136</f>
        <v>0</v>
      </c>
      <c r="AX253" s="185">
        <f t="shared" si="342"/>
        <v>0</v>
      </c>
      <c r="AY253" s="185">
        <f t="shared" si="343"/>
        <v>0</v>
      </c>
      <c r="AZ253" s="264">
        <f t="shared" si="289"/>
        <v>1</v>
      </c>
      <c r="BA253" s="265">
        <f t="shared" si="290"/>
        <v>12</v>
      </c>
      <c r="BB253" s="261"/>
      <c r="BC253" s="262"/>
      <c r="BD253" s="261"/>
      <c r="BE253" s="224"/>
      <c r="BF253" s="566"/>
      <c r="BG253" s="668"/>
      <c r="BH253" s="686"/>
      <c r="BI253" s="224"/>
      <c r="BJ253" s="224"/>
      <c r="BK253" s="686"/>
      <c r="BL253" s="216">
        <f t="shared" si="331"/>
        <v>0</v>
      </c>
      <c r="BM253" s="227">
        <f t="shared" si="332"/>
        <v>0</v>
      </c>
      <c r="BN253" s="711">
        <f t="shared" si="314"/>
        <v>0</v>
      </c>
      <c r="BO253" s="227">
        <f t="shared" si="333"/>
        <v>0.37</v>
      </c>
      <c r="BP253" s="227">
        <f t="shared" si="334"/>
        <v>0</v>
      </c>
      <c r="BQ253" s="775">
        <f t="shared" si="315"/>
        <v>0.37</v>
      </c>
      <c r="BR253" s="264">
        <f t="shared" si="319"/>
        <v>0</v>
      </c>
      <c r="BS253" s="273">
        <f t="shared" si="309"/>
        <v>0</v>
      </c>
      <c r="BT253" s="941">
        <f t="shared" si="320"/>
        <v>0</v>
      </c>
      <c r="BU253" s="273">
        <f t="shared" si="321"/>
        <v>2.4049999999999998</v>
      </c>
      <c r="BV253" s="273">
        <f t="shared" si="312"/>
        <v>0.37</v>
      </c>
      <c r="BW253" s="945">
        <f t="shared" si="322"/>
        <v>2.4375599999999999</v>
      </c>
      <c r="BX253" s="576">
        <f t="shared" si="323"/>
        <v>0</v>
      </c>
      <c r="BY253" s="670">
        <f t="shared" si="324"/>
        <v>0</v>
      </c>
      <c r="BZ253" s="687">
        <f t="shared" si="325"/>
        <v>0</v>
      </c>
      <c r="CA253" s="1021">
        <f t="shared" si="326"/>
        <v>1.85</v>
      </c>
      <c r="CB253" s="1021">
        <f t="shared" si="327"/>
        <v>0.185</v>
      </c>
      <c r="CC253" s="1022">
        <f t="shared" si="328"/>
        <v>1.866058</v>
      </c>
      <c r="CD253" s="576">
        <f t="shared" si="336"/>
        <v>0</v>
      </c>
      <c r="CE253" s="670">
        <f t="shared" si="337"/>
        <v>0</v>
      </c>
      <c r="CF253" s="687">
        <f t="shared" si="338"/>
        <v>0</v>
      </c>
      <c r="CG253" s="1021">
        <f t="shared" si="339"/>
        <v>4.8099999999999996</v>
      </c>
      <c r="CH253" s="1021">
        <f t="shared" si="340"/>
        <v>1.2949999999999999</v>
      </c>
      <c r="CI253" s="1022">
        <f t="shared" si="341"/>
        <v>4.9246074999999996</v>
      </c>
      <c r="CJ253" s="211"/>
      <c r="CK253" s="196"/>
      <c r="CL253" s="691"/>
      <c r="CM253" s="196"/>
      <c r="CN253" s="196"/>
      <c r="CO253" s="698"/>
      <c r="CP253" s="211"/>
      <c r="CQ253" s="196"/>
      <c r="CR253" s="691"/>
      <c r="CS253" s="196"/>
      <c r="CT253" s="196"/>
      <c r="CU253" s="698"/>
      <c r="CV253" s="211"/>
      <c r="CW253" s="196"/>
      <c r="CX253" s="691"/>
      <c r="CY253" s="196"/>
      <c r="CZ253" s="196"/>
      <c r="DA253" s="698"/>
      <c r="DB253" s="1560"/>
      <c r="DC253" s="691"/>
      <c r="DD253" s="691"/>
      <c r="DE253" s="691"/>
      <c r="DF253" s="691"/>
      <c r="DG253" s="698"/>
      <c r="DH253" s="261"/>
      <c r="DI253" s="224"/>
      <c r="DJ253" s="691"/>
      <c r="DK253" s="224"/>
      <c r="DL253" s="224"/>
      <c r="DM253" s="698"/>
      <c r="DN253" s="261"/>
      <c r="DO253" s="224"/>
      <c r="DP253" s="691"/>
      <c r="DQ253" s="224"/>
      <c r="DR253" s="224"/>
      <c r="DS253" s="698"/>
      <c r="DT253" s="261">
        <v>0</v>
      </c>
      <c r="DU253" s="224">
        <v>0</v>
      </c>
      <c r="DV253" s="687">
        <f t="shared" ref="DV253:DV255" si="346">DT253+DU253*DW$303</f>
        <v>0</v>
      </c>
      <c r="DW253" s="224">
        <v>10.956521739130435</v>
      </c>
      <c r="DX253" s="224">
        <v>1.0434782608695652</v>
      </c>
      <c r="DY253" s="697">
        <f>DW253+DX253*DW$303</f>
        <v>11.046886956521741</v>
      </c>
      <c r="DZ253" s="261"/>
      <c r="EA253" s="224"/>
      <c r="EB253" s="691"/>
      <c r="EC253" s="224"/>
      <c r="ED253" s="224"/>
      <c r="EE253" s="698"/>
      <c r="EF253" s="196">
        <f t="shared" si="266"/>
        <v>15</v>
      </c>
      <c r="EG253" s="224"/>
      <c r="EH253" s="579">
        <f t="shared" si="295"/>
        <v>15</v>
      </c>
      <c r="EI253" s="602">
        <f t="shared" si="281"/>
        <v>0.2</v>
      </c>
      <c r="EJ253" s="602">
        <f t="shared" si="282"/>
        <v>4.5</v>
      </c>
      <c r="EK253" s="579">
        <f t="shared" si="296"/>
        <v>15</v>
      </c>
      <c r="EL253" s="602">
        <v>0</v>
      </c>
      <c r="EM253" s="602">
        <v>0</v>
      </c>
      <c r="EN253" s="579">
        <f t="shared" si="297"/>
        <v>15</v>
      </c>
      <c r="EO253" s="602">
        <f t="shared" si="285"/>
        <v>0.2</v>
      </c>
      <c r="EP253" s="602">
        <f t="shared" si="286"/>
        <v>5.4</v>
      </c>
      <c r="EQ253" s="580"/>
      <c r="ER253" s="519" t="s">
        <v>60</v>
      </c>
      <c r="ES253" s="622">
        <f>AF296</f>
        <v>14.5</v>
      </c>
      <c r="ET253" s="622">
        <f>AF298</f>
        <v>186.45411908353083</v>
      </c>
      <c r="EU253" s="579">
        <f t="shared" si="300"/>
        <v>200.95411908353083</v>
      </c>
      <c r="EV253" s="579">
        <f>AG300</f>
        <v>101.04588091646916</v>
      </c>
      <c r="EW253" s="580"/>
      <c r="EX253" s="580"/>
      <c r="EY253" s="580"/>
      <c r="EZ253" s="580"/>
      <c r="FA253" s="580"/>
      <c r="FB253" s="580"/>
      <c r="FC253" s="580"/>
      <c r="FD253" s="580"/>
      <c r="FE253" s="580"/>
      <c r="FF253" s="580"/>
      <c r="FG253" s="580"/>
      <c r="FH253" s="580"/>
    </row>
    <row r="254" spans="1:164" x14ac:dyDescent="0.2">
      <c r="A254" s="180">
        <v>16</v>
      </c>
      <c r="B254" s="261"/>
      <c r="C254" s="262"/>
      <c r="D254" s="261"/>
      <c r="E254" s="262"/>
      <c r="F254" s="185"/>
      <c r="G254" s="185"/>
      <c r="H254" s="261"/>
      <c r="I254" s="262"/>
      <c r="J254" s="185"/>
      <c r="K254" s="185"/>
      <c r="L254" s="261"/>
      <c r="M254" s="262"/>
      <c r="N254" s="185"/>
      <c r="O254" s="185"/>
      <c r="P254" s="261"/>
      <c r="Q254" s="262"/>
      <c r="R254" s="185"/>
      <c r="S254" s="185"/>
      <c r="T254" s="279"/>
      <c r="U254" s="277"/>
      <c r="V254" s="185"/>
      <c r="W254" s="185"/>
      <c r="X254" s="261"/>
      <c r="Y254" s="262"/>
      <c r="Z254" s="185"/>
      <c r="AA254" s="185"/>
      <c r="AB254" s="261"/>
      <c r="AC254" s="262"/>
      <c r="AD254" s="185"/>
      <c r="AE254" s="262"/>
      <c r="AF254" s="224"/>
      <c r="AG254" s="262"/>
      <c r="AH254" s="224"/>
      <c r="AI254" s="275"/>
      <c r="AJ254" s="224"/>
      <c r="AK254" s="262"/>
      <c r="AL254" s="185"/>
      <c r="AM254" s="185"/>
      <c r="AN254" s="261"/>
      <c r="AO254" s="262"/>
      <c r="AP254" s="185"/>
      <c r="AQ254" s="185"/>
      <c r="AR254" s="264"/>
      <c r="AS254" s="265"/>
      <c r="AT254" s="185"/>
      <c r="AU254" s="185"/>
      <c r="AV254" s="261">
        <f>AV195*AV137</f>
        <v>0</v>
      </c>
      <c r="AW254" s="262">
        <f>AV195*AW137</f>
        <v>0</v>
      </c>
      <c r="AX254" s="185">
        <f t="shared" si="342"/>
        <v>0</v>
      </c>
      <c r="AY254" s="185">
        <f t="shared" si="343"/>
        <v>0</v>
      </c>
      <c r="AZ254" s="264">
        <f t="shared" si="289"/>
        <v>0</v>
      </c>
      <c r="BA254" s="265">
        <f t="shared" si="290"/>
        <v>6</v>
      </c>
      <c r="BB254" s="261"/>
      <c r="BC254" s="262"/>
      <c r="BD254" s="264">
        <f>BD195*BD137</f>
        <v>0</v>
      </c>
      <c r="BE254" s="273">
        <f>BD195*BE137</f>
        <v>61</v>
      </c>
      <c r="BF254" s="566"/>
      <c r="BG254" s="668"/>
      <c r="BH254" s="686"/>
      <c r="BI254" s="224"/>
      <c r="BJ254" s="224"/>
      <c r="BK254" s="686"/>
      <c r="BL254" s="216">
        <f t="shared" si="331"/>
        <v>0</v>
      </c>
      <c r="BM254" s="227">
        <f t="shared" si="332"/>
        <v>0</v>
      </c>
      <c r="BN254" s="711">
        <f t="shared" si="314"/>
        <v>0</v>
      </c>
      <c r="BO254" s="227">
        <f t="shared" si="333"/>
        <v>2.7749999999999999</v>
      </c>
      <c r="BP254" s="227">
        <f t="shared" si="334"/>
        <v>0</v>
      </c>
      <c r="BQ254" s="775">
        <f t="shared" si="315"/>
        <v>2.7749999999999999</v>
      </c>
      <c r="BR254" s="264">
        <f t="shared" si="319"/>
        <v>0</v>
      </c>
      <c r="BS254" s="273">
        <f t="shared" si="309"/>
        <v>0</v>
      </c>
      <c r="BT254" s="941">
        <f t="shared" si="320"/>
        <v>0</v>
      </c>
      <c r="BU254" s="273">
        <f t="shared" si="321"/>
        <v>2.2199999999999998</v>
      </c>
      <c r="BV254" s="273">
        <f t="shared" si="312"/>
        <v>0.185</v>
      </c>
      <c r="BW254" s="945">
        <f t="shared" si="322"/>
        <v>2.2362799999999998</v>
      </c>
      <c r="BX254" s="576">
        <f t="shared" si="323"/>
        <v>0</v>
      </c>
      <c r="BY254" s="670">
        <f t="shared" si="324"/>
        <v>0</v>
      </c>
      <c r="BZ254" s="687">
        <f t="shared" si="325"/>
        <v>0</v>
      </c>
      <c r="CA254" s="1021">
        <f t="shared" si="326"/>
        <v>1.48</v>
      </c>
      <c r="CB254" s="1021">
        <f t="shared" si="327"/>
        <v>0.185</v>
      </c>
      <c r="CC254" s="1022">
        <f t="shared" si="328"/>
        <v>1.4960579999999999</v>
      </c>
      <c r="CD254" s="576">
        <f t="shared" si="336"/>
        <v>0</v>
      </c>
      <c r="CE254" s="670">
        <f t="shared" si="337"/>
        <v>0</v>
      </c>
      <c r="CF254" s="687">
        <f t="shared" si="338"/>
        <v>0</v>
      </c>
      <c r="CG254" s="1021">
        <f t="shared" si="339"/>
        <v>2.2199999999999998</v>
      </c>
      <c r="CH254" s="1021">
        <f t="shared" si="340"/>
        <v>0.185</v>
      </c>
      <c r="CI254" s="1022">
        <f t="shared" si="341"/>
        <v>2.2363724999999999</v>
      </c>
      <c r="CJ254" s="211"/>
      <c r="CK254" s="196"/>
      <c r="CL254" s="691"/>
      <c r="CM254" s="196"/>
      <c r="CN254" s="196"/>
      <c r="CO254" s="698"/>
      <c r="CP254" s="211"/>
      <c r="CQ254" s="196"/>
      <c r="CR254" s="691"/>
      <c r="CS254" s="196"/>
      <c r="CT254" s="196"/>
      <c r="CU254" s="698"/>
      <c r="CV254" s="211">
        <v>0</v>
      </c>
      <c r="CW254" s="196">
        <v>0</v>
      </c>
      <c r="CX254" s="687">
        <f t="shared" si="344"/>
        <v>0</v>
      </c>
      <c r="CY254" s="196">
        <v>3</v>
      </c>
      <c r="CZ254" s="196">
        <v>0</v>
      </c>
      <c r="DA254" s="697">
        <f t="shared" si="345"/>
        <v>3</v>
      </c>
      <c r="DB254" s="1560"/>
      <c r="DC254" s="691"/>
      <c r="DD254" s="691"/>
      <c r="DE254" s="691"/>
      <c r="DF254" s="691"/>
      <c r="DG254" s="698"/>
      <c r="DH254" s="261"/>
      <c r="DI254" s="224"/>
      <c r="DJ254" s="691"/>
      <c r="DK254" s="224"/>
      <c r="DL254" s="224"/>
      <c r="DM254" s="698"/>
      <c r="DN254" s="261"/>
      <c r="DO254" s="224"/>
      <c r="DP254" s="691"/>
      <c r="DQ254" s="224"/>
      <c r="DR254" s="224"/>
      <c r="DS254" s="698"/>
      <c r="DT254" s="261">
        <v>0</v>
      </c>
      <c r="DU254" s="224">
        <v>0</v>
      </c>
      <c r="DV254" s="687">
        <f t="shared" si="346"/>
        <v>0</v>
      </c>
      <c r="DW254" s="224">
        <v>0</v>
      </c>
      <c r="DX254" s="224">
        <v>0</v>
      </c>
      <c r="DY254" s="697">
        <f t="shared" ref="DY254:DY260" si="347">DW254+DX254*DW$303</f>
        <v>0</v>
      </c>
      <c r="DZ254" s="261"/>
      <c r="EA254" s="224"/>
      <c r="EB254" s="691"/>
      <c r="EC254" s="224"/>
      <c r="ED254" s="224"/>
      <c r="EE254" s="698"/>
      <c r="EF254" s="196">
        <f t="shared" si="266"/>
        <v>16</v>
      </c>
      <c r="EG254" s="224"/>
      <c r="EH254" s="579">
        <f t="shared" si="295"/>
        <v>16</v>
      </c>
      <c r="EI254" s="602">
        <f t="shared" si="281"/>
        <v>0</v>
      </c>
      <c r="EJ254" s="602">
        <f t="shared" si="282"/>
        <v>13.4</v>
      </c>
      <c r="EK254" s="579">
        <f t="shared" si="296"/>
        <v>16</v>
      </c>
      <c r="EL254" s="602">
        <v>0</v>
      </c>
      <c r="EM254" s="602">
        <v>0</v>
      </c>
      <c r="EN254" s="579">
        <f t="shared" si="297"/>
        <v>16</v>
      </c>
      <c r="EO254" s="602">
        <f t="shared" si="285"/>
        <v>0</v>
      </c>
      <c r="EP254" s="602">
        <f t="shared" si="286"/>
        <v>16.75</v>
      </c>
      <c r="EQ254" s="580"/>
      <c r="ER254" s="519" t="s">
        <v>61</v>
      </c>
      <c r="ES254" s="622">
        <f>AH296</f>
        <v>10.333333333333332</v>
      </c>
      <c r="ET254" s="622">
        <f>AH298</f>
        <v>176.52476723482911</v>
      </c>
      <c r="EU254" s="579">
        <f t="shared" si="300"/>
        <v>186.85810056816246</v>
      </c>
      <c r="EV254" s="579">
        <f>AI300</f>
        <v>50.141899431837508</v>
      </c>
      <c r="EW254" s="580"/>
      <c r="EX254" s="580"/>
      <c r="EY254" s="580"/>
      <c r="EZ254" s="580"/>
      <c r="FA254" s="580"/>
      <c r="FB254" s="580"/>
      <c r="FC254" s="580"/>
      <c r="FD254" s="580"/>
      <c r="FE254" s="580"/>
      <c r="FF254" s="580"/>
      <c r="FG254" s="580"/>
      <c r="FH254" s="580"/>
    </row>
    <row r="255" spans="1:164" x14ac:dyDescent="0.2">
      <c r="A255" s="187">
        <v>17</v>
      </c>
      <c r="B255" s="177"/>
      <c r="C255" s="280"/>
      <c r="D255" s="177"/>
      <c r="E255" s="280"/>
      <c r="F255" s="281"/>
      <c r="G255" s="281"/>
      <c r="H255" s="177"/>
      <c r="I255" s="280"/>
      <c r="J255" s="281"/>
      <c r="K255" s="281"/>
      <c r="L255" s="177"/>
      <c r="M255" s="280"/>
      <c r="N255" s="281"/>
      <c r="O255" s="281"/>
      <c r="P255" s="177"/>
      <c r="Q255" s="280"/>
      <c r="R255" s="281"/>
      <c r="S255" s="281"/>
      <c r="T255" s="177"/>
      <c r="U255" s="280"/>
      <c r="V255" s="281"/>
      <c r="W255" s="281"/>
      <c r="X255" s="177"/>
      <c r="Y255" s="280"/>
      <c r="Z255" s="281"/>
      <c r="AA255" s="281"/>
      <c r="AB255" s="177"/>
      <c r="AC255" s="280"/>
      <c r="AD255" s="281"/>
      <c r="AE255" s="280"/>
      <c r="AF255" s="281"/>
      <c r="AG255" s="280"/>
      <c r="AH255" s="281"/>
      <c r="AI255" s="282"/>
      <c r="AJ255" s="283"/>
      <c r="AK255" s="280"/>
      <c r="AL255" s="281"/>
      <c r="AM255" s="280"/>
      <c r="AN255" s="281"/>
      <c r="AO255" s="280"/>
      <c r="AP255" s="281"/>
      <c r="AQ255" s="280"/>
      <c r="AR255" s="281"/>
      <c r="AS255" s="280"/>
      <c r="AT255" s="281"/>
      <c r="AU255" s="280"/>
      <c r="AV255" s="281"/>
      <c r="AW255" s="280"/>
      <c r="AX255" s="281">
        <f t="shared" si="342"/>
        <v>0</v>
      </c>
      <c r="AY255" s="280">
        <f t="shared" si="343"/>
        <v>0</v>
      </c>
      <c r="AZ255" s="281"/>
      <c r="BA255" s="280"/>
      <c r="BB255" s="281"/>
      <c r="BC255" s="280"/>
      <c r="BD255" s="177"/>
      <c r="BE255" s="281"/>
      <c r="BF255" s="596"/>
      <c r="BG255" s="677"/>
      <c r="BH255" s="688"/>
      <c r="BI255" s="281"/>
      <c r="BJ255" s="281"/>
      <c r="BK255" s="688"/>
      <c r="BL255" s="242">
        <f t="shared" si="331"/>
        <v>0</v>
      </c>
      <c r="BM255" s="244">
        <f t="shared" si="332"/>
        <v>0</v>
      </c>
      <c r="BN255" s="779">
        <f t="shared" si="314"/>
        <v>0</v>
      </c>
      <c r="BO255" s="244">
        <f t="shared" si="333"/>
        <v>1.8499999999999999</v>
      </c>
      <c r="BP255" s="244">
        <f t="shared" si="334"/>
        <v>0.36999999999999994</v>
      </c>
      <c r="BQ255" s="780">
        <f t="shared" si="315"/>
        <v>1.8820049999999999</v>
      </c>
      <c r="BR255" s="289">
        <f t="shared" si="319"/>
        <v>0.18500000000000003</v>
      </c>
      <c r="BS255" s="291">
        <f t="shared" si="309"/>
        <v>0</v>
      </c>
      <c r="BT255" s="942">
        <f t="shared" si="320"/>
        <v>0.18500000000000003</v>
      </c>
      <c r="BU255" s="291">
        <f t="shared" si="321"/>
        <v>0.7400000000000001</v>
      </c>
      <c r="BV255" s="291">
        <f t="shared" si="312"/>
        <v>0</v>
      </c>
      <c r="BW255" s="946">
        <f t="shared" si="322"/>
        <v>0.7400000000000001</v>
      </c>
      <c r="BX255" s="575">
        <f t="shared" si="323"/>
        <v>0</v>
      </c>
      <c r="BY255" s="669">
        <f t="shared" si="324"/>
        <v>0</v>
      </c>
      <c r="BZ255" s="1037">
        <f t="shared" si="325"/>
        <v>0</v>
      </c>
      <c r="CA255" s="1038">
        <f t="shared" si="326"/>
        <v>0.63428571428571423</v>
      </c>
      <c r="CB255" s="1038">
        <f t="shared" si="327"/>
        <v>0.47571428571428565</v>
      </c>
      <c r="CC255" s="1039">
        <f t="shared" si="328"/>
        <v>0.67557771428571423</v>
      </c>
      <c r="CD255" s="576">
        <f t="shared" si="336"/>
        <v>0</v>
      </c>
      <c r="CE255" s="670">
        <f t="shared" si="337"/>
        <v>0</v>
      </c>
      <c r="CF255" s="687">
        <f t="shared" si="338"/>
        <v>0</v>
      </c>
      <c r="CG255" s="1021">
        <f t="shared" si="339"/>
        <v>1.1099999999999999</v>
      </c>
      <c r="CH255" s="1021">
        <f t="shared" si="340"/>
        <v>0.92500000000000004</v>
      </c>
      <c r="CI255" s="1022">
        <f t="shared" si="341"/>
        <v>1.1918624999999998</v>
      </c>
      <c r="CJ255" s="235"/>
      <c r="CK255" s="237"/>
      <c r="CL255" s="692"/>
      <c r="CM255" s="237"/>
      <c r="CN255" s="237"/>
      <c r="CO255" s="825"/>
      <c r="CP255" s="235"/>
      <c r="CQ255" s="237"/>
      <c r="CR255" s="692"/>
      <c r="CS255" s="237"/>
      <c r="CT255" s="237"/>
      <c r="CU255" s="825"/>
      <c r="CV255" s="235"/>
      <c r="CW255" s="237"/>
      <c r="CX255" s="692"/>
      <c r="CY255" s="237"/>
      <c r="CZ255" s="237"/>
      <c r="DA255" s="825"/>
      <c r="DB255" s="1560"/>
      <c r="DC255" s="691"/>
      <c r="DD255" s="692"/>
      <c r="DE255" s="691"/>
      <c r="DF255" s="691"/>
      <c r="DG255" s="825"/>
      <c r="DH255" s="261"/>
      <c r="DI255" s="224"/>
      <c r="DJ255" s="692"/>
      <c r="DK255" s="224"/>
      <c r="DL255" s="224"/>
      <c r="DM255" s="825"/>
      <c r="DN255" s="261"/>
      <c r="DO255" s="224"/>
      <c r="DP255" s="692"/>
      <c r="DQ255" s="224"/>
      <c r="DR255" s="224"/>
      <c r="DS255" s="825"/>
      <c r="DT255" s="261">
        <v>0</v>
      </c>
      <c r="DU255" s="224">
        <v>0</v>
      </c>
      <c r="DV255" s="1037">
        <f t="shared" si="346"/>
        <v>0</v>
      </c>
      <c r="DW255" s="281">
        <v>0</v>
      </c>
      <c r="DX255" s="281">
        <v>0</v>
      </c>
      <c r="DY255" s="700">
        <f t="shared" si="347"/>
        <v>0</v>
      </c>
      <c r="DZ255" s="261"/>
      <c r="EA255" s="224"/>
      <c r="EB255" s="692"/>
      <c r="EC255" s="224"/>
      <c r="ED255" s="224"/>
      <c r="EE255" s="825"/>
      <c r="EF255" s="196">
        <f t="shared" si="266"/>
        <v>17</v>
      </c>
      <c r="EG255" s="224"/>
      <c r="EH255" s="579">
        <f t="shared" si="295"/>
        <v>17</v>
      </c>
      <c r="EI255" s="602">
        <f t="shared" si="281"/>
        <v>0</v>
      </c>
      <c r="EJ255" s="602">
        <f t="shared" si="282"/>
        <v>0</v>
      </c>
      <c r="EK255" s="579">
        <f t="shared" si="296"/>
        <v>17</v>
      </c>
      <c r="EL255" s="602">
        <v>0</v>
      </c>
      <c r="EM255" s="602">
        <v>0</v>
      </c>
      <c r="EN255" s="579">
        <f t="shared" si="297"/>
        <v>17</v>
      </c>
      <c r="EO255" s="602">
        <f t="shared" si="285"/>
        <v>0</v>
      </c>
      <c r="EP255" s="602">
        <f t="shared" si="286"/>
        <v>0</v>
      </c>
      <c r="EQ255" s="580"/>
      <c r="ER255" s="519" t="s">
        <v>62</v>
      </c>
      <c r="ES255" s="623">
        <f>AJ296</f>
        <v>3.333333333333333</v>
      </c>
      <c r="ET255" s="622">
        <f>AJ298</f>
        <v>68.875091575091574</v>
      </c>
      <c r="EU255" s="579">
        <f t="shared" si="300"/>
        <v>72.208424908424902</v>
      </c>
      <c r="EV255" s="579">
        <f>AK300</f>
        <v>40.791575091575091</v>
      </c>
      <c r="EW255" s="580"/>
      <c r="EX255" s="580"/>
      <c r="EY255" s="580"/>
      <c r="EZ255" s="580"/>
      <c r="FA255" s="580"/>
      <c r="FB255" s="580"/>
      <c r="FC255" s="580"/>
      <c r="FD255" s="580"/>
      <c r="FE255" s="580"/>
      <c r="FF255" s="580"/>
      <c r="FG255" s="580"/>
      <c r="FH255" s="580"/>
    </row>
    <row r="256" spans="1:164" x14ac:dyDescent="0.2">
      <c r="A256" s="156">
        <v>18</v>
      </c>
      <c r="B256" s="261"/>
      <c r="C256" s="262"/>
      <c r="D256" s="261"/>
      <c r="E256" s="262"/>
      <c r="F256" s="185"/>
      <c r="G256" s="185"/>
      <c r="H256" s="261"/>
      <c r="I256" s="262"/>
      <c r="J256" s="185"/>
      <c r="K256" s="185"/>
      <c r="L256" s="434">
        <v>0</v>
      </c>
      <c r="M256" s="435">
        <f>L197</f>
        <v>1.1322000000000001</v>
      </c>
      <c r="N256" s="185"/>
      <c r="O256" s="185"/>
      <c r="P256" s="261"/>
      <c r="Q256" s="262"/>
      <c r="R256" s="185"/>
      <c r="S256" s="185"/>
      <c r="T256" s="261"/>
      <c r="U256" s="262"/>
      <c r="V256" s="185"/>
      <c r="W256" s="185"/>
      <c r="X256" s="264"/>
      <c r="Y256" s="265"/>
      <c r="Z256" s="185"/>
      <c r="AA256" s="185"/>
      <c r="AB256" s="261"/>
      <c r="AC256" s="262"/>
      <c r="AD256" s="185"/>
      <c r="AE256" s="262"/>
      <c r="AF256" s="224"/>
      <c r="AG256" s="262"/>
      <c r="AH256" s="224"/>
      <c r="AI256" s="275"/>
      <c r="AJ256" s="273"/>
      <c r="AK256" s="265"/>
      <c r="AL256" s="185"/>
      <c r="AM256" s="185"/>
      <c r="AN256" s="261"/>
      <c r="AO256" s="262"/>
      <c r="AP256" s="185"/>
      <c r="AQ256" s="185"/>
      <c r="AR256" s="261"/>
      <c r="AS256" s="262"/>
      <c r="AT256" s="185"/>
      <c r="AU256" s="185"/>
      <c r="AV256" s="261"/>
      <c r="AW256" s="262"/>
      <c r="AX256" s="185">
        <f t="shared" si="342"/>
        <v>0</v>
      </c>
      <c r="AY256" s="185">
        <f t="shared" si="343"/>
        <v>0</v>
      </c>
      <c r="AZ256" s="261"/>
      <c r="BA256" s="262"/>
      <c r="BB256" s="261"/>
      <c r="BC256" s="262"/>
      <c r="BD256" s="274">
        <f>BD197*BD140</f>
        <v>0</v>
      </c>
      <c r="BE256" s="285">
        <f>BD197*BE140</f>
        <v>6</v>
      </c>
      <c r="BF256" s="566"/>
      <c r="BG256" s="668"/>
      <c r="BH256" s="686"/>
      <c r="BI256" s="224"/>
      <c r="BJ256" s="224"/>
      <c r="BK256" s="682"/>
      <c r="BL256" s="558">
        <f t="shared" si="331"/>
        <v>0</v>
      </c>
      <c r="BM256" s="572">
        <f t="shared" si="332"/>
        <v>0</v>
      </c>
      <c r="BN256" s="927">
        <f>BL256+BM256*BU$303</f>
        <v>0</v>
      </c>
      <c r="BO256" s="572">
        <f t="shared" si="333"/>
        <v>0.92500000000000004</v>
      </c>
      <c r="BP256" s="572">
        <f t="shared" si="334"/>
        <v>0.74</v>
      </c>
      <c r="BQ256" s="781">
        <f t="shared" si="315"/>
        <v>0.98901000000000006</v>
      </c>
      <c r="BR256" s="271"/>
      <c r="BS256" s="266"/>
      <c r="BT256" s="682"/>
      <c r="BU256" s="266"/>
      <c r="BV256" s="266"/>
      <c r="BW256" s="715"/>
      <c r="BX256" s="576">
        <f t="shared" ref="BX256" si="348">BX139*$BX197+IF(SUM($BX80:$BZ80)&gt;0, BZ139*$BX197*(BX80/SUM($BX80:$BY80)),0)</f>
        <v>0</v>
      </c>
      <c r="BY256" s="670">
        <f t="shared" si="324"/>
        <v>0</v>
      </c>
      <c r="BZ256" s="687">
        <f>BX256+BY256*CG$303</f>
        <v>0</v>
      </c>
      <c r="CA256" s="1021">
        <f t="shared" ref="CA256" si="349">(CA139*$BX197+IF(SUM($CA80:$CC80)&gt;0, CC139*$BX197*(CA80/SUM($CA80:$CB80))))*0.185</f>
        <v>0.74</v>
      </c>
      <c r="CB256" s="1021">
        <f t="shared" si="327"/>
        <v>0.92500000000000004</v>
      </c>
      <c r="CC256" s="1022">
        <f t="shared" ref="CC256" si="350">CA256+CB256*CA$303</f>
        <v>0.82028999999999996</v>
      </c>
      <c r="CD256" s="574">
        <f t="shared" si="336"/>
        <v>0</v>
      </c>
      <c r="CE256" s="666">
        <f t="shared" si="337"/>
        <v>0</v>
      </c>
      <c r="CF256" s="683">
        <f>CD256+CE256*CM$303</f>
        <v>0</v>
      </c>
      <c r="CG256" s="1135">
        <f t="shared" si="339"/>
        <v>0</v>
      </c>
      <c r="CH256" s="1135">
        <f t="shared" si="340"/>
        <v>1.2949999999999999</v>
      </c>
      <c r="CI256" s="1136">
        <f t="shared" si="341"/>
        <v>0.11460749999999999</v>
      </c>
      <c r="CJ256" s="217"/>
      <c r="CK256" s="218"/>
      <c r="CL256" s="826"/>
      <c r="CM256" s="218"/>
      <c r="CN256" s="218"/>
      <c r="CO256" s="827"/>
      <c r="CP256" s="217"/>
      <c r="CQ256" s="218"/>
      <c r="CR256" s="826"/>
      <c r="CS256" s="218"/>
      <c r="CT256" s="218"/>
      <c r="CU256" s="827"/>
      <c r="CV256" s="1567"/>
      <c r="CW256" s="693"/>
      <c r="CX256" s="693"/>
      <c r="CY256" s="693"/>
      <c r="CZ256" s="693"/>
      <c r="DA256" s="827"/>
      <c r="DB256" s="217">
        <v>0</v>
      </c>
      <c r="DC256" s="218">
        <v>0</v>
      </c>
      <c r="DD256" s="687">
        <f>DB256+DC256*DK$303</f>
        <v>0</v>
      </c>
      <c r="DE256" s="218">
        <v>3</v>
      </c>
      <c r="DF256" s="218">
        <v>4</v>
      </c>
      <c r="DG256" s="687">
        <f>DE256+DF256*DE$303</f>
        <v>3.3416000000000001</v>
      </c>
      <c r="DH256" s="271">
        <v>0</v>
      </c>
      <c r="DI256" s="266">
        <v>0</v>
      </c>
      <c r="DJ256" s="687">
        <f>DH256+DI256*DQ$303</f>
        <v>0</v>
      </c>
      <c r="DK256" s="266">
        <v>21.6</v>
      </c>
      <c r="DL256" s="266">
        <v>1.4</v>
      </c>
      <c r="DM256" s="687">
        <f>DK256+DL256*DK$303</f>
        <v>21.719560000000001</v>
      </c>
      <c r="DN256" s="271">
        <v>0</v>
      </c>
      <c r="DO256" s="266">
        <v>0</v>
      </c>
      <c r="DP256" s="687">
        <f>DN256+DO256*DW$303</f>
        <v>0</v>
      </c>
      <c r="DQ256" s="266">
        <v>40.9</v>
      </c>
      <c r="DR256" s="266">
        <v>4.0999999999999996</v>
      </c>
      <c r="DS256" s="697">
        <f>DQ256+DR256*DQ$303</f>
        <v>41.232099999999996</v>
      </c>
      <c r="DT256" s="271">
        <v>0</v>
      </c>
      <c r="DU256" s="266">
        <v>0</v>
      </c>
      <c r="DV256" s="687">
        <f>DT256+DU256*EC$303</f>
        <v>0</v>
      </c>
      <c r="DW256" s="224">
        <v>10.869565217391305</v>
      </c>
      <c r="DX256" s="224">
        <v>14.130434782608695</v>
      </c>
      <c r="DY256" s="697">
        <f t="shared" si="347"/>
        <v>12.093260869565217</v>
      </c>
      <c r="DZ256" s="271"/>
      <c r="EA256" s="266"/>
      <c r="EB256" s="689"/>
      <c r="EC256" s="266"/>
      <c r="ED256" s="266"/>
      <c r="EE256" s="821"/>
      <c r="EF256" s="196">
        <f t="shared" si="266"/>
        <v>18</v>
      </c>
      <c r="EG256" s="224"/>
      <c r="EH256" s="579">
        <f t="shared" si="295"/>
        <v>18</v>
      </c>
      <c r="EI256" s="602">
        <f t="shared" si="281"/>
        <v>0</v>
      </c>
      <c r="EJ256" s="602">
        <f t="shared" si="282"/>
        <v>1.78305</v>
      </c>
      <c r="EK256" s="579">
        <f t="shared" si="296"/>
        <v>18</v>
      </c>
      <c r="EL256" s="602">
        <f t="shared" ref="EL256:EL291" si="351">AVERAGE(D256,F256,H256,J256,L256,N256,P256,R256,T256,V256,X256,Z256,AB256,AD256,AF256,AH256)</f>
        <v>0</v>
      </c>
      <c r="EM256" s="602">
        <f t="shared" ref="EM256:EM291" si="352">AVERAGE(E256,G256,I256,K256,M256,O256,Q256,S256,U256,W256,Y256,AA256,AC256,AE256,AG256,AI256)</f>
        <v>1.1322000000000001</v>
      </c>
      <c r="EN256" s="579">
        <f t="shared" si="297"/>
        <v>18</v>
      </c>
      <c r="EO256" s="602">
        <f t="shared" si="285"/>
        <v>0</v>
      </c>
      <c r="EP256" s="602">
        <f t="shared" si="286"/>
        <v>3</v>
      </c>
      <c r="EQ256" s="580"/>
      <c r="ER256" s="519" t="s">
        <v>63</v>
      </c>
      <c r="ES256" s="623">
        <f>AL296</f>
        <v>1</v>
      </c>
      <c r="ET256" s="622">
        <f>AL298</f>
        <v>184.08475783475785</v>
      </c>
      <c r="EU256" s="579">
        <f t="shared" si="300"/>
        <v>185.08475783475785</v>
      </c>
      <c r="EV256" s="579">
        <f>AM300</f>
        <v>106.91524216524218</v>
      </c>
      <c r="EW256" s="580"/>
      <c r="EX256" s="580"/>
      <c r="EY256" s="580"/>
      <c r="EZ256" s="580"/>
      <c r="FA256" s="580"/>
      <c r="FB256" s="580"/>
      <c r="FC256" s="580"/>
      <c r="FD256" s="580"/>
      <c r="FE256" s="580"/>
      <c r="FF256" s="580"/>
      <c r="FG256" s="580"/>
      <c r="FH256" s="580"/>
    </row>
    <row r="257" spans="1:164" x14ac:dyDescent="0.2">
      <c r="A257" s="159">
        <v>19</v>
      </c>
      <c r="B257" s="261"/>
      <c r="C257" s="262"/>
      <c r="D257" s="261"/>
      <c r="E257" s="262"/>
      <c r="F257" s="185"/>
      <c r="G257" s="185"/>
      <c r="H257" s="261"/>
      <c r="I257" s="262"/>
      <c r="J257" s="185"/>
      <c r="K257" s="185"/>
      <c r="L257" s="438">
        <v>2</v>
      </c>
      <c r="M257" s="433">
        <f t="shared" ref="M257:M262" si="353">L198</f>
        <v>5.1322000000000001</v>
      </c>
      <c r="N257" s="185"/>
      <c r="O257" s="185"/>
      <c r="P257" s="261"/>
      <c r="Q257" s="262"/>
      <c r="R257" s="263"/>
      <c r="S257" s="263"/>
      <c r="T257" s="264"/>
      <c r="U257" s="265"/>
      <c r="V257" s="263"/>
      <c r="W257" s="263"/>
      <c r="X257" s="264"/>
      <c r="Y257" s="265"/>
      <c r="Z257" s="185"/>
      <c r="AA257" s="185"/>
      <c r="AB257" s="264"/>
      <c r="AC257" s="265"/>
      <c r="AD257" s="185"/>
      <c r="AE257" s="262"/>
      <c r="AF257" s="224"/>
      <c r="AG257" s="262"/>
      <c r="AH257" s="224"/>
      <c r="AI257" s="275"/>
      <c r="AJ257" s="273"/>
      <c r="AK257" s="265"/>
      <c r="AL257" s="263"/>
      <c r="AM257" s="263"/>
      <c r="AN257" s="261"/>
      <c r="AO257" s="262"/>
      <c r="AP257" s="263"/>
      <c r="AQ257" s="263"/>
      <c r="AR257" s="264"/>
      <c r="AS257" s="265"/>
      <c r="AT257" s="263"/>
      <c r="AU257" s="263"/>
      <c r="AV257" s="264"/>
      <c r="AW257" s="265"/>
      <c r="AX257" s="517">
        <v>6</v>
      </c>
      <c r="AY257" s="287">
        <f>AX198</f>
        <v>25.123699999999999</v>
      </c>
      <c r="AZ257" s="517">
        <v>2.1</v>
      </c>
      <c r="BA257" s="287">
        <f>AZ198</f>
        <v>20.7271</v>
      </c>
      <c r="BB257" s="517">
        <v>0</v>
      </c>
      <c r="BC257" s="287">
        <f>BB198</f>
        <v>23.390795400000002</v>
      </c>
      <c r="BD257" s="651">
        <v>0</v>
      </c>
      <c r="BE257" s="287">
        <v>5</v>
      </c>
      <c r="BF257" s="576">
        <f>BF140*$BF198+IF(SUM($BF81:$BH81)&gt;0,BH140*$BF198*(BF81/SUM($BF81:$BG81)))</f>
        <v>0</v>
      </c>
      <c r="BG257" s="670">
        <f>BG140*$BF198+IF(SUM($BF81:$BH81)&gt;0,BH140*$BF198*(BG81/SUM($BF81:$BG81)))</f>
        <v>0</v>
      </c>
      <c r="BH257" s="687">
        <f>BF257+BG257*BO$303</f>
        <v>0</v>
      </c>
      <c r="BI257" s="670">
        <f>BI140*$BF198+IF(SUM($BI81:$BK81)&gt;0,BK140*$BF198*(BI81/SUM($BI81:$BJ81)))</f>
        <v>11.6875</v>
      </c>
      <c r="BJ257" s="670">
        <f>BJ140*$BF198+IF(SUM($BI81:$BK81)&gt;0,BK140*$BF198*(BJ81/SUM($BI81:$BJ81)))</f>
        <v>5.3125</v>
      </c>
      <c r="BK257" s="687">
        <f>BI257+BJ257*0.0661</f>
        <v>12.038656250000001</v>
      </c>
      <c r="BL257" s="576">
        <f>BL140*$BL198+IF(SUM($BL81:$BN81)&gt;0, BN140*$BL198*(BL81/SUM($BL81:$BM81)),0)</f>
        <v>0</v>
      </c>
      <c r="BM257" s="670">
        <f>BM140*$BL198+IF(SUM($BL81:$BN81)&gt;0, BN140*$BL198*(BM81/SUM($BL81:$BM81)),0)</f>
        <v>0</v>
      </c>
      <c r="BN257" s="687">
        <f>BL257+BM257*BU$303</f>
        <v>0</v>
      </c>
      <c r="BO257" s="670">
        <f>BO140*$BL198+IF(SUM($BO81:$BP81)&gt;0, BQ140*$BL198*(BO81/SUM($BO81:$BP81)))</f>
        <v>6.6</v>
      </c>
      <c r="BP257" s="782">
        <f>(BP140*$BL198+IF(SUM($BO81:$BQ81)&gt;0, BQ140*$BL198*(BP81/SUM($BO81:$BP81)))) + 5 *0.185</f>
        <v>9.3250000000000011</v>
      </c>
      <c r="BQ257" s="697">
        <f t="shared" si="315"/>
        <v>7.4066124999999996</v>
      </c>
      <c r="BR257" s="264">
        <f>BR140*$BR198+IF(SUM($BR81:$BT81)&gt;0, BT140*$BR198*(BR81/SUM($BR81:$BS81)),0)</f>
        <v>0</v>
      </c>
      <c r="BS257" s="273">
        <f>BS140*$BR198+IF(SUM($BR81:$BT81)&gt;0, BT140*$BR198*(BS81/SUM($BR81:$BS81)),0)</f>
        <v>0</v>
      </c>
      <c r="BT257" s="941">
        <f>BR257+BS257*CA$303</f>
        <v>0</v>
      </c>
      <c r="BU257" s="273">
        <f>BU140*$BR198+IF(SUM($BU81:$BW81)&gt;0, BW140*$BR198*(BU81/SUM($BU81:$BV81)))</f>
        <v>8.5555555555555554</v>
      </c>
      <c r="BV257" s="273">
        <f>BV140*$BR198+IF(SUM($BU81:$BW81)&gt;0, BW140*$BR198*(BV81/SUM($BU81:$BV81)))</f>
        <v>2.4444444444444442</v>
      </c>
      <c r="BW257" s="945">
        <f>BU257+BV257*BU$303</f>
        <v>8.7706666666666671</v>
      </c>
      <c r="BX257" s="1085">
        <f t="shared" ref="BX257:BY259" si="354">0+0+0+0</f>
        <v>0</v>
      </c>
      <c r="BY257" s="1086">
        <f t="shared" si="354"/>
        <v>0</v>
      </c>
      <c r="BZ257" s="687">
        <f>BX257+BY257*CG$303</f>
        <v>0</v>
      </c>
      <c r="CA257" s="1086">
        <f>0+6+0+0</f>
        <v>6</v>
      </c>
      <c r="CB257" s="1086">
        <f>0+4+2+0</f>
        <v>6</v>
      </c>
      <c r="CC257" s="697">
        <f>CA257+CB257*CA$303</f>
        <v>6.5208000000000004</v>
      </c>
      <c r="CD257" s="1085">
        <v>0</v>
      </c>
      <c r="CE257" s="1086">
        <v>0</v>
      </c>
      <c r="CF257" s="687">
        <f t="shared" ref="CF257:CF259" si="355">CD257+CE257*CM$303</f>
        <v>0</v>
      </c>
      <c r="CG257" s="1086">
        <v>1</v>
      </c>
      <c r="CH257" s="1086">
        <v>2</v>
      </c>
      <c r="CI257" s="697">
        <f t="shared" si="341"/>
        <v>1.177</v>
      </c>
      <c r="CJ257" s="1085">
        <v>0</v>
      </c>
      <c r="CK257" s="1086">
        <v>0</v>
      </c>
      <c r="CL257" s="687">
        <f>CJ257+CK257*CS$303</f>
        <v>0</v>
      </c>
      <c r="CM257" s="1086">
        <v>0</v>
      </c>
      <c r="CN257" s="1086">
        <v>14.2</v>
      </c>
      <c r="CO257" s="697">
        <f t="shared" ref="CO257:CO259" si="356">CM257+CN257*CM$303</f>
        <v>1.2467600000000001</v>
      </c>
      <c r="CP257" s="625">
        <v>0</v>
      </c>
      <c r="CQ257" s="672">
        <v>0</v>
      </c>
      <c r="CR257" s="687">
        <f>CP257+CQ257*CY$303</f>
        <v>0</v>
      </c>
      <c r="CS257" s="672">
        <v>16.5</v>
      </c>
      <c r="CT257" s="672">
        <v>11.5</v>
      </c>
      <c r="CU257" s="697">
        <f t="shared" ref="CU257:CU260" si="357">CS257+CT257*CS$303</f>
        <v>17.498200000000001</v>
      </c>
      <c r="CV257" s="625">
        <v>0</v>
      </c>
      <c r="CW257" s="672">
        <v>1.3</v>
      </c>
      <c r="CX257" s="687">
        <f>CV257+CW257*DE$303</f>
        <v>0.11102000000000001</v>
      </c>
      <c r="CY257" s="672">
        <v>41.6</v>
      </c>
      <c r="CZ257" s="672">
        <v>57.1</v>
      </c>
      <c r="DA257" s="697">
        <f t="shared" ref="DA257:DA260" si="358">CY257+CZ257*CY$303</f>
        <v>46.704740000000001</v>
      </c>
      <c r="DB257" s="625">
        <v>0</v>
      </c>
      <c r="DC257" s="672">
        <v>0</v>
      </c>
      <c r="DD257" s="687">
        <f>DB257+DC257*DK$303</f>
        <v>0</v>
      </c>
      <c r="DE257" s="672">
        <v>24.5</v>
      </c>
      <c r="DF257" s="672">
        <v>20.5</v>
      </c>
      <c r="DG257" s="687">
        <f>DE257+DF257*DE$303</f>
        <v>26.250700000000002</v>
      </c>
      <c r="DH257" s="625"/>
      <c r="DI257" s="672"/>
      <c r="DJ257" s="689"/>
      <c r="DK257" s="672"/>
      <c r="DL257" s="672"/>
      <c r="DM257" s="821"/>
      <c r="DN257" s="625">
        <v>0</v>
      </c>
      <c r="DO257" s="672">
        <v>0</v>
      </c>
      <c r="DP257" s="687">
        <f>DN257+DO257*DW$303</f>
        <v>0</v>
      </c>
      <c r="DQ257" s="672">
        <v>36</v>
      </c>
      <c r="DR257" s="672">
        <v>12</v>
      </c>
      <c r="DS257" s="697">
        <f t="shared" ref="DS257:DS260" si="359">DQ257+DR257*DQ$303</f>
        <v>36.972000000000001</v>
      </c>
      <c r="DT257" s="625">
        <v>0</v>
      </c>
      <c r="DU257" s="672">
        <v>0</v>
      </c>
      <c r="DV257" s="687">
        <f>DT257+DU257*EC$303</f>
        <v>0</v>
      </c>
      <c r="DW257" s="672">
        <v>43.554858934169275</v>
      </c>
      <c r="DX257" s="672">
        <v>30.445141065830722</v>
      </c>
      <c r="DY257" s="697">
        <f t="shared" si="347"/>
        <v>46.191408150470217</v>
      </c>
      <c r="DZ257" s="625"/>
      <c r="EA257" s="672"/>
      <c r="EB257" s="689"/>
      <c r="EC257" s="672"/>
      <c r="ED257" s="672"/>
      <c r="EE257" s="821"/>
      <c r="EF257" s="196">
        <f t="shared" si="266"/>
        <v>19</v>
      </c>
      <c r="EG257" s="224"/>
      <c r="EH257" s="579">
        <f t="shared" si="295"/>
        <v>19</v>
      </c>
      <c r="EI257" s="602">
        <f t="shared" si="281"/>
        <v>2.02</v>
      </c>
      <c r="EJ257" s="602">
        <f t="shared" si="282"/>
        <v>13.2289659</v>
      </c>
      <c r="EK257" s="579">
        <f t="shared" si="296"/>
        <v>19</v>
      </c>
      <c r="EL257" s="602">
        <f t="shared" si="351"/>
        <v>2</v>
      </c>
      <c r="EM257" s="602">
        <f t="shared" si="352"/>
        <v>5.1322000000000001</v>
      </c>
      <c r="EN257" s="579">
        <f t="shared" si="297"/>
        <v>19</v>
      </c>
      <c r="EO257" s="602">
        <f t="shared" si="285"/>
        <v>2.0249999999999999</v>
      </c>
      <c r="EP257" s="602">
        <f t="shared" si="286"/>
        <v>18.560398849999999</v>
      </c>
      <c r="EQ257" s="580"/>
      <c r="ER257" s="519" t="s">
        <v>64</v>
      </c>
      <c r="ES257" s="623">
        <f>AN296</f>
        <v>4</v>
      </c>
      <c r="ET257" s="622">
        <f>AN298</f>
        <v>24.563492063492063</v>
      </c>
      <c r="EU257" s="579">
        <f t="shared" si="300"/>
        <v>28.563492063492063</v>
      </c>
      <c r="EV257" s="579">
        <f>AO300</f>
        <v>40.436507936507937</v>
      </c>
      <c r="EW257" s="580"/>
      <c r="EX257" s="580"/>
      <c r="EY257" s="580"/>
      <c r="EZ257" s="580"/>
      <c r="FA257" s="580"/>
      <c r="FB257" s="580"/>
      <c r="FC257" s="580"/>
      <c r="FD257" s="580"/>
      <c r="FE257" s="580"/>
      <c r="FF257" s="580"/>
      <c r="FG257" s="580"/>
      <c r="FH257" s="580"/>
    </row>
    <row r="258" spans="1:164" x14ac:dyDescent="0.2">
      <c r="A258" s="159">
        <v>20</v>
      </c>
      <c r="B258" s="261"/>
      <c r="C258" s="262"/>
      <c r="D258" s="261"/>
      <c r="E258" s="262"/>
      <c r="F258" s="185"/>
      <c r="G258" s="185"/>
      <c r="H258" s="261"/>
      <c r="I258" s="262"/>
      <c r="J258" s="185"/>
      <c r="K258" s="185"/>
      <c r="L258" s="438">
        <v>0</v>
      </c>
      <c r="M258" s="433">
        <f t="shared" si="353"/>
        <v>2.1322000000000001</v>
      </c>
      <c r="N258" s="185"/>
      <c r="O258" s="185"/>
      <c r="P258" s="261"/>
      <c r="Q258" s="262"/>
      <c r="R258" s="185"/>
      <c r="S258" s="185"/>
      <c r="T258" s="261"/>
      <c r="U258" s="262"/>
      <c r="V258" s="263"/>
      <c r="W258" s="263"/>
      <c r="X258" s="264"/>
      <c r="Y258" s="265"/>
      <c r="Z258" s="263"/>
      <c r="AA258" s="263"/>
      <c r="AB258" s="261"/>
      <c r="AC258" s="262"/>
      <c r="AD258" s="263"/>
      <c r="AE258" s="265"/>
      <c r="AF258" s="224"/>
      <c r="AG258" s="262"/>
      <c r="AH258" s="224"/>
      <c r="AI258" s="275"/>
      <c r="AJ258" s="224"/>
      <c r="AK258" s="262"/>
      <c r="AL258" s="263"/>
      <c r="AM258" s="263"/>
      <c r="AN258" s="261"/>
      <c r="AO258" s="262"/>
      <c r="AP258" s="263"/>
      <c r="AQ258" s="263"/>
      <c r="AR258" s="261"/>
      <c r="AS258" s="262"/>
      <c r="AT258" s="185"/>
      <c r="AU258" s="185"/>
      <c r="AV258" s="264"/>
      <c r="AW258" s="265"/>
      <c r="AX258" s="192">
        <v>0</v>
      </c>
      <c r="AY258" s="290">
        <f>AX199</f>
        <v>10.9254</v>
      </c>
      <c r="AZ258" s="182">
        <v>1.1000000000000001</v>
      </c>
      <c r="BA258" s="265">
        <f>AZ199</f>
        <v>11.859299999999999</v>
      </c>
      <c r="BB258" s="182">
        <v>0</v>
      </c>
      <c r="BC258" s="273">
        <f>BB199</f>
        <v>6.8593000000000002</v>
      </c>
      <c r="BD258" s="652">
        <f>2*0.066</f>
        <v>0.13200000000000001</v>
      </c>
      <c r="BE258" s="215">
        <f>15.7+(14.3*0.066)</f>
        <v>16.643799999999999</v>
      </c>
      <c r="BF258" s="576">
        <f>BF141*$BF199+IF(SUM($BF82:$BH82)&gt;0,BH141*$BF199*(BF82/SUM($BF82:$BG82)))</f>
        <v>1</v>
      </c>
      <c r="BG258" s="670">
        <f>BG141*$BF199+IF(SUM($BF82:$BH82)&gt;0,BH141*$BF199*(BG82/SUM($BF82:$BG82)))</f>
        <v>1</v>
      </c>
      <c r="BH258" s="687">
        <f t="shared" ref="BH258:BH260" si="360">BF258+BG258*BO$303</f>
        <v>1.0865</v>
      </c>
      <c r="BI258" s="670">
        <f>BI141*$BF199+IF(SUM($BI82:$BK82)&gt;0,BK141*$BF199*(BI82/SUM($BI82:$BJ82)))</f>
        <v>17</v>
      </c>
      <c r="BJ258" s="670">
        <f>BJ141*$BF199+IF(SUM($BI82:$BK82)&gt;0,BK141*$BF199*(BJ82/SUM($BI82:$BJ82)))</f>
        <v>36</v>
      </c>
      <c r="BK258" s="687">
        <f t="shared" ref="BK258:BK260" si="361">BI258+BJ258*0.0661</f>
        <v>19.3796</v>
      </c>
      <c r="BL258" s="576">
        <f>BL141*$BL199+IF(SUM($BL82:$BN82)&gt;0, BN141*$BL199*(BL82/SUM($BL82:$BM82)),0)</f>
        <v>1.8876404494382022</v>
      </c>
      <c r="BM258" s="670">
        <f>BM141*$BL199+IF(SUM($BL82:$BN82)&gt;0, BN141*$BL199*(BM82/SUM($BL82:$BM82)),0)</f>
        <v>0</v>
      </c>
      <c r="BN258" s="687">
        <f>BL258+BM258*BU$303</f>
        <v>1.8876404494382022</v>
      </c>
      <c r="BO258" s="670">
        <f t="shared" ref="BO258:BO259" si="362">BO141*$BL199+IF(SUM($BO82:$BP82)&gt;0, BQ141*$BL199*(BO82/SUM($BO82:$BP82)))</f>
        <v>26.0827495042961</v>
      </c>
      <c r="BP258" s="670">
        <f>BP141*$BL199+IF(SUM($BO82:$BQ82)&gt;0, BQ141*$BL199*(BP82/SUM($BO82:$BP82)))</f>
        <v>56.029610046265695</v>
      </c>
      <c r="BQ258" s="697">
        <f t="shared" si="315"/>
        <v>30.929310773298081</v>
      </c>
      <c r="BR258" s="264">
        <f t="shared" ref="BR258:BR260" si="363">BR141*$BR199+IF(SUM($BR82:$BT82)&gt;0, BT141*$BR199*(BR82/SUM($BR82:$BS82)),0)</f>
        <v>0</v>
      </c>
      <c r="BS258" s="273">
        <f t="shared" ref="BS258:BS260" si="364">BS141*$BR199+IF(SUM($BR82:$BT82)&gt;0, BT141*$BR199*(BS82/SUM($BR82:$BS82)),0)</f>
        <v>0</v>
      </c>
      <c r="BT258" s="941">
        <f t="shared" ref="BT258:BT260" si="365">BR258+BS258*CA$303</f>
        <v>0</v>
      </c>
      <c r="BU258" s="273">
        <f t="shared" ref="BU258:BU260" si="366">BU141*$BR199+IF(SUM($BU82:$BW82)&gt;0, BW141*$BR199*(BU82/SUM($BU82:$BV82)))</f>
        <v>27.809523809523807</v>
      </c>
      <c r="BV258" s="273">
        <f t="shared" ref="BV258:BV260" si="367">BV141*$BR199+IF(SUM($BU82:$BW82)&gt;0, BW141*$BR199*(BV82/SUM($BU82:$BV82)))</f>
        <v>45.19047619047619</v>
      </c>
      <c r="BW258" s="945">
        <f t="shared" ref="BW258:BW260" si="368">BU258+BV258*BU$303</f>
        <v>31.786285714285711</v>
      </c>
      <c r="BX258" s="1085">
        <f t="shared" si="354"/>
        <v>0</v>
      </c>
      <c r="BY258" s="1086">
        <f t="shared" si="354"/>
        <v>0</v>
      </c>
      <c r="BZ258" s="687">
        <f>BX258+BY258*CG$303</f>
        <v>0</v>
      </c>
      <c r="CA258" s="1086">
        <f>0+0+0+10.2</f>
        <v>10.199999999999999</v>
      </c>
      <c r="CB258" s="1086">
        <f>0+1+2+8.5</f>
        <v>11.5</v>
      </c>
      <c r="CC258" s="697">
        <f>CA258+CB258*CA$303</f>
        <v>11.1982</v>
      </c>
      <c r="CD258" s="1085">
        <v>0</v>
      </c>
      <c r="CE258" s="1086">
        <v>0</v>
      </c>
      <c r="CF258" s="687">
        <f t="shared" si="355"/>
        <v>0</v>
      </c>
      <c r="CG258" s="1086">
        <v>3.7</v>
      </c>
      <c r="CH258" s="1086">
        <v>4.5</v>
      </c>
      <c r="CI258" s="697">
        <f t="shared" si="341"/>
        <v>4.0982500000000002</v>
      </c>
      <c r="CJ258" s="1085">
        <v>0</v>
      </c>
      <c r="CK258" s="1086">
        <v>0</v>
      </c>
      <c r="CL258" s="687">
        <f t="shared" ref="CL258:CL259" si="369">CJ258+CK258*CS$303</f>
        <v>0</v>
      </c>
      <c r="CM258" s="1086">
        <v>4.2</v>
      </c>
      <c r="CN258" s="1086">
        <v>6.3</v>
      </c>
      <c r="CO258" s="697">
        <f t="shared" si="356"/>
        <v>4.7531400000000001</v>
      </c>
      <c r="CP258" s="625">
        <v>3.333333333333333</v>
      </c>
      <c r="CQ258" s="672">
        <v>0</v>
      </c>
      <c r="CR258" s="687">
        <f>CP258+CQ258*CY$303</f>
        <v>3.333333333333333</v>
      </c>
      <c r="CS258" s="672">
        <v>8.3333333333333339</v>
      </c>
      <c r="CT258" s="672">
        <v>15.333333333333334</v>
      </c>
      <c r="CU258" s="697">
        <f t="shared" si="357"/>
        <v>9.6642666666666681</v>
      </c>
      <c r="CV258" s="625">
        <v>3.3</v>
      </c>
      <c r="CW258" s="672">
        <v>0</v>
      </c>
      <c r="CX258" s="687">
        <f t="shared" ref="CX258:CX260" si="370">CV258+CW258*DE$303</f>
        <v>3.3</v>
      </c>
      <c r="CY258" s="672">
        <v>13.4</v>
      </c>
      <c r="CZ258" s="672">
        <v>66.3</v>
      </c>
      <c r="DA258" s="697">
        <f t="shared" si="358"/>
        <v>19.327220000000001</v>
      </c>
      <c r="DB258" s="625">
        <v>0</v>
      </c>
      <c r="DC258" s="672">
        <v>0</v>
      </c>
      <c r="DD258" s="687">
        <f>DB258+DC258*DK$303</f>
        <v>0</v>
      </c>
      <c r="DE258" s="672">
        <v>3</v>
      </c>
      <c r="DF258" s="672">
        <v>1</v>
      </c>
      <c r="DG258" s="687">
        <f>DE258+DF258*DE$303</f>
        <v>3.0853999999999999</v>
      </c>
      <c r="DH258" s="625">
        <v>0</v>
      </c>
      <c r="DI258" s="672">
        <v>0</v>
      </c>
      <c r="DJ258" s="687">
        <f>DH258+DI258*DQ$303</f>
        <v>0</v>
      </c>
      <c r="DK258" s="672">
        <v>2.5</v>
      </c>
      <c r="DL258" s="672">
        <v>44.5</v>
      </c>
      <c r="DM258" s="687">
        <f>DK258+DL258*DK$303</f>
        <v>6.3003</v>
      </c>
      <c r="DN258" s="625">
        <v>3.5</v>
      </c>
      <c r="DO258" s="672">
        <v>0</v>
      </c>
      <c r="DP258" s="687">
        <f>DN258+DO258*DW$303</f>
        <v>3.5</v>
      </c>
      <c r="DQ258" s="672">
        <v>28.6</v>
      </c>
      <c r="DR258" s="672">
        <v>51</v>
      </c>
      <c r="DS258" s="697">
        <f t="shared" si="359"/>
        <v>32.731000000000002</v>
      </c>
      <c r="DT258" s="625">
        <v>0</v>
      </c>
      <c r="DU258" s="672">
        <v>0</v>
      </c>
      <c r="DV258" s="687">
        <f>DT258+DU258*EC$303</f>
        <v>0</v>
      </c>
      <c r="DW258" s="672">
        <v>22</v>
      </c>
      <c r="DX258" s="672">
        <v>21</v>
      </c>
      <c r="DY258" s="697">
        <f t="shared" si="347"/>
        <v>23.8186</v>
      </c>
      <c r="DZ258" s="625"/>
      <c r="EA258" s="672"/>
      <c r="EB258" s="689"/>
      <c r="EC258" s="672"/>
      <c r="ED258" s="672"/>
      <c r="EE258" s="821"/>
      <c r="EF258" s="196">
        <f t="shared" si="266"/>
        <v>20</v>
      </c>
      <c r="EG258" s="224"/>
      <c r="EH258" s="579">
        <f t="shared" si="295"/>
        <v>20</v>
      </c>
      <c r="EI258" s="602">
        <f t="shared" si="281"/>
        <v>0.24640000000000004</v>
      </c>
      <c r="EJ258" s="602">
        <f t="shared" si="282"/>
        <v>8.07</v>
      </c>
      <c r="EK258" s="579">
        <f t="shared" si="296"/>
        <v>20</v>
      </c>
      <c r="EL258" s="602">
        <f t="shared" si="351"/>
        <v>0</v>
      </c>
      <c r="EM258" s="602">
        <f t="shared" si="352"/>
        <v>2.1322000000000001</v>
      </c>
      <c r="EN258" s="579">
        <f t="shared" si="297"/>
        <v>20</v>
      </c>
      <c r="EO258" s="602">
        <f t="shared" si="285"/>
        <v>0.30800000000000005</v>
      </c>
      <c r="EP258" s="602">
        <f t="shared" si="286"/>
        <v>11.571950000000001</v>
      </c>
      <c r="EQ258" s="580"/>
      <c r="ER258" s="519" t="s">
        <v>65</v>
      </c>
      <c r="ES258" s="623">
        <f>AP296</f>
        <v>0</v>
      </c>
      <c r="ET258" s="622">
        <f>AP298</f>
        <v>125.57894736842105</v>
      </c>
      <c r="EU258" s="579">
        <f t="shared" si="300"/>
        <v>125.57894736842105</v>
      </c>
      <c r="EV258" s="579">
        <f>AQ300</f>
        <v>200.42105263157896</v>
      </c>
      <c r="EW258" s="580"/>
      <c r="EX258" s="580"/>
      <c r="EY258" s="580"/>
      <c r="EZ258" s="580"/>
      <c r="FA258" s="580"/>
      <c r="FB258" s="580"/>
      <c r="FC258" s="580"/>
      <c r="FD258" s="580"/>
      <c r="FE258" s="580"/>
      <c r="FF258" s="580"/>
      <c r="FG258" s="580"/>
      <c r="FH258" s="580"/>
    </row>
    <row r="259" spans="1:164" x14ac:dyDescent="0.2">
      <c r="A259" s="159">
        <v>21</v>
      </c>
      <c r="B259" s="261"/>
      <c r="C259" s="262"/>
      <c r="D259" s="261"/>
      <c r="E259" s="262"/>
      <c r="F259" s="185"/>
      <c r="G259" s="185"/>
      <c r="H259" s="261"/>
      <c r="I259" s="262"/>
      <c r="J259" s="185"/>
      <c r="K259" s="185"/>
      <c r="L259" s="438">
        <v>6.7</v>
      </c>
      <c r="M259" s="433">
        <f t="shared" si="353"/>
        <v>72.010700000000014</v>
      </c>
      <c r="N259" s="185"/>
      <c r="O259" s="185"/>
      <c r="P259" s="261"/>
      <c r="Q259" s="262"/>
      <c r="R259" s="263"/>
      <c r="S259" s="263"/>
      <c r="T259" s="264"/>
      <c r="U259" s="265"/>
      <c r="V259" s="263"/>
      <c r="W259" s="263"/>
      <c r="X259" s="261"/>
      <c r="Y259" s="262"/>
      <c r="Z259" s="263"/>
      <c r="AA259" s="263"/>
      <c r="AB259" s="261"/>
      <c r="AC259" s="262"/>
      <c r="AD259" s="263"/>
      <c r="AE259" s="265"/>
      <c r="AF259" s="224"/>
      <c r="AG259" s="262"/>
      <c r="AH259" s="224"/>
      <c r="AI259" s="275"/>
      <c r="AJ259" s="224"/>
      <c r="AK259" s="262"/>
      <c r="AL259" s="263"/>
      <c r="AM259" s="263"/>
      <c r="AN259" s="261"/>
      <c r="AO259" s="262"/>
      <c r="AP259" s="263"/>
      <c r="AQ259" s="263"/>
      <c r="AR259" s="261"/>
      <c r="AS259" s="262"/>
      <c r="AT259" s="263"/>
      <c r="AU259" s="263"/>
      <c r="AV259" s="261">
        <f>AV200*AV142</f>
        <v>0</v>
      </c>
      <c r="AW259" s="262">
        <f>AV200*AW142</f>
        <v>0</v>
      </c>
      <c r="AX259" s="185"/>
      <c r="AY259" s="185"/>
      <c r="AZ259" s="192">
        <v>1.1000000000000001</v>
      </c>
      <c r="BA259" s="290">
        <f>AZ200</f>
        <v>3.3966000000000003</v>
      </c>
      <c r="BB259" s="192">
        <v>0</v>
      </c>
      <c r="BC259" s="290">
        <f>BB200</f>
        <v>3.7271000000000001</v>
      </c>
      <c r="BD259" s="653">
        <f>1.2*0.066</f>
        <v>7.9200000000000007E-2</v>
      </c>
      <c r="BE259" s="290">
        <f>(12*0.066)+16.8</f>
        <v>17.592000000000002</v>
      </c>
      <c r="BF259" s="576">
        <f>BF142*$BF200+IF(SUM($BF83:$BH83)&gt;0,BH142*$BF200*(BF83/SUM($BF83:$BG83)))</f>
        <v>0</v>
      </c>
      <c r="BG259" s="670">
        <f>BG142*$BF200+IF(SUM($BF83:$BH83)&gt;0,BH142*$BF200*(BG83/SUM($BF83:$BG83)))</f>
        <v>0</v>
      </c>
      <c r="BH259" s="687">
        <f t="shared" si="360"/>
        <v>0</v>
      </c>
      <c r="BI259" s="670">
        <f>BI142*$BF200+IF(SUM($BI83:$BK83)&gt;0,BK142*$BF200*(BI83/SUM($BI83:$BJ83)))</f>
        <v>2.625</v>
      </c>
      <c r="BJ259" s="670">
        <f>BJ142*$BF200+IF(SUM($BI83:$BK83)&gt;0,BK142*$BF200*(BJ83/SUM($BI83:$BJ83)))</f>
        <v>18.375</v>
      </c>
      <c r="BK259" s="687">
        <f t="shared" si="361"/>
        <v>3.8395875000000004</v>
      </c>
      <c r="BL259" s="576">
        <f>BL142*$BL200+IF(SUM($BL83:$BN83)&gt;0, BN142*$BL200*(BL83/SUM($BL83:$BM83)),0)</f>
        <v>1.346938775510204</v>
      </c>
      <c r="BM259" s="670">
        <f>BM142*$BL200+IF(SUM($BL83:$BN83)&gt;0, BN142*$BL200*(BM83/SUM($BL83:$BM83)),0)</f>
        <v>0</v>
      </c>
      <c r="BN259" s="687">
        <f>BL259+BM259*BU$303</f>
        <v>1.346938775510204</v>
      </c>
      <c r="BO259" s="670">
        <f t="shared" si="362"/>
        <v>18.857142857142858</v>
      </c>
      <c r="BP259" s="670">
        <f>BP142*$BL200+IF(SUM($BO83:$BQ83)&gt;0, BQ142*$BL200*(BP83/SUM($BO83:$BP83)))</f>
        <v>45.795918367346935</v>
      </c>
      <c r="BQ259" s="697">
        <f t="shared" si="315"/>
        <v>22.818489795918367</v>
      </c>
      <c r="BR259" s="264">
        <f t="shared" si="363"/>
        <v>0</v>
      </c>
      <c r="BS259" s="273">
        <f t="shared" si="364"/>
        <v>0</v>
      </c>
      <c r="BT259" s="941">
        <f t="shared" si="365"/>
        <v>0</v>
      </c>
      <c r="BU259" s="273">
        <f t="shared" si="366"/>
        <v>19.826086956521738</v>
      </c>
      <c r="BV259" s="273">
        <f t="shared" si="367"/>
        <v>28.173913043478265</v>
      </c>
      <c r="BW259" s="945">
        <f t="shared" si="368"/>
        <v>22.305391304347825</v>
      </c>
      <c r="BX259" s="1085">
        <f t="shared" si="354"/>
        <v>0</v>
      </c>
      <c r="BY259" s="1086">
        <f t="shared" si="354"/>
        <v>0</v>
      </c>
      <c r="BZ259" s="687">
        <f>BX259+BY259*CG$303</f>
        <v>0</v>
      </c>
      <c r="CA259" s="1086">
        <f>0+0+0+0</f>
        <v>0</v>
      </c>
      <c r="CB259" s="1086">
        <f>0+2+0+9.8</f>
        <v>11.8</v>
      </c>
      <c r="CC259" s="697">
        <f>CA259+CB259*CA$303</f>
        <v>1.02424</v>
      </c>
      <c r="CD259" s="1085">
        <v>0</v>
      </c>
      <c r="CE259" s="1086">
        <v>0</v>
      </c>
      <c r="CF259" s="687">
        <f t="shared" si="355"/>
        <v>0</v>
      </c>
      <c r="CG259" s="1086">
        <v>2.4</v>
      </c>
      <c r="CH259" s="1086">
        <v>2.4</v>
      </c>
      <c r="CI259" s="697">
        <f t="shared" si="341"/>
        <v>2.6124000000000001</v>
      </c>
      <c r="CJ259" s="1085">
        <v>0</v>
      </c>
      <c r="CK259" s="1086">
        <v>0</v>
      </c>
      <c r="CL259" s="687">
        <f t="shared" si="369"/>
        <v>0</v>
      </c>
      <c r="CM259" s="1086">
        <v>0.4</v>
      </c>
      <c r="CN259" s="1086">
        <v>0.6</v>
      </c>
      <c r="CO259" s="697">
        <f t="shared" si="356"/>
        <v>0.45268000000000003</v>
      </c>
      <c r="CP259" s="625">
        <v>0</v>
      </c>
      <c r="CQ259" s="672">
        <v>0</v>
      </c>
      <c r="CR259" s="687">
        <f>CP259+CQ259*CY$303</f>
        <v>0</v>
      </c>
      <c r="CS259" s="672">
        <v>0</v>
      </c>
      <c r="CT259" s="672">
        <v>0</v>
      </c>
      <c r="CU259" s="697">
        <f t="shared" si="357"/>
        <v>0</v>
      </c>
      <c r="CV259" s="625">
        <v>0</v>
      </c>
      <c r="CW259" s="672">
        <v>0</v>
      </c>
      <c r="CX259" s="687">
        <f t="shared" si="370"/>
        <v>0</v>
      </c>
      <c r="CY259" s="672">
        <v>7.8</v>
      </c>
      <c r="CZ259" s="672">
        <v>27.3</v>
      </c>
      <c r="DA259" s="697">
        <f t="shared" si="358"/>
        <v>10.24062</v>
      </c>
      <c r="DB259" s="625">
        <v>0</v>
      </c>
      <c r="DC259" s="672">
        <v>0</v>
      </c>
      <c r="DD259" s="687">
        <f>DB259+DC259*DK$303</f>
        <v>0</v>
      </c>
      <c r="DE259" s="672">
        <v>3.4</v>
      </c>
      <c r="DF259" s="672">
        <v>37.6</v>
      </c>
      <c r="DG259" s="687">
        <f>DE259+DF259*DE$303</f>
        <v>6.61104</v>
      </c>
      <c r="DH259" s="625">
        <v>0</v>
      </c>
      <c r="DI259" s="672">
        <v>0</v>
      </c>
      <c r="DJ259" s="687">
        <f>DH259+DI259*DQ$303</f>
        <v>0</v>
      </c>
      <c r="DK259" s="672">
        <v>1</v>
      </c>
      <c r="DL259" s="672">
        <v>7</v>
      </c>
      <c r="DM259" s="687">
        <f>DK259+DL259*DK$303</f>
        <v>1.5977999999999999</v>
      </c>
      <c r="DN259" s="625">
        <v>0</v>
      </c>
      <c r="DO259" s="672">
        <v>0</v>
      </c>
      <c r="DP259" s="687">
        <f>DN259+DO259*DW$303</f>
        <v>0</v>
      </c>
      <c r="DQ259" s="672">
        <v>1</v>
      </c>
      <c r="DR259" s="672">
        <v>6</v>
      </c>
      <c r="DS259" s="697">
        <f t="shared" si="359"/>
        <v>1.486</v>
      </c>
      <c r="DT259" s="625">
        <v>0</v>
      </c>
      <c r="DU259" s="672">
        <v>0</v>
      </c>
      <c r="DV259" s="687">
        <f>DT259+DU259*EC$303</f>
        <v>0</v>
      </c>
      <c r="DW259" s="672">
        <v>11.153846153846153</v>
      </c>
      <c r="DX259" s="672">
        <v>28.846153846153847</v>
      </c>
      <c r="DY259" s="697">
        <f t="shared" si="347"/>
        <v>13.651923076923076</v>
      </c>
      <c r="DZ259" s="625"/>
      <c r="EA259" s="672"/>
      <c r="EB259" s="689"/>
      <c r="EC259" s="672"/>
      <c r="ED259" s="672"/>
      <c r="EE259" s="821"/>
      <c r="EF259" s="196">
        <f t="shared" si="266"/>
        <v>21</v>
      </c>
      <c r="EG259" s="224"/>
      <c r="EH259" s="579">
        <f t="shared" si="295"/>
        <v>21</v>
      </c>
      <c r="EI259" s="602">
        <f t="shared" si="281"/>
        <v>1.5758400000000001</v>
      </c>
      <c r="EJ259" s="602">
        <f t="shared" si="282"/>
        <v>16.121066666666671</v>
      </c>
      <c r="EK259" s="579">
        <f t="shared" si="296"/>
        <v>21</v>
      </c>
      <c r="EL259" s="602">
        <f t="shared" si="351"/>
        <v>6.7</v>
      </c>
      <c r="EM259" s="602">
        <f t="shared" si="352"/>
        <v>72.010700000000014</v>
      </c>
      <c r="EN259" s="579">
        <f t="shared" si="297"/>
        <v>21</v>
      </c>
      <c r="EO259" s="602">
        <f t="shared" si="285"/>
        <v>0.29480000000000001</v>
      </c>
      <c r="EP259" s="602">
        <f t="shared" si="286"/>
        <v>6.1789250000000004</v>
      </c>
      <c r="EQ259" s="580"/>
      <c r="ER259" s="519" t="s">
        <v>66</v>
      </c>
      <c r="ES259" s="623">
        <f>AR296</f>
        <v>0</v>
      </c>
      <c r="ET259" s="622">
        <f>AR298</f>
        <v>482.87873589044256</v>
      </c>
      <c r="EU259" s="579">
        <f t="shared" si="300"/>
        <v>482.87873589044256</v>
      </c>
      <c r="EV259" s="579">
        <f>AS300</f>
        <v>197.12126410955744</v>
      </c>
      <c r="EW259" s="580"/>
      <c r="EX259" s="580"/>
      <c r="EY259" s="580"/>
      <c r="EZ259" s="580"/>
      <c r="FA259" s="580"/>
      <c r="FB259" s="580"/>
      <c r="FC259" s="580"/>
      <c r="FD259" s="580"/>
      <c r="FE259" s="580"/>
      <c r="FF259" s="580"/>
      <c r="FG259" s="580"/>
      <c r="FH259" s="580"/>
    </row>
    <row r="260" spans="1:164" ht="12.75" customHeight="1" x14ac:dyDescent="0.2">
      <c r="A260" s="159">
        <v>22</v>
      </c>
      <c r="B260" s="261"/>
      <c r="C260" s="262"/>
      <c r="D260" s="261"/>
      <c r="E260" s="262"/>
      <c r="F260" s="185"/>
      <c r="G260" s="185"/>
      <c r="H260" s="261"/>
      <c r="I260" s="262"/>
      <c r="J260" s="185"/>
      <c r="K260" s="185"/>
      <c r="L260" s="438">
        <v>1.4</v>
      </c>
      <c r="M260" s="433">
        <f t="shared" si="353"/>
        <v>8.84863</v>
      </c>
      <c r="N260" s="185"/>
      <c r="O260" s="185"/>
      <c r="P260" s="261"/>
      <c r="Q260" s="262"/>
      <c r="R260" s="185"/>
      <c r="S260" s="185"/>
      <c r="T260" s="264"/>
      <c r="U260" s="265"/>
      <c r="V260" s="263"/>
      <c r="W260" s="263"/>
      <c r="X260" s="264"/>
      <c r="Y260" s="265"/>
      <c r="Z260" s="185"/>
      <c r="AA260" s="185"/>
      <c r="AB260" s="264"/>
      <c r="AC260" s="265"/>
      <c r="AD260" s="263"/>
      <c r="AE260" s="265"/>
      <c r="AF260" s="224"/>
      <c r="AG260" s="262"/>
      <c r="AH260" s="224"/>
      <c r="AI260" s="275"/>
      <c r="AJ260" s="224"/>
      <c r="AK260" s="262"/>
      <c r="AL260" s="263"/>
      <c r="AM260" s="263"/>
      <c r="AN260" s="261"/>
      <c r="AO260" s="262"/>
      <c r="AP260" s="185"/>
      <c r="AQ260" s="185"/>
      <c r="AR260" s="261"/>
      <c r="AS260" s="262"/>
      <c r="AT260" s="185"/>
      <c r="AU260" s="185"/>
      <c r="AV260" s="264"/>
      <c r="AW260" s="265"/>
      <c r="AX260" s="656">
        <v>0</v>
      </c>
      <c r="AY260" s="655">
        <f>AX201</f>
        <v>3.3966000000000003</v>
      </c>
      <c r="AZ260" s="261"/>
      <c r="BA260" s="262"/>
      <c r="BB260" s="261"/>
      <c r="BC260" s="262"/>
      <c r="BD260" s="186"/>
      <c r="BE260" s="176"/>
      <c r="BF260" s="576">
        <f>BF143*$BF201+IF(SUM($BF84:$BH84)&gt;0,BH143*$BF201*(BF84/SUM($BF84:$BG84)))</f>
        <v>0</v>
      </c>
      <c r="BG260" s="670">
        <f>BG143*$BF201+IF(SUM($BF84:$BH84)&gt;0,BH143*$BF201*(BG84/SUM($BF84:$BG84)))</f>
        <v>1</v>
      </c>
      <c r="BH260" s="687">
        <f t="shared" si="360"/>
        <v>8.6499999999999994E-2</v>
      </c>
      <c r="BI260" s="670">
        <f>BI143*$BF201+IF(SUM($BI84:$BK84)&gt;0,BK143*$BF201*(BI84/SUM($BI84:$BJ84)))</f>
        <v>13</v>
      </c>
      <c r="BJ260" s="670">
        <f>BJ143*$BF201+IF(SUM($BI84:$BK84)&gt;0,BK143*$BF201*(BJ84/SUM($BI84:$BJ84)))</f>
        <v>45</v>
      </c>
      <c r="BK260" s="687">
        <f t="shared" si="361"/>
        <v>15.974500000000001</v>
      </c>
      <c r="BL260" s="146"/>
      <c r="BM260" s="135"/>
      <c r="BN260" s="6"/>
      <c r="BO260" s="135"/>
      <c r="BP260" s="135"/>
      <c r="BQ260" s="699"/>
      <c r="BR260" s="264">
        <f t="shared" si="363"/>
        <v>0.93333333333333335</v>
      </c>
      <c r="BS260" s="273">
        <f t="shared" si="364"/>
        <v>0</v>
      </c>
      <c r="BT260" s="941">
        <f t="shared" si="365"/>
        <v>0.93333333333333335</v>
      </c>
      <c r="BU260" s="273">
        <f t="shared" si="366"/>
        <v>1.8666666666666667</v>
      </c>
      <c r="BV260" s="273">
        <f t="shared" si="367"/>
        <v>11.200000000000001</v>
      </c>
      <c r="BW260" s="945">
        <f t="shared" si="368"/>
        <v>2.8522666666666669</v>
      </c>
      <c r="BX260" s="146"/>
      <c r="BY260" s="135"/>
      <c r="BZ260" s="790"/>
      <c r="CA260" s="135"/>
      <c r="CB260" s="135"/>
      <c r="CC260" s="699"/>
      <c r="CD260" s="146"/>
      <c r="CE260" s="135"/>
      <c r="CF260" s="790"/>
      <c r="CG260" s="135"/>
      <c r="CH260" s="135"/>
      <c r="CI260" s="699"/>
      <c r="CJ260" s="146"/>
      <c r="CK260" s="135"/>
      <c r="CL260" s="790"/>
      <c r="CM260" s="135"/>
      <c r="CN260" s="135"/>
      <c r="CO260" s="699"/>
      <c r="CP260" s="146">
        <v>1</v>
      </c>
      <c r="CQ260" s="135">
        <v>0</v>
      </c>
      <c r="CR260" s="687">
        <f>CP260+CQ260*CY$303</f>
        <v>1</v>
      </c>
      <c r="CS260" s="135">
        <v>1</v>
      </c>
      <c r="CT260" s="135">
        <v>1</v>
      </c>
      <c r="CU260" s="697">
        <f t="shared" si="357"/>
        <v>1.0868</v>
      </c>
      <c r="CV260" s="146">
        <v>0</v>
      </c>
      <c r="CW260" s="135">
        <v>0</v>
      </c>
      <c r="CX260" s="687">
        <f t="shared" si="370"/>
        <v>0</v>
      </c>
      <c r="CY260" s="135">
        <v>0</v>
      </c>
      <c r="CZ260" s="135">
        <v>1</v>
      </c>
      <c r="DA260" s="697">
        <f t="shared" si="358"/>
        <v>8.9399999999999993E-2</v>
      </c>
      <c r="DB260" s="1562"/>
      <c r="DC260" s="1556"/>
      <c r="DD260" s="1556"/>
      <c r="DE260" s="1556"/>
      <c r="DF260" s="1556"/>
      <c r="DG260" s="699"/>
      <c r="DH260" s="261"/>
      <c r="DI260" s="224"/>
      <c r="DJ260" s="687"/>
      <c r="DK260" s="224"/>
      <c r="DL260" s="224"/>
      <c r="DM260" s="687"/>
      <c r="DN260" s="261">
        <v>0</v>
      </c>
      <c r="DO260" s="224">
        <v>0</v>
      </c>
      <c r="DP260" s="687">
        <f>DN260+DO260*DW$303</f>
        <v>0</v>
      </c>
      <c r="DQ260" s="224">
        <v>4</v>
      </c>
      <c r="DR260" s="224">
        <v>4</v>
      </c>
      <c r="DS260" s="1712">
        <f t="shared" si="359"/>
        <v>4.3239999999999998</v>
      </c>
      <c r="DT260" s="261">
        <v>0</v>
      </c>
      <c r="DU260" s="224">
        <v>0</v>
      </c>
      <c r="DV260" s="687">
        <f>DT260+DU260*EC$303</f>
        <v>0</v>
      </c>
      <c r="DW260" s="224">
        <v>7</v>
      </c>
      <c r="DX260" s="224">
        <v>0</v>
      </c>
      <c r="DY260" s="697">
        <f t="shared" si="347"/>
        <v>7</v>
      </c>
      <c r="DZ260" s="261"/>
      <c r="EA260" s="224"/>
      <c r="EB260" s="1556"/>
      <c r="EC260" s="224"/>
      <c r="ED260" s="224"/>
      <c r="EE260" s="699"/>
      <c r="EF260" s="196">
        <f t="shared" si="266"/>
        <v>22</v>
      </c>
      <c r="EG260" s="224"/>
      <c r="EH260" s="579">
        <f t="shared" si="295"/>
        <v>22</v>
      </c>
      <c r="EI260" s="602">
        <f t="shared" si="281"/>
        <v>0.7</v>
      </c>
      <c r="EJ260" s="602">
        <f t="shared" si="282"/>
        <v>4.0817433333333328</v>
      </c>
      <c r="EK260" s="579">
        <f t="shared" si="296"/>
        <v>22</v>
      </c>
      <c r="EL260" s="602">
        <f t="shared" si="351"/>
        <v>1.4</v>
      </c>
      <c r="EM260" s="602">
        <f t="shared" si="352"/>
        <v>8.84863</v>
      </c>
      <c r="EN260" s="579">
        <f t="shared" si="297"/>
        <v>22</v>
      </c>
      <c r="EO260" s="602">
        <f t="shared" si="285"/>
        <v>0</v>
      </c>
      <c r="EP260" s="602">
        <f t="shared" si="286"/>
        <v>3.3966000000000003</v>
      </c>
      <c r="EQ260" s="580"/>
      <c r="ER260" s="519" t="s">
        <v>67</v>
      </c>
      <c r="ES260" s="623">
        <f>AT296</f>
        <v>3</v>
      </c>
      <c r="ET260" s="622">
        <f>AT298</f>
        <v>95.074738648775167</v>
      </c>
      <c r="EU260" s="579">
        <f t="shared" si="300"/>
        <v>98.074738648775167</v>
      </c>
      <c r="EV260" s="579">
        <f>AU300</f>
        <v>276.92526135122483</v>
      </c>
      <c r="EW260" s="580"/>
      <c r="EX260" s="580"/>
      <c r="EY260" s="580"/>
      <c r="EZ260" s="580"/>
      <c r="FA260" s="580"/>
      <c r="FB260" s="580"/>
      <c r="FC260" s="580"/>
      <c r="FD260" s="580"/>
      <c r="FE260" s="580"/>
      <c r="FF260" s="580"/>
      <c r="FG260" s="580"/>
      <c r="FH260" s="580"/>
    </row>
    <row r="261" spans="1:164" x14ac:dyDescent="0.2">
      <c r="A261" s="159">
        <v>23</v>
      </c>
      <c r="B261" s="261"/>
      <c r="C261" s="262"/>
      <c r="D261" s="261"/>
      <c r="E261" s="262"/>
      <c r="F261" s="185"/>
      <c r="G261" s="185"/>
      <c r="H261" s="261"/>
      <c r="I261" s="262"/>
      <c r="J261" s="185"/>
      <c r="K261" s="185"/>
      <c r="L261" s="438">
        <v>0</v>
      </c>
      <c r="M261" s="433">
        <f t="shared" si="353"/>
        <v>0.33050000000000002</v>
      </c>
      <c r="N261" s="263"/>
      <c r="O261" s="263"/>
      <c r="P261" s="261"/>
      <c r="Q261" s="262"/>
      <c r="R261" s="263"/>
      <c r="S261" s="263"/>
      <c r="T261" s="264"/>
      <c r="U261" s="265"/>
      <c r="V261" s="263"/>
      <c r="W261" s="263"/>
      <c r="X261" s="264"/>
      <c r="Y261" s="265"/>
      <c r="Z261" s="185"/>
      <c r="AA261" s="185"/>
      <c r="AB261" s="261"/>
      <c r="AC261" s="262"/>
      <c r="AD261" s="185"/>
      <c r="AE261" s="262"/>
      <c r="AF261" s="224"/>
      <c r="AG261" s="262"/>
      <c r="AH261" s="224"/>
      <c r="AI261" s="275"/>
      <c r="AJ261" s="224"/>
      <c r="AK261" s="262"/>
      <c r="AL261" s="185"/>
      <c r="AM261" s="185"/>
      <c r="AN261" s="261"/>
      <c r="AO261" s="262"/>
      <c r="AP261" s="185"/>
      <c r="AQ261" s="185"/>
      <c r="AR261" s="264"/>
      <c r="AS261" s="265"/>
      <c r="AT261" s="263"/>
      <c r="AU261" s="263"/>
      <c r="AV261" s="261"/>
      <c r="AW261" s="262"/>
      <c r="AX261" s="185"/>
      <c r="AY261" s="185"/>
      <c r="AZ261" s="261"/>
      <c r="BA261" s="262"/>
      <c r="BB261" s="261"/>
      <c r="BC261" s="262"/>
      <c r="BD261" s="261"/>
      <c r="BE261" s="262"/>
      <c r="BF261" s="625"/>
      <c r="BG261" s="672"/>
      <c r="BH261" s="689"/>
      <c r="BI261" s="672"/>
      <c r="BJ261" s="672"/>
      <c r="BK261" s="689"/>
      <c r="BL261" s="211"/>
      <c r="BM261" s="196"/>
      <c r="BN261" s="428"/>
      <c r="BO261" s="196"/>
      <c r="BP261" s="196"/>
      <c r="BQ261" s="698"/>
      <c r="BR261" s="261"/>
      <c r="BS261" s="224"/>
      <c r="BT261" s="686"/>
      <c r="BU261" s="224"/>
      <c r="BV261" s="224"/>
      <c r="BW261" s="701"/>
      <c r="BX261" s="211"/>
      <c r="BY261" s="196"/>
      <c r="BZ261" s="791"/>
      <c r="CA261" s="196"/>
      <c r="CB261" s="196"/>
      <c r="CC261" s="698"/>
      <c r="CD261" s="211"/>
      <c r="CE261" s="196"/>
      <c r="CF261" s="791"/>
      <c r="CG261" s="196"/>
      <c r="CH261" s="196"/>
      <c r="CI261" s="698"/>
      <c r="CJ261" s="211"/>
      <c r="CK261" s="196"/>
      <c r="CL261" s="791"/>
      <c r="CM261" s="196"/>
      <c r="CN261" s="196"/>
      <c r="CO261" s="698"/>
      <c r="CP261" s="211"/>
      <c r="CQ261" s="196"/>
      <c r="CR261" s="791"/>
      <c r="CS261" s="196"/>
      <c r="CT261" s="196"/>
      <c r="CU261" s="698"/>
      <c r="CV261" s="211"/>
      <c r="CW261" s="196"/>
      <c r="CX261" s="691"/>
      <c r="CY261" s="196"/>
      <c r="CZ261" s="196"/>
      <c r="DA261" s="698"/>
      <c r="DB261" s="1560"/>
      <c r="DC261" s="691"/>
      <c r="DD261" s="691"/>
      <c r="DE261" s="691"/>
      <c r="DF261" s="691"/>
      <c r="DG261" s="698"/>
      <c r="DH261" s="261"/>
      <c r="DI261" s="224"/>
      <c r="DJ261" s="691"/>
      <c r="DK261" s="224"/>
      <c r="DL261" s="224"/>
      <c r="DM261" s="698"/>
      <c r="DN261" s="261"/>
      <c r="DO261" s="224"/>
      <c r="DP261" s="691"/>
      <c r="DQ261" s="224"/>
      <c r="DR261" s="224"/>
      <c r="DS261" s="698"/>
      <c r="DT261" s="261"/>
      <c r="DU261" s="224"/>
      <c r="DV261" s="691"/>
      <c r="DW261" s="224"/>
      <c r="DX261" s="224"/>
      <c r="DY261" s="698"/>
      <c r="DZ261" s="261"/>
      <c r="EA261" s="224"/>
      <c r="EB261" s="691"/>
      <c r="EC261" s="224"/>
      <c r="ED261" s="224"/>
      <c r="EE261" s="698"/>
      <c r="EF261" s="196">
        <f t="shared" si="266"/>
        <v>23</v>
      </c>
      <c r="EG261" s="224"/>
      <c r="EH261" s="579">
        <f t="shared" si="295"/>
        <v>23</v>
      </c>
      <c r="EI261" s="602">
        <f t="shared" si="281"/>
        <v>0</v>
      </c>
      <c r="EJ261" s="602">
        <f t="shared" si="282"/>
        <v>0.16525000000000001</v>
      </c>
      <c r="EK261" s="579">
        <f t="shared" si="296"/>
        <v>23</v>
      </c>
      <c r="EL261" s="602">
        <f t="shared" si="351"/>
        <v>0</v>
      </c>
      <c r="EM261" s="602">
        <f t="shared" si="352"/>
        <v>0.33050000000000002</v>
      </c>
      <c r="EN261" s="579">
        <f t="shared" si="297"/>
        <v>23</v>
      </c>
      <c r="EO261" s="602">
        <v>0</v>
      </c>
      <c r="EP261" s="602">
        <v>0</v>
      </c>
      <c r="EQ261" s="580"/>
      <c r="ER261" s="519" t="s">
        <v>68</v>
      </c>
      <c r="ES261" s="623">
        <f>AV296</f>
        <v>9.7272727272727266</v>
      </c>
      <c r="ET261" s="622">
        <f>AV298</f>
        <v>868.26169108669103</v>
      </c>
      <c r="EU261" s="579">
        <f t="shared" si="300"/>
        <v>877.98896381396378</v>
      </c>
      <c r="EV261" s="579">
        <f>AW300</f>
        <v>438.01103618603622</v>
      </c>
      <c r="EW261" s="580"/>
      <c r="EX261" s="580"/>
      <c r="EY261" s="580"/>
      <c r="EZ261" s="580"/>
      <c r="FA261" s="580"/>
      <c r="FB261" s="580"/>
      <c r="FC261" s="580"/>
      <c r="FD261" s="580"/>
      <c r="FE261" s="580"/>
      <c r="FF261" s="580"/>
      <c r="FG261" s="580"/>
      <c r="FH261" s="580"/>
    </row>
    <row r="262" spans="1:164" x14ac:dyDescent="0.2">
      <c r="A262" s="161">
        <v>24</v>
      </c>
      <c r="B262" s="224"/>
      <c r="C262" s="262"/>
      <c r="D262" s="224"/>
      <c r="E262" s="262"/>
      <c r="F262" s="224"/>
      <c r="G262" s="262"/>
      <c r="H262" s="224"/>
      <c r="I262" s="262"/>
      <c r="J262" s="224"/>
      <c r="K262" s="262"/>
      <c r="L262" s="436">
        <v>0</v>
      </c>
      <c r="M262" s="437">
        <f t="shared" si="353"/>
        <v>1.3966000000000001</v>
      </c>
      <c r="N262" s="224"/>
      <c r="O262" s="262"/>
      <c r="P262" s="224"/>
      <c r="Q262" s="262"/>
      <c r="R262" s="224"/>
      <c r="S262" s="262"/>
      <c r="T262" s="273"/>
      <c r="U262" s="265"/>
      <c r="V262" s="273"/>
      <c r="W262" s="265"/>
      <c r="X262" s="224"/>
      <c r="Y262" s="262"/>
      <c r="Z262" s="224"/>
      <c r="AA262" s="262"/>
      <c r="AB262" s="224"/>
      <c r="AC262" s="262"/>
      <c r="AD262" s="273"/>
      <c r="AE262" s="265"/>
      <c r="AF262" s="224"/>
      <c r="AG262" s="262"/>
      <c r="AH262" s="224"/>
      <c r="AI262" s="275"/>
      <c r="AJ262" s="224"/>
      <c r="AK262" s="262"/>
      <c r="AL262" s="224"/>
      <c r="AM262" s="262"/>
      <c r="AN262" s="224"/>
      <c r="AO262" s="262"/>
      <c r="AP262" s="224"/>
      <c r="AQ262" s="262"/>
      <c r="AR262" s="224"/>
      <c r="AS262" s="262"/>
      <c r="AT262" s="224"/>
      <c r="AU262" s="224"/>
      <c r="AV262" s="273"/>
      <c r="AW262" s="265"/>
      <c r="AX262" s="273"/>
      <c r="AY262" s="265"/>
      <c r="AZ262" s="224"/>
      <c r="BA262" s="262"/>
      <c r="BB262" s="224"/>
      <c r="BC262" s="262"/>
      <c r="BD262" s="261"/>
      <c r="BE262" s="262"/>
      <c r="BF262" s="625"/>
      <c r="BG262" s="672"/>
      <c r="BH262" s="689"/>
      <c r="BI262" s="672"/>
      <c r="BJ262" s="672"/>
      <c r="BK262" s="689"/>
      <c r="BL262" s="211"/>
      <c r="BM262" s="196"/>
      <c r="BN262" s="428"/>
      <c r="BO262" s="196"/>
      <c r="BP262" s="196"/>
      <c r="BQ262" s="698"/>
      <c r="BR262" s="261"/>
      <c r="BS262" s="224"/>
      <c r="BT262" s="686"/>
      <c r="BU262" s="224"/>
      <c r="BV262" s="224"/>
      <c r="BW262" s="701"/>
      <c r="BX262" s="211"/>
      <c r="BY262" s="196"/>
      <c r="BZ262" s="791"/>
      <c r="CA262" s="196"/>
      <c r="CB262" s="196"/>
      <c r="CC262" s="698"/>
      <c r="CD262" s="211"/>
      <c r="CE262" s="196"/>
      <c r="CF262" s="791"/>
      <c r="CG262" s="196"/>
      <c r="CH262" s="196"/>
      <c r="CI262" s="698"/>
      <c r="CJ262" s="211"/>
      <c r="CK262" s="196"/>
      <c r="CL262" s="791"/>
      <c r="CM262" s="196"/>
      <c r="CN262" s="196"/>
      <c r="CO262" s="698"/>
      <c r="CP262" s="211"/>
      <c r="CQ262" s="196"/>
      <c r="CR262" s="791"/>
      <c r="CS262" s="196"/>
      <c r="CT262" s="196"/>
      <c r="CU262" s="698"/>
      <c r="CV262" s="211"/>
      <c r="CW262" s="196"/>
      <c r="CX262" s="691"/>
      <c r="CY262" s="196"/>
      <c r="CZ262" s="196"/>
      <c r="DA262" s="698"/>
      <c r="DB262" s="1560"/>
      <c r="DC262" s="691"/>
      <c r="DD262" s="691"/>
      <c r="DE262" s="691"/>
      <c r="DF262" s="691"/>
      <c r="DG262" s="698"/>
      <c r="DH262" s="261"/>
      <c r="DI262" s="224"/>
      <c r="DJ262" s="691"/>
      <c r="DK262" s="224"/>
      <c r="DL262" s="224"/>
      <c r="DM262" s="698"/>
      <c r="DN262" s="261"/>
      <c r="DO262" s="224"/>
      <c r="DP262" s="691"/>
      <c r="DQ262" s="224"/>
      <c r="DR262" s="224"/>
      <c r="DS262" s="698"/>
      <c r="DT262" s="261"/>
      <c r="DU262" s="224"/>
      <c r="DV262" s="691"/>
      <c r="DW262" s="224"/>
      <c r="DX262" s="224"/>
      <c r="DY262" s="698"/>
      <c r="DZ262" s="261"/>
      <c r="EA262" s="224"/>
      <c r="EB262" s="691"/>
      <c r="EC262" s="224"/>
      <c r="ED262" s="224"/>
      <c r="EE262" s="698"/>
      <c r="EF262" s="196">
        <f t="shared" si="266"/>
        <v>24</v>
      </c>
      <c r="EG262" s="224"/>
      <c r="EH262" s="579">
        <f t="shared" si="295"/>
        <v>24</v>
      </c>
      <c r="EI262" s="602">
        <f t="shared" si="281"/>
        <v>0</v>
      </c>
      <c r="EJ262" s="602">
        <f t="shared" si="282"/>
        <v>0.69830000000000003</v>
      </c>
      <c r="EK262" s="579">
        <f t="shared" si="296"/>
        <v>24</v>
      </c>
      <c r="EL262" s="602">
        <f t="shared" si="351"/>
        <v>0</v>
      </c>
      <c r="EM262" s="602">
        <f t="shared" si="352"/>
        <v>1.3966000000000001</v>
      </c>
      <c r="EN262" s="579">
        <f t="shared" si="297"/>
        <v>24</v>
      </c>
      <c r="EO262" s="602">
        <v>0</v>
      </c>
      <c r="EP262" s="602">
        <v>0</v>
      </c>
      <c r="EQ262" s="580"/>
      <c r="ER262" s="519" t="s">
        <v>69</v>
      </c>
      <c r="ES262" s="623">
        <f>AX296</f>
        <v>1.6666666666666667</v>
      </c>
      <c r="ET262" s="622">
        <f>AX298</f>
        <v>347.39333333333332</v>
      </c>
      <c r="EU262" s="579">
        <f t="shared" si="300"/>
        <v>349.06</v>
      </c>
      <c r="EV262" s="579">
        <f>AY300</f>
        <v>296.88569999999999</v>
      </c>
      <c r="EW262" s="580"/>
      <c r="EX262" s="580"/>
      <c r="EY262" s="580"/>
      <c r="EZ262" s="580"/>
      <c r="FA262" s="580"/>
      <c r="FB262" s="580"/>
      <c r="FC262" s="580"/>
      <c r="FD262" s="580"/>
      <c r="FE262" s="580"/>
      <c r="FF262" s="580"/>
      <c r="FG262" s="580"/>
      <c r="FH262" s="580"/>
    </row>
    <row r="263" spans="1:164" x14ac:dyDescent="0.2">
      <c r="A263" s="159">
        <v>25</v>
      </c>
      <c r="B263" s="224">
        <f>B204*B146</f>
        <v>0</v>
      </c>
      <c r="C263" s="262">
        <f>B204*C146</f>
        <v>0</v>
      </c>
      <c r="D263" s="224">
        <f>D204*D146</f>
        <v>0</v>
      </c>
      <c r="E263" s="262">
        <f>D204*E146</f>
        <v>0</v>
      </c>
      <c r="F263" s="268">
        <f>F204*V146</f>
        <v>12</v>
      </c>
      <c r="G263" s="269">
        <f>F204*W146</f>
        <v>0</v>
      </c>
      <c r="H263" s="268">
        <f>H204*V146</f>
        <v>3</v>
      </c>
      <c r="I263" s="269">
        <f>H204*W146</f>
        <v>0</v>
      </c>
      <c r="J263" s="224"/>
      <c r="K263" s="262"/>
      <c r="L263" s="268">
        <f>L204*L145</f>
        <v>0</v>
      </c>
      <c r="M263" s="269">
        <f>L204*M145</f>
        <v>2</v>
      </c>
      <c r="N263" s="224">
        <f>N204*N146</f>
        <v>0</v>
      </c>
      <c r="O263" s="262">
        <f>N204*O146</f>
        <v>0</v>
      </c>
      <c r="P263" s="268">
        <f>P204*V146</f>
        <v>2</v>
      </c>
      <c r="Q263" s="269">
        <f>P204*W146</f>
        <v>0</v>
      </c>
      <c r="R263" s="268">
        <f>R204*R145</f>
        <v>0</v>
      </c>
      <c r="S263" s="269">
        <f>R204*S145</f>
        <v>0</v>
      </c>
      <c r="T263" s="268">
        <f>T204*T145</f>
        <v>0</v>
      </c>
      <c r="U263" s="269">
        <f>T204*U145</f>
        <v>6</v>
      </c>
      <c r="V263" s="273">
        <f>V204*V146</f>
        <v>0</v>
      </c>
      <c r="W263" s="265">
        <f>V204*W146</f>
        <v>0</v>
      </c>
      <c r="X263" s="273"/>
      <c r="Y263" s="265"/>
      <c r="Z263" s="224"/>
      <c r="AA263" s="262"/>
      <c r="AB263" s="224"/>
      <c r="AC263" s="262"/>
      <c r="AD263" s="224"/>
      <c r="AE263" s="262"/>
      <c r="AF263" s="224"/>
      <c r="AG263" s="262"/>
      <c r="AH263" s="224"/>
      <c r="AI263" s="275"/>
      <c r="AJ263" s="224"/>
      <c r="AK263" s="262"/>
      <c r="AL263" s="224"/>
      <c r="AM263" s="262"/>
      <c r="AN263" s="224"/>
      <c r="AO263" s="262"/>
      <c r="AP263" s="224"/>
      <c r="AQ263" s="262"/>
      <c r="AR263" s="273"/>
      <c r="AS263" s="265"/>
      <c r="AT263" s="273"/>
      <c r="AU263" s="265"/>
      <c r="AV263" s="224"/>
      <c r="AW263" s="262"/>
      <c r="AX263" s="224"/>
      <c r="AY263" s="262"/>
      <c r="AZ263" s="224"/>
      <c r="BA263" s="262"/>
      <c r="BB263" s="261"/>
      <c r="BC263" s="262"/>
      <c r="BD263" s="261"/>
      <c r="BE263" s="262"/>
      <c r="BF263" s="576">
        <f>BF146*$BF204+IF(SUM($BF87:$BH87)&gt;0,BH146*$BF204*(BF87/SUM($BF87:$BG87)))</f>
        <v>2.6666666666666665</v>
      </c>
      <c r="BG263" s="670">
        <f>BG146*$BF204+IF(SUM($BF87:$BH87)&gt;0,BH146*$BF204*(BG87/SUM($BF87:$BG87)))</f>
        <v>0</v>
      </c>
      <c r="BH263" s="687">
        <f t="shared" ref="BH263:BH266" si="371">BF263+BG263*BO$303</f>
        <v>2.6666666666666665</v>
      </c>
      <c r="BI263" s="670">
        <f>BI146*$BF204+IF(SUM($BI87:$BK87)&gt;0,BK146*$BF204*(BI87/SUM($BI87:$BJ87)))</f>
        <v>1.3333333333333333</v>
      </c>
      <c r="BJ263" s="670">
        <f>BJ146*$BF204+IF(SUM($BI87:$BK87)&gt;0,BK146*$BF204*(BJ87/SUM($BI87:$BJ87)))</f>
        <v>16</v>
      </c>
      <c r="BK263" s="687">
        <f t="shared" ref="BK263" si="372">BI263+BJ263*0.0661</f>
        <v>2.3909333333333334</v>
      </c>
      <c r="BL263" s="576">
        <f>BL146*$BL204+IF(SUM($BL87:$BN87)&gt;0, BN146*$BL204*(BL87/SUM($BL87:$BM87)),0)</f>
        <v>0</v>
      </c>
      <c r="BM263" s="670">
        <f>BM146*$BL204+IF(SUM($BL87:$BN87)&gt;0, BN146*$BL204*(BM87/SUM($BL87:$BM87)),0)</f>
        <v>0</v>
      </c>
      <c r="BN263" s="687">
        <f>BL263+BM263*BU$303</f>
        <v>0</v>
      </c>
      <c r="BO263" s="670">
        <f t="shared" ref="BO263" si="373">BO146*$BL204+IF(SUM($BO87:$BP87)&gt;0, BQ146*$BL204*(BO87/SUM($BO87:$BP87)))</f>
        <v>0</v>
      </c>
      <c r="BP263" s="670">
        <f>BP146*$BL204+IF(SUM($BO87:$BQ87)&gt;0, BQ146*$BL204*(BP87/SUM($BO87:$BP87)))</f>
        <v>2</v>
      </c>
      <c r="BQ263" s="697">
        <f t="shared" ref="BQ263:BQ264" si="374">BO263+BP263*BO$303</f>
        <v>0.17299999999999999</v>
      </c>
      <c r="BR263" s="274">
        <f>BR147*$BR204+IF(SUM($BR88:$BT88)&gt;0, BT147*$BR204*(BR88/SUM($BR88:$BS88)),0)</f>
        <v>0</v>
      </c>
      <c r="BS263" s="268">
        <f>BS147*$BR204+IF(SUM($BR88:$BT88)&gt;0, BT147*$BR204*(BS88/SUM($BR88:$BS88)),0)</f>
        <v>0</v>
      </c>
      <c r="BT263" s="940">
        <f t="shared" ref="BT263" si="375">BR263+BS263*CA$303</f>
        <v>0</v>
      </c>
      <c r="BU263" s="268">
        <f>BU147*$BR204+IF(SUM($BU88:$BW88)&gt;0, BW147*$BR204*(BU88/SUM($BU88:$BV88)))</f>
        <v>14</v>
      </c>
      <c r="BV263" s="268">
        <f>BV147*$BR204+IF(SUM($BU88:$BW88)&gt;0, BW147*$BR204*(BV88/SUM($BU88:$BV88)))</f>
        <v>0</v>
      </c>
      <c r="BW263" s="944">
        <f t="shared" ref="BW263" si="376">BU263+BV263*BU$303</f>
        <v>14</v>
      </c>
      <c r="BX263" s="625"/>
      <c r="BY263" s="672"/>
      <c r="BZ263" s="685"/>
      <c r="CA263" s="672"/>
      <c r="CB263" s="672"/>
      <c r="CC263" s="821"/>
      <c r="CD263" s="625"/>
      <c r="CE263" s="672"/>
      <c r="CF263" s="685"/>
      <c r="CG263" s="672"/>
      <c r="CH263" s="672"/>
      <c r="CI263" s="821"/>
      <c r="CJ263" s="625"/>
      <c r="CK263" s="672"/>
      <c r="CL263" s="685"/>
      <c r="CM263" s="672"/>
      <c r="CN263" s="672"/>
      <c r="CO263" s="821"/>
      <c r="CP263" s="625"/>
      <c r="CQ263" s="672"/>
      <c r="CR263" s="685"/>
      <c r="CS263" s="672"/>
      <c r="CT263" s="672"/>
      <c r="CU263" s="821"/>
      <c r="CV263" s="625"/>
      <c r="CW263" s="672"/>
      <c r="CX263" s="689"/>
      <c r="CY263" s="672"/>
      <c r="CZ263" s="672"/>
      <c r="DA263" s="821"/>
      <c r="DB263" s="1559"/>
      <c r="DC263" s="689"/>
      <c r="DD263" s="689"/>
      <c r="DE263" s="689"/>
      <c r="DF263" s="689"/>
      <c r="DG263" s="821"/>
      <c r="DH263" s="625"/>
      <c r="DI263" s="672"/>
      <c r="DJ263" s="689"/>
      <c r="DK263" s="672"/>
      <c r="DL263" s="672"/>
      <c r="DM263" s="821"/>
      <c r="DN263" s="625"/>
      <c r="DO263" s="672"/>
      <c r="DP263" s="689"/>
      <c r="DQ263" s="672"/>
      <c r="DR263" s="672"/>
      <c r="DS263" s="821"/>
      <c r="DT263" s="625"/>
      <c r="DU263" s="672"/>
      <c r="DV263" s="689"/>
      <c r="DW263" s="672"/>
      <c r="DX263" s="672"/>
      <c r="DY263" s="821"/>
      <c r="DZ263" s="625"/>
      <c r="EA263" s="672"/>
      <c r="EB263" s="689"/>
      <c r="EC263" s="672"/>
      <c r="ED263" s="672"/>
      <c r="EE263" s="821"/>
      <c r="EF263" s="196">
        <f t="shared" si="266"/>
        <v>25</v>
      </c>
      <c r="EG263" s="224"/>
      <c r="EH263" s="579">
        <f t="shared" si="295"/>
        <v>25</v>
      </c>
      <c r="EI263" s="602">
        <f t="shared" si="281"/>
        <v>2.125</v>
      </c>
      <c r="EJ263" s="602">
        <f t="shared" si="282"/>
        <v>0.8</v>
      </c>
      <c r="EK263" s="579">
        <f t="shared" si="296"/>
        <v>25</v>
      </c>
      <c r="EL263" s="602">
        <f t="shared" si="351"/>
        <v>1.8888888888888888</v>
      </c>
      <c r="EM263" s="602">
        <f t="shared" si="352"/>
        <v>0.88888888888888884</v>
      </c>
      <c r="EN263" s="579">
        <f t="shared" si="297"/>
        <v>25</v>
      </c>
      <c r="EO263" s="602" t="e">
        <f t="shared" ref="EO263:EO291" si="377">AVERAGE(AJ263,AL263,AN263,AP263,AR263,AT263,AV263,AX263,AZ263,BB263,BD263)</f>
        <v>#DIV/0!</v>
      </c>
      <c r="EP263" s="602" t="e">
        <f t="shared" ref="EP263:EP291" si="378">AVERAGE(AK263,AM263,AO263,AQ263,AS263,AU263,AW263,AY263,BA263,BC263,BE263)</f>
        <v>#DIV/0!</v>
      </c>
      <c r="EQ263" s="580"/>
      <c r="ER263" s="519" t="s">
        <v>70</v>
      </c>
      <c r="ES263" s="623">
        <f>AZ296</f>
        <v>28.833333333333332</v>
      </c>
      <c r="ET263" s="622">
        <f>AZ298</f>
        <v>193.8524783634933</v>
      </c>
      <c r="EU263" s="579">
        <f t="shared" si="300"/>
        <v>222.68581169682665</v>
      </c>
      <c r="EV263" s="579">
        <f>BA300</f>
        <v>123.79718830317337</v>
      </c>
      <c r="EW263" s="580"/>
      <c r="EX263" s="580"/>
      <c r="EY263" s="580"/>
      <c r="EZ263" s="580"/>
      <c r="FA263" s="580"/>
      <c r="FB263" s="580"/>
      <c r="FC263" s="580"/>
      <c r="FD263" s="580"/>
      <c r="FE263" s="580"/>
      <c r="FF263" s="580"/>
      <c r="FG263" s="580"/>
      <c r="FH263" s="580"/>
    </row>
    <row r="264" spans="1:164" x14ac:dyDescent="0.2">
      <c r="A264" s="159">
        <v>26</v>
      </c>
      <c r="B264" s="224">
        <f>B205*B147</f>
        <v>0</v>
      </c>
      <c r="C264" s="262">
        <f>B205*C147</f>
        <v>0</v>
      </c>
      <c r="D264" s="274">
        <f>D205*T147</f>
        <v>0</v>
      </c>
      <c r="E264" s="269">
        <f>D205*U147</f>
        <v>1</v>
      </c>
      <c r="F264" s="270">
        <f>F205*T147</f>
        <v>0</v>
      </c>
      <c r="G264" s="270">
        <f>F205*U147</f>
        <v>9</v>
      </c>
      <c r="H264" s="274">
        <f>H205*T147</f>
        <v>0</v>
      </c>
      <c r="I264" s="269">
        <f>H205*U147</f>
        <v>3</v>
      </c>
      <c r="J264" s="270">
        <f>J205*T147</f>
        <v>0</v>
      </c>
      <c r="K264" s="270">
        <f>J205*U147</f>
        <v>5</v>
      </c>
      <c r="L264" s="274">
        <f>L205*L145</f>
        <v>0</v>
      </c>
      <c r="M264" s="269">
        <f>L205*M145</f>
        <v>5</v>
      </c>
      <c r="N264" s="185">
        <f>N205*N147</f>
        <v>0</v>
      </c>
      <c r="O264" s="185">
        <f>N205*O147</f>
        <v>0</v>
      </c>
      <c r="P264" s="274">
        <f>P205*T147</f>
        <v>0</v>
      </c>
      <c r="Q264" s="269">
        <f>P205*U147</f>
        <v>2</v>
      </c>
      <c r="R264" s="270">
        <f>R205*R145</f>
        <v>0</v>
      </c>
      <c r="S264" s="270">
        <f>R205*S145</f>
        <v>0</v>
      </c>
      <c r="T264" s="264">
        <f>T205*T147</f>
        <v>0</v>
      </c>
      <c r="U264" s="265">
        <f>T205*U147</f>
        <v>1</v>
      </c>
      <c r="V264" s="263">
        <f>V205*V147</f>
        <v>0</v>
      </c>
      <c r="W264" s="263">
        <f>V205*W147</f>
        <v>1</v>
      </c>
      <c r="X264" s="261"/>
      <c r="Y264" s="262"/>
      <c r="Z264" s="185"/>
      <c r="AA264" s="185"/>
      <c r="AB264" s="261"/>
      <c r="AC264" s="262"/>
      <c r="AD264" s="185"/>
      <c r="AE264" s="262"/>
      <c r="AF264" s="224"/>
      <c r="AG264" s="262"/>
      <c r="AH264" s="224"/>
      <c r="AI264" s="282"/>
      <c r="AJ264" s="224"/>
      <c r="AK264" s="262"/>
      <c r="AL264" s="185"/>
      <c r="AM264" s="185"/>
      <c r="AN264" s="261"/>
      <c r="AO264" s="262"/>
      <c r="AP264" s="185"/>
      <c r="AQ264" s="185"/>
      <c r="AR264" s="261"/>
      <c r="AS264" s="262"/>
      <c r="AT264" s="185"/>
      <c r="AU264" s="185"/>
      <c r="AV264" s="261"/>
      <c r="AW264" s="262"/>
      <c r="AX264" s="263">
        <f t="shared" si="342"/>
        <v>1.5</v>
      </c>
      <c r="AY264" s="263">
        <f t="shared" si="343"/>
        <v>1.5</v>
      </c>
      <c r="AZ264" s="261"/>
      <c r="BA264" s="262"/>
      <c r="BB264" s="264"/>
      <c r="BC264" s="265"/>
      <c r="BD264" s="654">
        <v>2</v>
      </c>
      <c r="BE264" s="655">
        <f>6*0.0661</f>
        <v>0.39660000000000006</v>
      </c>
      <c r="BF264" s="575">
        <f>BF147*$BF205+IF(SUM($BF88:$BH88)&gt;0,BH147*$BF205*(BF88/SUM($BF88:$BG88)))</f>
        <v>3</v>
      </c>
      <c r="BG264" s="669">
        <f>BG147*$BF205+IF(SUM($BF88:$BH88)&gt;0,BH147*$BF205*(BG88/SUM($BF88:$BG88)))</f>
        <v>0</v>
      </c>
      <c r="BH264" s="687">
        <f t="shared" si="371"/>
        <v>3</v>
      </c>
      <c r="BI264" s="669">
        <f>BI147*$BF205+IF(SUM($BI88:$BK88)&gt;0,BK147*$BF205*(BI88/SUM($BI88:$BJ88)))</f>
        <v>0</v>
      </c>
      <c r="BJ264" s="669">
        <f>BJ147*$BF205+IF(SUM($BI88:$BK88)&gt;0,BK147*$BF205*(BJ88/SUM($BI88:$BJ88)))</f>
        <v>0</v>
      </c>
      <c r="BK264" s="687">
        <f t="shared" ref="BK264" si="379">BI264+BJ264*0.0661</f>
        <v>0</v>
      </c>
      <c r="BL264" s="709">
        <f>BL147*$BL205+IF(SUM($BL89:$BN89)&gt;0, BN147*$BL205*(BL89/SUM($BL89:$BM89)),0)</f>
        <v>0</v>
      </c>
      <c r="BM264" s="710">
        <f>BM147*$BL205+IF(SUM($BL89:$BN89)&gt;0, BN147*$BL205*(BM89/SUM($BL89:$BM89)),0)</f>
        <v>1</v>
      </c>
      <c r="BN264" s="928">
        <f>BL264+BM264*BU$303</f>
        <v>8.7999999999999995E-2</v>
      </c>
      <c r="BO264" s="669">
        <f t="shared" ref="BO264" si="380">BO147*$BL205+IF(SUM($BO88:$BP88)&gt;0, BQ147*$BL205*(BO88/SUM($BO88:$BP88)))</f>
        <v>1</v>
      </c>
      <c r="BP264" s="669">
        <f>BP147*$BL205+IF(SUM($BO88:$BQ88)&gt;0, BQ147*$BL205*(BP88/SUM($BO88:$BP88)))</f>
        <v>2</v>
      </c>
      <c r="BQ264" s="700">
        <f t="shared" si="374"/>
        <v>1.173</v>
      </c>
      <c r="BR264" s="289">
        <f t="shared" ref="BR264" si="381">BR147*$BR205+IF(SUM($BR88:$BT88)&gt;0, BT147*$BR205*(BR88/SUM($BR88:$BS88)),0)</f>
        <v>0</v>
      </c>
      <c r="BS264" s="291">
        <f t="shared" ref="BS264:BS268" si="382">BS147*$BR205+IF(SUM($BR88:$BT88)&gt;0, BT147*$BR205*(BS88/SUM($BR88:$BS88)),0)</f>
        <v>0</v>
      </c>
      <c r="BT264" s="942">
        <f t="shared" ref="BT264" si="383">BR264+BS264*CA$303</f>
        <v>0</v>
      </c>
      <c r="BU264" s="291">
        <f t="shared" ref="BU264" si="384">BU147*$BR205+IF(SUM($BU88:$BW88)&gt;0, BW147*$BR205*(BU88/SUM($BU88:$BV88)))</f>
        <v>1</v>
      </c>
      <c r="BV264" s="291">
        <f t="shared" ref="BV264:BV268" si="385">BV147*$BR205+IF(SUM($BU88:$BW88)&gt;0, BW147*$BR205*(BV88/SUM($BU88:$BV88)))</f>
        <v>0</v>
      </c>
      <c r="BW264" s="946">
        <f t="shared" ref="BW264" si="386">BU264+BV264*BU$303</f>
        <v>1</v>
      </c>
      <c r="BX264" s="575">
        <f>BX147*$BX205+IF(SUM($BX88:$BZ88)&gt;0, BZ147*$BX205*(BX88/SUM($BX88:$BY88)),0)</f>
        <v>1</v>
      </c>
      <c r="BY264" s="669">
        <f>BY147*$BX205+IF(SUM($BX88:$BZ88)&gt;0, BZ147*$BX205*(BY88/SUM($BX88:$BY88)),0)</f>
        <v>0</v>
      </c>
      <c r="BZ264" s="1037">
        <f>BX264+BY264*CG$303</f>
        <v>1</v>
      </c>
      <c r="CA264" s="669">
        <f>CA147*$BX205+IF(SUM($CA88:$CC88)&gt;0, CC147*$BX205*(CA88/SUM($CA88:$CB88)))</f>
        <v>1</v>
      </c>
      <c r="CB264" s="669">
        <f>CB147*$BX205+IF(SUM($CA88:$CC88)&gt;0, CC147*$BX205*(CB88/SUM($CA88:$CB88)))</f>
        <v>0</v>
      </c>
      <c r="CC264" s="700">
        <f>CA264+CB264*CA$303</f>
        <v>1</v>
      </c>
      <c r="CD264" s="1085">
        <v>3</v>
      </c>
      <c r="CE264" s="1144">
        <v>0</v>
      </c>
      <c r="CF264" s="1037"/>
      <c r="CG264" s="1085">
        <v>0</v>
      </c>
      <c r="CH264" s="1144">
        <v>0</v>
      </c>
      <c r="CI264" s="700">
        <f t="shared" si="341"/>
        <v>0</v>
      </c>
      <c r="CJ264" s="828"/>
      <c r="CK264" s="829"/>
      <c r="CL264" s="830"/>
      <c r="CM264" s="829"/>
      <c r="CN264" s="829"/>
      <c r="CO264" s="831"/>
      <c r="CP264" s="1555">
        <v>4.5999999999999996</v>
      </c>
      <c r="CQ264" s="1144">
        <v>0</v>
      </c>
      <c r="CR264" s="1037">
        <f>CP264+CQ264*CY$303</f>
        <v>4.5999999999999996</v>
      </c>
      <c r="CS264" s="1144">
        <v>8.8000000000000007</v>
      </c>
      <c r="CT264" s="1144">
        <v>4.5999999999999996</v>
      </c>
      <c r="CU264" s="700">
        <f t="shared" ref="CU264" si="387">CS264+CT264*CS$303</f>
        <v>9.1992799999999999</v>
      </c>
      <c r="CV264" s="828">
        <v>0.3</v>
      </c>
      <c r="CW264" s="829">
        <v>0</v>
      </c>
      <c r="CX264" s="1037">
        <f t="shared" ref="CX264" si="388">CV264+CW264*DE$303</f>
        <v>0.3</v>
      </c>
      <c r="CY264" s="829">
        <v>0</v>
      </c>
      <c r="CZ264" s="829">
        <v>0.7</v>
      </c>
      <c r="DA264" s="700">
        <f>CY264+CZ264*CY$303</f>
        <v>6.2579999999999997E-2</v>
      </c>
      <c r="DB264" s="1563"/>
      <c r="DC264" s="1557"/>
      <c r="DD264" s="1557"/>
      <c r="DE264" s="1557"/>
      <c r="DF264" s="1557"/>
      <c r="DG264" s="831"/>
      <c r="DH264" s="828"/>
      <c r="DI264" s="829"/>
      <c r="DJ264" s="1557"/>
      <c r="DK264" s="829"/>
      <c r="DL264" s="829"/>
      <c r="DM264" s="831"/>
      <c r="DN264" s="828">
        <v>0</v>
      </c>
      <c r="DO264" s="829">
        <v>0</v>
      </c>
      <c r="DP264" s="1037">
        <f>DN264+DO264*DW$303</f>
        <v>0</v>
      </c>
      <c r="DQ264" s="829">
        <v>0</v>
      </c>
      <c r="DR264" s="829">
        <v>5</v>
      </c>
      <c r="DS264" s="700">
        <f t="shared" ref="DS264" si="389">DQ264+DR264*DQ$303</f>
        <v>0.40500000000000003</v>
      </c>
      <c r="DT264" s="828"/>
      <c r="DU264" s="829"/>
      <c r="DV264" s="1557"/>
      <c r="DW264" s="829"/>
      <c r="DX264" s="829"/>
      <c r="DY264" s="831"/>
      <c r="DZ264" s="828"/>
      <c r="EA264" s="829"/>
      <c r="EB264" s="1557"/>
      <c r="EC264" s="829"/>
      <c r="ED264" s="829"/>
      <c r="EE264" s="831"/>
      <c r="EF264" s="237">
        <f t="shared" si="266"/>
        <v>26</v>
      </c>
      <c r="EG264" s="224"/>
      <c r="EH264" s="579">
        <f t="shared" si="295"/>
        <v>26</v>
      </c>
      <c r="EI264" s="602">
        <f t="shared" si="281"/>
        <v>0.31818181818181818</v>
      </c>
      <c r="EJ264" s="602">
        <f t="shared" si="282"/>
        <v>2.2228153846153846</v>
      </c>
      <c r="EK264" s="579">
        <f t="shared" si="296"/>
        <v>26</v>
      </c>
      <c r="EL264" s="602">
        <f t="shared" si="351"/>
        <v>0</v>
      </c>
      <c r="EM264" s="602">
        <f t="shared" si="352"/>
        <v>2.7</v>
      </c>
      <c r="EN264" s="579">
        <f t="shared" si="297"/>
        <v>26</v>
      </c>
      <c r="EO264" s="602">
        <f t="shared" si="377"/>
        <v>1.75</v>
      </c>
      <c r="EP264" s="602">
        <f t="shared" si="378"/>
        <v>0.94830000000000003</v>
      </c>
      <c r="EQ264" s="580"/>
      <c r="ER264" s="519" t="s">
        <v>71</v>
      </c>
      <c r="ES264" s="623">
        <f>BB296</f>
        <v>19.25</v>
      </c>
      <c r="ET264" s="622">
        <f>BB298</f>
        <v>295.00546558704451</v>
      </c>
      <c r="EU264" s="579">
        <f t="shared" si="300"/>
        <v>314.25546558704451</v>
      </c>
      <c r="EV264" s="579">
        <f>BC300</f>
        <v>123.02172981295547</v>
      </c>
      <c r="EW264" s="580"/>
      <c r="EX264" s="580"/>
      <c r="EY264" s="580"/>
      <c r="EZ264" s="580"/>
      <c r="FA264" s="580"/>
      <c r="FB264" s="580"/>
      <c r="FC264" s="580"/>
      <c r="FD264" s="580"/>
      <c r="FE264" s="580"/>
      <c r="FF264" s="580"/>
      <c r="FG264" s="580"/>
      <c r="FH264" s="580"/>
    </row>
    <row r="265" spans="1:164" x14ac:dyDescent="0.2">
      <c r="A265" s="166">
        <v>27</v>
      </c>
      <c r="B265" s="266">
        <f>B206*B148</f>
        <v>0</v>
      </c>
      <c r="C265" s="267">
        <f>B206*C148</f>
        <v>0</v>
      </c>
      <c r="D265" s="284">
        <f>D206*T148</f>
        <v>0</v>
      </c>
      <c r="E265" s="285">
        <f>D206*U148</f>
        <v>21</v>
      </c>
      <c r="F265" s="284">
        <f>F206*T148</f>
        <v>0</v>
      </c>
      <c r="G265" s="285">
        <f>F206*U148</f>
        <v>13</v>
      </c>
      <c r="H265" s="284">
        <f>H206*T148</f>
        <v>0</v>
      </c>
      <c r="I265" s="285">
        <f>H206*U148</f>
        <v>2</v>
      </c>
      <c r="J265" s="284">
        <f>J206*T148</f>
        <v>0</v>
      </c>
      <c r="K265" s="285">
        <f>J206*U148</f>
        <v>5</v>
      </c>
      <c r="L265" s="284">
        <f>L206*T148</f>
        <v>0</v>
      </c>
      <c r="M265" s="285">
        <f>L206*U148</f>
        <v>4</v>
      </c>
      <c r="N265" s="284">
        <f>N206*T148</f>
        <v>0</v>
      </c>
      <c r="O265" s="285">
        <f>N206*U148</f>
        <v>10</v>
      </c>
      <c r="P265" s="284">
        <f>P206*T148</f>
        <v>0</v>
      </c>
      <c r="Q265" s="285">
        <f>P206*U148</f>
        <v>2</v>
      </c>
      <c r="R265" s="266">
        <f>R206*R148</f>
        <v>0</v>
      </c>
      <c r="S265" s="267">
        <f>R206*S148</f>
        <v>0</v>
      </c>
      <c r="T265" s="286">
        <f>T206*T148</f>
        <v>0</v>
      </c>
      <c r="U265" s="287">
        <f>T206*U148</f>
        <v>2</v>
      </c>
      <c r="V265" s="284">
        <f>V206*V149</f>
        <v>11</v>
      </c>
      <c r="W265" s="285">
        <f>V206*W149</f>
        <v>0</v>
      </c>
      <c r="X265" s="266"/>
      <c r="Y265" s="267"/>
      <c r="Z265" s="266"/>
      <c r="AA265" s="267"/>
      <c r="AB265" s="266"/>
      <c r="AC265" s="267"/>
      <c r="AD265" s="266"/>
      <c r="AE265" s="267"/>
      <c r="AF265" s="266"/>
      <c r="AG265" s="267"/>
      <c r="AH265" s="266"/>
      <c r="AI265" s="275"/>
      <c r="AJ265" s="266"/>
      <c r="AK265" s="267"/>
      <c r="AL265" s="266"/>
      <c r="AM265" s="267"/>
      <c r="AN265" s="266"/>
      <c r="AO265" s="267"/>
      <c r="AP265" s="266"/>
      <c r="AQ265" s="267"/>
      <c r="AR265" s="266"/>
      <c r="AS265" s="267"/>
      <c r="AT265" s="284">
        <f>AT206*AT146</f>
        <v>0</v>
      </c>
      <c r="AU265" s="285">
        <f>AT206*AU146</f>
        <v>5</v>
      </c>
      <c r="AV265" s="266">
        <f>AV206*AV148</f>
        <v>0</v>
      </c>
      <c r="AW265" s="267">
        <f>AV206*AW148</f>
        <v>0</v>
      </c>
      <c r="AX265" s="286">
        <f t="shared" si="342"/>
        <v>6</v>
      </c>
      <c r="AY265" s="287">
        <f t="shared" si="343"/>
        <v>0</v>
      </c>
      <c r="AZ265" s="266"/>
      <c r="BA265" s="267"/>
      <c r="BB265" s="266"/>
      <c r="BC265" s="267"/>
      <c r="BD265" s="654"/>
      <c r="BE265" s="655">
        <f>(4*0.06661)</f>
        <v>0.26644000000000001</v>
      </c>
      <c r="BF265" s="576">
        <f>BF148*$BF206+IF(SUM($BF89:$BH89)&gt;0,BH148*$BF206*(BF89/SUM($BF89:$BG89)))</f>
        <v>6.8571428571428568</v>
      </c>
      <c r="BG265" s="670">
        <f>BG148*$BF206+IF(SUM($BF89:$BH89)&gt;0,BH148*$BF206*(BG89/SUM($BF89:$BG89)))</f>
        <v>0</v>
      </c>
      <c r="BH265" s="683">
        <f t="shared" si="371"/>
        <v>6.8571428571428568</v>
      </c>
      <c r="BI265" s="670">
        <f>BI148*$BF206+IF(SUM($BI89:$BK89)&gt;0,BK148*$BF206*(BI89/SUM($BI89:$BJ89)))</f>
        <v>2.2857142857142856</v>
      </c>
      <c r="BJ265" s="670">
        <f>BJ148*$BF206+IF(SUM($BI89:$BK89)&gt;0,BK148*$BF206*(BJ89/SUM($BI89:$BJ89)))</f>
        <v>6.8571428571428568</v>
      </c>
      <c r="BK265" s="683">
        <f>BI265+BJ265*BO$303</f>
        <v>2.8788571428571426</v>
      </c>
      <c r="BL265" s="576">
        <f>BL148*$BL206+IF(SUM($BL89:$BN89)&gt;0, BN148*$BL206*(BL89/SUM($BL89:$BM89)),0)</f>
        <v>1.5</v>
      </c>
      <c r="BM265" s="670">
        <f>BM148*$BL206+IF(SUM($BL89:$BN89)&gt;0, BN148*$BL206*(BM89/SUM($BL89:$BM89)),0)</f>
        <v>0</v>
      </c>
      <c r="BN265" s="687">
        <f>BL265+BM265*BU$303</f>
        <v>1.5</v>
      </c>
      <c r="BO265" s="670">
        <f t="shared" ref="BO265" si="390">BO148*$BL206+IF(SUM($BO89:$BP89)&gt;0, BQ148*$BL206*(BO89/SUM($BO89:$BP89)))</f>
        <v>0</v>
      </c>
      <c r="BP265" s="670">
        <f>BP148*$BL206+IF(SUM($BO89:$BQ89)&gt;0, BQ148*$BL206*(BP89/SUM($BO89:$BP89)))</f>
        <v>1.5</v>
      </c>
      <c r="BQ265" s="697">
        <f>BO265+BP265*BU$303</f>
        <v>0.13200000000000001</v>
      </c>
      <c r="BR265" s="651">
        <f t="shared" ref="BR265" si="391">BR148*$BR206+IF(SUM($BR89:$BT89)&gt;0, BT148*$BR206*(BR89/SUM($BR89:$BS89)),0)</f>
        <v>2</v>
      </c>
      <c r="BS265" s="286">
        <f t="shared" si="382"/>
        <v>0</v>
      </c>
      <c r="BT265" s="939">
        <f t="shared" ref="BT265" si="392">BR265+BS265*CA$303</f>
        <v>2</v>
      </c>
      <c r="BU265" s="286">
        <f t="shared" ref="BU265" si="393">BU148*$BR206+IF(SUM($BU89:$BW89)&gt;0, BW148*$BR206*(BU89/SUM($BU89:$BV89)))</f>
        <v>0</v>
      </c>
      <c r="BV265" s="286">
        <f t="shared" si="385"/>
        <v>3</v>
      </c>
      <c r="BW265" s="943">
        <f>BU265+BV265*CA$303</f>
        <v>0.26040000000000002</v>
      </c>
      <c r="BX265" s="1085">
        <f>0+2.3+1+0.1</f>
        <v>3.4</v>
      </c>
      <c r="BY265" s="1086">
        <f>0+0+0+0</f>
        <v>0</v>
      </c>
      <c r="BZ265" s="687">
        <f t="shared" ref="BZ265:BZ266" si="394">BX265+BY265*CG$303</f>
        <v>3.4</v>
      </c>
      <c r="CA265" s="1086">
        <f>3+1.2+0+0</f>
        <v>4.2</v>
      </c>
      <c r="CB265" s="1086">
        <f>1+3.5+0+0</f>
        <v>4.5</v>
      </c>
      <c r="CC265" s="697">
        <f>CA265+CB265*CG$303</f>
        <v>4.5982500000000002</v>
      </c>
      <c r="CD265" s="1151">
        <v>1</v>
      </c>
      <c r="CE265" s="1152">
        <v>0</v>
      </c>
      <c r="CF265" s="683"/>
      <c r="CG265" s="1523">
        <v>1</v>
      </c>
      <c r="CH265" s="1524">
        <v>0</v>
      </c>
      <c r="CI265" s="1147">
        <f t="shared" si="341"/>
        <v>1</v>
      </c>
      <c r="CJ265" s="625"/>
      <c r="CK265" s="672"/>
      <c r="CL265" s="685"/>
      <c r="CM265" s="672"/>
      <c r="CN265" s="672"/>
      <c r="CO265" s="792"/>
      <c r="CP265" s="625">
        <v>4</v>
      </c>
      <c r="CQ265" s="672">
        <v>0</v>
      </c>
      <c r="CR265" s="1037">
        <f>CP265+CQ265*CY$303</f>
        <v>4</v>
      </c>
      <c r="CS265" s="672">
        <v>9</v>
      </c>
      <c r="CT265" s="672">
        <v>2</v>
      </c>
      <c r="CU265" s="700">
        <f>CS265+CT265*CY$303</f>
        <v>9.1788000000000007</v>
      </c>
      <c r="CV265" s="625">
        <v>1.3</v>
      </c>
      <c r="CW265" s="672">
        <v>0</v>
      </c>
      <c r="CX265" s="683">
        <f>CV265+CW265*DE$303</f>
        <v>1.3</v>
      </c>
      <c r="CY265" s="672">
        <v>0</v>
      </c>
      <c r="CZ265" s="672">
        <v>2.7</v>
      </c>
      <c r="DA265" s="696">
        <f>CY265+CZ265*DE$303</f>
        <v>0.23058000000000003</v>
      </c>
      <c r="DB265" s="1564"/>
      <c r="DC265" s="685"/>
      <c r="DD265" s="685"/>
      <c r="DE265" s="685"/>
      <c r="DF265" s="685"/>
      <c r="DG265" s="792"/>
      <c r="DH265" s="1670">
        <v>0</v>
      </c>
      <c r="DI265" s="1669">
        <v>0</v>
      </c>
      <c r="DJ265" s="687">
        <f>DH265+DI265*DQ$303</f>
        <v>0</v>
      </c>
      <c r="DK265" s="1669">
        <v>1</v>
      </c>
      <c r="DL265" s="1669">
        <v>0</v>
      </c>
      <c r="DM265" s="1658">
        <f>DK265+DL265*DQ$303</f>
        <v>1</v>
      </c>
      <c r="DN265" s="566"/>
      <c r="DO265" s="668"/>
      <c r="DP265" s="685"/>
      <c r="DQ265" s="668"/>
      <c r="DR265" s="668"/>
      <c r="DS265" s="792"/>
      <c r="DT265" s="625">
        <v>0</v>
      </c>
      <c r="DU265" s="672">
        <v>0</v>
      </c>
      <c r="DV265" s="687">
        <f>DT265+DU265*EC$303</f>
        <v>0</v>
      </c>
      <c r="DW265" s="1086">
        <v>3</v>
      </c>
      <c r="DX265" s="672">
        <v>0</v>
      </c>
      <c r="DY265" s="1658">
        <f>DW265+DX265*EC$303</f>
        <v>3</v>
      </c>
      <c r="DZ265" s="566"/>
      <c r="EA265" s="668"/>
      <c r="EB265" s="685"/>
      <c r="EC265" s="668"/>
      <c r="ED265" s="668"/>
      <c r="EE265" s="792"/>
      <c r="EF265" s="196">
        <f t="shared" si="266"/>
        <v>27</v>
      </c>
      <c r="EG265" s="224"/>
      <c r="EH265" s="579">
        <f t="shared" si="295"/>
        <v>27</v>
      </c>
      <c r="EI265" s="602">
        <f t="shared" si="281"/>
        <v>1.4166666666666667</v>
      </c>
      <c r="EJ265" s="602">
        <f t="shared" si="282"/>
        <v>4.2844293333333336</v>
      </c>
      <c r="EK265" s="579">
        <f t="shared" si="296"/>
        <v>27</v>
      </c>
      <c r="EL265" s="602">
        <f t="shared" si="351"/>
        <v>1.1000000000000001</v>
      </c>
      <c r="EM265" s="602">
        <f t="shared" si="352"/>
        <v>5.9</v>
      </c>
      <c r="EN265" s="579">
        <f t="shared" si="297"/>
        <v>27</v>
      </c>
      <c r="EO265" s="602">
        <f t="shared" si="377"/>
        <v>2</v>
      </c>
      <c r="EP265" s="602">
        <f t="shared" si="378"/>
        <v>1.3166100000000001</v>
      </c>
      <c r="EQ265" s="580"/>
      <c r="ER265" s="519" t="s">
        <v>119</v>
      </c>
      <c r="ES265" s="623">
        <f>BD296</f>
        <v>10</v>
      </c>
      <c r="ET265" s="622">
        <f>BD298</f>
        <v>188.43414781297136</v>
      </c>
      <c r="EU265" s="579">
        <f t="shared" si="300"/>
        <v>198.43414781297136</v>
      </c>
      <c r="EV265" s="579">
        <f>BE300</f>
        <v>178.19825218702869</v>
      </c>
      <c r="EW265" s="580"/>
      <c r="EX265" s="580"/>
      <c r="EY265" s="580"/>
      <c r="EZ265" s="580"/>
      <c r="FA265" s="580"/>
      <c r="FB265" s="580"/>
      <c r="FC265" s="580"/>
      <c r="FD265" s="580"/>
      <c r="FE265" s="580"/>
      <c r="FF265" s="580"/>
      <c r="FG265" s="580"/>
      <c r="FH265" s="580"/>
    </row>
    <row r="266" spans="1:164" x14ac:dyDescent="0.2">
      <c r="A266" s="159">
        <v>28</v>
      </c>
      <c r="B266" s="261">
        <f>B207*B149</f>
        <v>0</v>
      </c>
      <c r="C266" s="262">
        <f>B207*C149</f>
        <v>0</v>
      </c>
      <c r="D266" s="274">
        <f>D207*V149</f>
        <v>27</v>
      </c>
      <c r="E266" s="269">
        <f>D207*W149</f>
        <v>0</v>
      </c>
      <c r="F266" s="270">
        <f>F207*V149</f>
        <v>10</v>
      </c>
      <c r="G266" s="270">
        <f>F207*W149</f>
        <v>0</v>
      </c>
      <c r="H266" s="261"/>
      <c r="I266" s="262"/>
      <c r="J266" s="270">
        <f>J207*V149</f>
        <v>41</v>
      </c>
      <c r="K266" s="270">
        <f>J207*W149</f>
        <v>0</v>
      </c>
      <c r="L266" s="274">
        <f>L207*V149</f>
        <v>15</v>
      </c>
      <c r="M266" s="269">
        <f>L207*W149</f>
        <v>0</v>
      </c>
      <c r="N266" s="185">
        <f>N207*N149</f>
        <v>0</v>
      </c>
      <c r="O266" s="185">
        <f>N207*O149</f>
        <v>0</v>
      </c>
      <c r="P266" s="261"/>
      <c r="Q266" s="262"/>
      <c r="R266" s="270">
        <f>R207*V149</f>
        <v>3</v>
      </c>
      <c r="S266" s="270">
        <f>R207*W149</f>
        <v>0</v>
      </c>
      <c r="T266" s="261"/>
      <c r="U266" s="262"/>
      <c r="V266" s="263"/>
      <c r="W266" s="263"/>
      <c r="X266" s="261"/>
      <c r="Y266" s="262"/>
      <c r="Z266" s="185"/>
      <c r="AA266" s="185"/>
      <c r="AB266" s="261"/>
      <c r="AC266" s="262"/>
      <c r="AD266" s="185"/>
      <c r="AE266" s="262"/>
      <c r="AF266" s="224"/>
      <c r="AG266" s="262"/>
      <c r="AH266" s="224"/>
      <c r="AI266" s="275"/>
      <c r="AJ266" s="224"/>
      <c r="AK266" s="262"/>
      <c r="AL266" s="185"/>
      <c r="AM266" s="185"/>
      <c r="AN266" s="261">
        <f>AN207*AN149</f>
        <v>0</v>
      </c>
      <c r="AO266" s="262">
        <f>AN207*AO149</f>
        <v>0</v>
      </c>
      <c r="AP266" s="185">
        <f>AP207*AP149</f>
        <v>0</v>
      </c>
      <c r="AQ266" s="185">
        <f>AP207*AQ149</f>
        <v>0</v>
      </c>
      <c r="AR266" s="261">
        <f>AR207*AR149</f>
        <v>0</v>
      </c>
      <c r="AS266" s="262">
        <f>AR207*AS149</f>
        <v>0</v>
      </c>
      <c r="AT266" s="185"/>
      <c r="AU266" s="185"/>
      <c r="AV266" s="274">
        <f>AV207*AX149</f>
        <v>0.83333333333333337</v>
      </c>
      <c r="AW266" s="269">
        <f>AV207*AY149</f>
        <v>1.1666666666666667</v>
      </c>
      <c r="AX266" s="263">
        <f t="shared" si="342"/>
        <v>5</v>
      </c>
      <c r="AY266" s="263">
        <f t="shared" si="343"/>
        <v>7</v>
      </c>
      <c r="AZ266" s="264">
        <f t="shared" ref="AZ266:AZ291" si="395">AZ207*AZ149</f>
        <v>1</v>
      </c>
      <c r="BA266" s="265">
        <f t="shared" ref="BA266:BA291" si="396">AZ207*BA149</f>
        <v>0</v>
      </c>
      <c r="BB266" s="264"/>
      <c r="BC266" s="265"/>
      <c r="BD266" s="261"/>
      <c r="BE266" s="262"/>
      <c r="BF266" s="573">
        <f>BF149*$BF207+IF(SUM($BF89:$BH89)&gt;0,BH149*$BF207*(BF89/SUM($BF89:$BG89)))</f>
        <v>4</v>
      </c>
      <c r="BG266" s="667">
        <f>BG149*$BF207+IF(SUM($BF89:$BH89)&gt;0,BH149*$BF207*(BG89/SUM($BF89:$BG89)))</f>
        <v>0</v>
      </c>
      <c r="BH266" s="684">
        <f t="shared" si="371"/>
        <v>4</v>
      </c>
      <c r="BI266" s="670">
        <f>BI149*$BF207+IF(SUM($BI90:$BK90)&gt;0,BK149*$BF207*(BI90/SUM($BI90:$BJ90)))</f>
        <v>0</v>
      </c>
      <c r="BJ266" s="670">
        <f>BJ149*$BF207+IF(SUM($BI90:$BK90)&gt;0,BK149*$BF207*(BJ90/SUM($BI90:$BJ90)))</f>
        <v>0</v>
      </c>
      <c r="BK266" s="687">
        <f>BI266+BJ266*BO$303</f>
        <v>0</v>
      </c>
      <c r="BL266" s="576">
        <f>BL149*$BL207+IF(SUM($BL90:$BN90)&gt;0, BN149*$BL207*(BL90/SUM($BL90:$BM90)),0)</f>
        <v>0</v>
      </c>
      <c r="BM266" s="670">
        <f>BM149*$BL207+IF(SUM($BL90:$BN90)&gt;0, BN149*$BL207*(BM90/SUM($BL90:$BM90)),0)</f>
        <v>0</v>
      </c>
      <c r="BN266" s="687">
        <f>BL266+BM266*BU$303</f>
        <v>0</v>
      </c>
      <c r="BO266" s="670">
        <f t="shared" ref="BO266" si="397">BO149*$BL207+IF(SUM($BO90:$BP90)&gt;0, BQ149*$BL207*(BO90/SUM($BO90:$BP90)))</f>
        <v>1</v>
      </c>
      <c r="BP266" s="670">
        <f>BP149*$BL207+IF(SUM($BO90:$BQ90)&gt;0, BQ149*$BL207*(BP90/SUM($BO90:$BP90)))</f>
        <v>1</v>
      </c>
      <c r="BQ266" s="697">
        <f>BO266+BP266*BU$303</f>
        <v>1.0880000000000001</v>
      </c>
      <c r="BR266" s="264">
        <f t="shared" ref="BR266:BR268" si="398">BR149*$BR207+IF(SUM($BR90:$BT90)&gt;0, BT149*$BR207*(BR90/SUM($BR90:$BS90)),0)</f>
        <v>0</v>
      </c>
      <c r="BS266" s="273">
        <f t="shared" si="382"/>
        <v>0</v>
      </c>
      <c r="BT266" s="941">
        <f t="shared" ref="BT266:BT268" si="399">BR266+BS266*CA$303</f>
        <v>0</v>
      </c>
      <c r="BU266" s="273">
        <f t="shared" ref="BU266:BU268" si="400">BU149*$BR207+IF(SUM($BU90:$BW90)&gt;0, BW149*$BR207*(BU90/SUM($BU90:$BV90)))</f>
        <v>0</v>
      </c>
      <c r="BV266" s="273">
        <f t="shared" si="385"/>
        <v>1</v>
      </c>
      <c r="BW266" s="945">
        <f t="shared" ref="BW266:BW268" si="401">BU266+BV266*CA$303</f>
        <v>8.6800000000000002E-2</v>
      </c>
      <c r="BX266" s="1085">
        <f>1.5+3+0+0</f>
        <v>4.5</v>
      </c>
      <c r="BY266" s="1086">
        <f>0+0+0+0</f>
        <v>0</v>
      </c>
      <c r="BZ266" s="687">
        <f t="shared" si="394"/>
        <v>4.5</v>
      </c>
      <c r="CA266" s="1086">
        <f>1.5+3+0+0</f>
        <v>4.5</v>
      </c>
      <c r="CB266" s="1086">
        <f>0+0+0+0</f>
        <v>0</v>
      </c>
      <c r="CC266" s="697">
        <f>CA266+CB266*CG$303</f>
        <v>4.5</v>
      </c>
      <c r="CD266" s="1085">
        <v>0</v>
      </c>
      <c r="CE266" s="1086">
        <v>0</v>
      </c>
      <c r="CF266" s="687"/>
      <c r="CG266" s="1085">
        <v>0</v>
      </c>
      <c r="CH266" s="1086">
        <v>2</v>
      </c>
      <c r="CI266" s="697">
        <f>CG266+CH266*CM$303</f>
        <v>0.17560000000000001</v>
      </c>
      <c r="CJ266" s="625"/>
      <c r="CK266" s="672"/>
      <c r="CL266" s="685"/>
      <c r="CM266" s="672"/>
      <c r="CN266" s="672"/>
      <c r="CO266" s="792"/>
      <c r="CP266" s="625"/>
      <c r="CQ266" s="672"/>
      <c r="CR266" s="685"/>
      <c r="CS266" s="672"/>
      <c r="CT266" s="672"/>
      <c r="CU266" s="792"/>
      <c r="CV266" s="625">
        <v>0</v>
      </c>
      <c r="CW266" s="672">
        <v>2.4</v>
      </c>
      <c r="CX266" s="687">
        <f>CV266+CW266*DE$303</f>
        <v>0.20496</v>
      </c>
      <c r="CY266" s="672">
        <v>0</v>
      </c>
      <c r="CZ266" s="672">
        <v>3.6</v>
      </c>
      <c r="DA266" s="697">
        <f>CY266+CZ266*DE$303</f>
        <v>0.30744000000000005</v>
      </c>
      <c r="DB266" s="1564"/>
      <c r="DC266" s="685"/>
      <c r="DD266" s="685"/>
      <c r="DE266" s="685"/>
      <c r="DF266" s="685"/>
      <c r="DG266" s="792"/>
      <c r="DH266" s="1670">
        <v>0</v>
      </c>
      <c r="DI266" s="1669">
        <v>0</v>
      </c>
      <c r="DJ266" s="687">
        <f>DH266+DI266*DQ$303</f>
        <v>0</v>
      </c>
      <c r="DK266" s="1669">
        <v>3</v>
      </c>
      <c r="DL266" s="1669">
        <v>0</v>
      </c>
      <c r="DM266" s="1658">
        <f>DK266+DL266*DQ$303</f>
        <v>3</v>
      </c>
      <c r="DN266" s="625">
        <v>0</v>
      </c>
      <c r="DO266" s="672">
        <v>0</v>
      </c>
      <c r="DP266" s="687">
        <f>DN266+DO266*DW$303</f>
        <v>0</v>
      </c>
      <c r="DQ266" s="672">
        <v>1</v>
      </c>
      <c r="DR266" s="672">
        <v>0</v>
      </c>
      <c r="DS266" s="1658">
        <f>DQ266+DR266*DW$303</f>
        <v>1</v>
      </c>
      <c r="DT266" s="625">
        <v>0</v>
      </c>
      <c r="DU266" s="672">
        <v>0</v>
      </c>
      <c r="DV266" s="687">
        <f>DT266+DU266*EC$303</f>
        <v>0</v>
      </c>
      <c r="DW266" s="1086">
        <v>1</v>
      </c>
      <c r="DX266" s="672">
        <v>0</v>
      </c>
      <c r="DY266" s="1658">
        <f>DW266+DX266*EC$303</f>
        <v>1</v>
      </c>
      <c r="DZ266" s="625"/>
      <c r="EA266" s="672"/>
      <c r="EB266" s="689"/>
      <c r="EC266" s="672"/>
      <c r="ED266" s="672"/>
      <c r="EE266" s="792"/>
      <c r="EF266" s="196">
        <f t="shared" si="266"/>
        <v>28</v>
      </c>
      <c r="EG266" s="224"/>
      <c r="EH266" s="579">
        <f t="shared" si="295"/>
        <v>28</v>
      </c>
      <c r="EI266" s="602">
        <f t="shared" si="281"/>
        <v>6.8939393939393936</v>
      </c>
      <c r="EJ266" s="602">
        <f t="shared" si="282"/>
        <v>0.62820512820512819</v>
      </c>
      <c r="EK266" s="579">
        <f t="shared" si="296"/>
        <v>28</v>
      </c>
      <c r="EL266" s="602">
        <f t="shared" si="351"/>
        <v>16</v>
      </c>
      <c r="EM266" s="602">
        <f t="shared" si="352"/>
        <v>0</v>
      </c>
      <c r="EN266" s="579">
        <f t="shared" si="297"/>
        <v>28</v>
      </c>
      <c r="EO266" s="602">
        <f t="shared" si="377"/>
        <v>1.1388888888888888</v>
      </c>
      <c r="EP266" s="602">
        <f t="shared" si="378"/>
        <v>1.3611111111111109</v>
      </c>
      <c r="EQ266" s="580"/>
      <c r="ER266" s="519" t="s">
        <v>120</v>
      </c>
      <c r="ES266" s="623">
        <f>BF296</f>
        <v>2.2111999999999998</v>
      </c>
      <c r="ET266" s="622">
        <f>BF298</f>
        <v>187.57902697921276</v>
      </c>
      <c r="EU266" s="579">
        <f t="shared" si="300"/>
        <v>189.79022697921275</v>
      </c>
      <c r="EV266" s="579">
        <f>BG300</f>
        <v>153.50899010412058</v>
      </c>
      <c r="EW266" s="580"/>
      <c r="EX266" s="580"/>
      <c r="EY266" s="580"/>
      <c r="EZ266" s="580"/>
      <c r="FA266" s="580"/>
      <c r="FB266" s="580"/>
      <c r="FC266" s="580"/>
      <c r="FD266" s="580"/>
      <c r="FE266" s="580"/>
      <c r="FF266" s="580"/>
      <c r="FG266" s="580"/>
      <c r="FH266" s="580"/>
    </row>
    <row r="267" spans="1:164" x14ac:dyDescent="0.2">
      <c r="A267" s="159">
        <v>29</v>
      </c>
      <c r="B267" s="261">
        <f>B208*B150</f>
        <v>0</v>
      </c>
      <c r="C267" s="262">
        <f>B208*C150</f>
        <v>0</v>
      </c>
      <c r="D267" s="274">
        <f>D208*T148</f>
        <v>0</v>
      </c>
      <c r="E267" s="269">
        <f>D208*U148</f>
        <v>7</v>
      </c>
      <c r="F267" s="270">
        <f>F208*F156</f>
        <v>6</v>
      </c>
      <c r="G267" s="270">
        <f>F208*G156</f>
        <v>0</v>
      </c>
      <c r="H267" s="261"/>
      <c r="I267" s="262"/>
      <c r="J267" s="270">
        <f>J208*J155</f>
        <v>25</v>
      </c>
      <c r="K267" s="270">
        <f>J208*K155</f>
        <v>0</v>
      </c>
      <c r="L267" s="274">
        <f>L208*J155</f>
        <v>29</v>
      </c>
      <c r="M267" s="269">
        <f>L208*K155</f>
        <v>0</v>
      </c>
      <c r="N267" s="270">
        <f>N208*N156</f>
        <v>11</v>
      </c>
      <c r="O267" s="270">
        <f>N208*O156</f>
        <v>0</v>
      </c>
      <c r="P267" s="261"/>
      <c r="Q267" s="262"/>
      <c r="R267" s="270">
        <f>R208*R155</f>
        <v>1</v>
      </c>
      <c r="S267" s="270">
        <f>R208*S155</f>
        <v>0</v>
      </c>
      <c r="T267" s="261"/>
      <c r="U267" s="262"/>
      <c r="V267" s="185"/>
      <c r="W267" s="185"/>
      <c r="X267" s="261"/>
      <c r="Y267" s="262"/>
      <c r="Z267" s="185"/>
      <c r="AA267" s="185"/>
      <c r="AB267" s="261"/>
      <c r="AC267" s="262"/>
      <c r="AD267" s="270">
        <f>AD208*AD145</f>
        <v>0</v>
      </c>
      <c r="AE267" s="269">
        <f>AD208*AE145</f>
        <v>5</v>
      </c>
      <c r="AF267" s="224"/>
      <c r="AG267" s="262"/>
      <c r="AH267" s="224">
        <f>AH208*AH150</f>
        <v>0</v>
      </c>
      <c r="AI267" s="275">
        <f>AH208*AI150</f>
        <v>0</v>
      </c>
      <c r="AJ267" s="224"/>
      <c r="AK267" s="262"/>
      <c r="AL267" s="185"/>
      <c r="AM267" s="185"/>
      <c r="AN267" s="261">
        <f>AN208*AN150</f>
        <v>0</v>
      </c>
      <c r="AO267" s="262">
        <f>AN208*AO150</f>
        <v>0</v>
      </c>
      <c r="AP267" s="185"/>
      <c r="AQ267" s="185"/>
      <c r="AR267" s="261"/>
      <c r="AS267" s="262"/>
      <c r="AT267" s="185"/>
      <c r="AU267" s="185"/>
      <c r="AV267" s="261">
        <f t="shared" ref="AV267:AV279" si="402">AV208*AV150</f>
        <v>0</v>
      </c>
      <c r="AW267" s="262">
        <f t="shared" ref="AW267:AW279" si="403">AV208*AW150</f>
        <v>0</v>
      </c>
      <c r="AX267" s="263">
        <f t="shared" si="342"/>
        <v>0</v>
      </c>
      <c r="AY267" s="263">
        <f t="shared" si="343"/>
        <v>2</v>
      </c>
      <c r="AZ267" s="261">
        <f t="shared" si="395"/>
        <v>0</v>
      </c>
      <c r="BA267" s="262">
        <f t="shared" si="396"/>
        <v>0</v>
      </c>
      <c r="BB267" s="264">
        <f>BB208*BB150</f>
        <v>2</v>
      </c>
      <c r="BC267" s="265">
        <f>BB208*BC150</f>
        <v>1</v>
      </c>
      <c r="BD267" s="261"/>
      <c r="BE267" s="262"/>
      <c r="BF267" s="261"/>
      <c r="BG267" s="224"/>
      <c r="BH267" s="686"/>
      <c r="BI267" s="224"/>
      <c r="BJ267" s="224"/>
      <c r="BK267" s="686"/>
      <c r="BL267" s="261"/>
      <c r="BM267" s="224"/>
      <c r="BN267" s="689"/>
      <c r="BO267" s="224"/>
      <c r="BP267" s="224"/>
      <c r="BQ267" s="821"/>
      <c r="BR267" s="264">
        <f t="shared" si="398"/>
        <v>1</v>
      </c>
      <c r="BS267" s="273">
        <f t="shared" si="382"/>
        <v>0</v>
      </c>
      <c r="BT267" s="941">
        <f t="shared" si="399"/>
        <v>1</v>
      </c>
      <c r="BU267" s="273">
        <f t="shared" si="400"/>
        <v>0</v>
      </c>
      <c r="BV267" s="273">
        <f t="shared" si="385"/>
        <v>1</v>
      </c>
      <c r="BW267" s="945">
        <f t="shared" si="401"/>
        <v>8.6800000000000002E-2</v>
      </c>
      <c r="BX267" s="261"/>
      <c r="BY267" s="224"/>
      <c r="BZ267" s="685"/>
      <c r="CA267" s="224"/>
      <c r="CB267" s="224"/>
      <c r="CC267" s="792"/>
      <c r="CD267" s="1145">
        <v>2.7</v>
      </c>
      <c r="CE267" s="1146">
        <v>0</v>
      </c>
      <c r="CF267" s="687"/>
      <c r="CG267" s="1145">
        <v>1.3</v>
      </c>
      <c r="CH267" s="1146">
        <v>0</v>
      </c>
      <c r="CI267" s="697">
        <f>CG267+CH267*CM$303</f>
        <v>1.3</v>
      </c>
      <c r="CJ267" s="261"/>
      <c r="CK267" s="224"/>
      <c r="CL267" s="685"/>
      <c r="CM267" s="224"/>
      <c r="CN267" s="224"/>
      <c r="CO267" s="792"/>
      <c r="CP267" s="261"/>
      <c r="CQ267" s="224"/>
      <c r="CR267" s="685"/>
      <c r="CS267" s="224"/>
      <c r="CT267" s="224"/>
      <c r="CU267" s="792"/>
      <c r="CV267" s="1564"/>
      <c r="CW267" s="685"/>
      <c r="CX267" s="685"/>
      <c r="CY267" s="685"/>
      <c r="CZ267" s="685"/>
      <c r="DA267" s="792"/>
      <c r="DB267" s="1564"/>
      <c r="DC267" s="685"/>
      <c r="DD267" s="685"/>
      <c r="DE267" s="685"/>
      <c r="DF267" s="685"/>
      <c r="DG267" s="792"/>
      <c r="DH267" s="1670">
        <v>0</v>
      </c>
      <c r="DI267" s="1669">
        <v>0</v>
      </c>
      <c r="DJ267" s="687">
        <f>DH267+DI267*DQ$303</f>
        <v>0</v>
      </c>
      <c r="DK267" s="1669">
        <v>6</v>
      </c>
      <c r="DL267" s="1669">
        <v>0</v>
      </c>
      <c r="DM267" s="1658">
        <f>DK267+DL267*DQ$303</f>
        <v>6</v>
      </c>
      <c r="DN267" s="1670">
        <v>0</v>
      </c>
      <c r="DO267" s="1669">
        <v>0</v>
      </c>
      <c r="DP267" s="687">
        <f>DN267+DO267*DW$303</f>
        <v>0</v>
      </c>
      <c r="DQ267" s="1669">
        <v>2</v>
      </c>
      <c r="DR267" s="1669">
        <v>0</v>
      </c>
      <c r="DS267" s="1658">
        <f>DQ267+DR267*DW$303</f>
        <v>2</v>
      </c>
      <c r="DT267" s="566"/>
      <c r="DU267" s="668"/>
      <c r="DV267" s="685"/>
      <c r="DW267" s="668"/>
      <c r="DX267" s="668"/>
      <c r="DY267" s="792"/>
      <c r="DZ267" s="566"/>
      <c r="EA267" s="668"/>
      <c r="EB267" s="685"/>
      <c r="EC267" s="668"/>
      <c r="ED267" s="668"/>
      <c r="EE267" s="792"/>
      <c r="EF267" s="196">
        <f t="shared" si="266"/>
        <v>29</v>
      </c>
      <c r="EG267" s="224"/>
      <c r="EH267" s="579">
        <f t="shared" si="295"/>
        <v>29</v>
      </c>
      <c r="EI267" s="602">
        <f t="shared" si="281"/>
        <v>6.166666666666667</v>
      </c>
      <c r="EJ267" s="602">
        <f t="shared" si="282"/>
        <v>1.0714285714285714</v>
      </c>
      <c r="EK267" s="579">
        <f t="shared" si="296"/>
        <v>29</v>
      </c>
      <c r="EL267" s="602">
        <f t="shared" si="351"/>
        <v>9</v>
      </c>
      <c r="EM267" s="602">
        <f t="shared" si="352"/>
        <v>1.5</v>
      </c>
      <c r="EN267" s="579">
        <f t="shared" si="297"/>
        <v>29</v>
      </c>
      <c r="EO267" s="602">
        <f t="shared" si="377"/>
        <v>0.4</v>
      </c>
      <c r="EP267" s="602">
        <f t="shared" si="378"/>
        <v>0.6</v>
      </c>
      <c r="EQ267" s="580"/>
      <c r="ER267" s="519" t="s">
        <v>121</v>
      </c>
      <c r="ES267" s="519"/>
      <c r="ET267" s="519"/>
      <c r="EU267" s="579"/>
      <c r="EV267" s="579"/>
      <c r="EW267" s="580"/>
      <c r="EX267" s="580"/>
      <c r="EY267" s="580"/>
      <c r="EZ267" s="580"/>
      <c r="FA267" s="580"/>
      <c r="FB267" s="580"/>
      <c r="FC267" s="580"/>
      <c r="FD267" s="580"/>
      <c r="FE267" s="580"/>
      <c r="FF267" s="580"/>
      <c r="FG267" s="580"/>
      <c r="FH267" s="580"/>
    </row>
    <row r="268" spans="1:164" x14ac:dyDescent="0.2">
      <c r="A268" s="159">
        <v>30</v>
      </c>
      <c r="B268" s="261"/>
      <c r="C268" s="262"/>
      <c r="D268" s="274">
        <f>D209*T148</f>
        <v>0</v>
      </c>
      <c r="E268" s="269">
        <f>D209*U148</f>
        <v>7</v>
      </c>
      <c r="F268" s="270">
        <f>F209*F156</f>
        <v>2</v>
      </c>
      <c r="G268" s="270">
        <f>F209*G156</f>
        <v>0</v>
      </c>
      <c r="H268" s="261"/>
      <c r="I268" s="262"/>
      <c r="J268" s="270">
        <f>J209*J155</f>
        <v>65</v>
      </c>
      <c r="K268" s="270">
        <f>J209*K155</f>
        <v>0</v>
      </c>
      <c r="L268" s="261">
        <f>L209*L151</f>
        <v>0</v>
      </c>
      <c r="M268" s="262">
        <f>L209*M151</f>
        <v>0</v>
      </c>
      <c r="N268" s="185"/>
      <c r="O268" s="185"/>
      <c r="P268" s="261"/>
      <c r="Q268" s="262"/>
      <c r="R268" s="270">
        <f>R209*R155</f>
        <v>1</v>
      </c>
      <c r="S268" s="270">
        <f>R209*S155</f>
        <v>0</v>
      </c>
      <c r="T268" s="261"/>
      <c r="U268" s="262"/>
      <c r="V268" s="185"/>
      <c r="W268" s="185"/>
      <c r="X268" s="261"/>
      <c r="Y268" s="262"/>
      <c r="Z268" s="185"/>
      <c r="AA268" s="185"/>
      <c r="AB268" s="261"/>
      <c r="AC268" s="262"/>
      <c r="AD268" s="270">
        <f>AD209*AD145</f>
        <v>0</v>
      </c>
      <c r="AE268" s="269">
        <f>AD209*AE145</f>
        <v>2</v>
      </c>
      <c r="AF268" s="224"/>
      <c r="AG268" s="262"/>
      <c r="AH268" s="224"/>
      <c r="AI268" s="275"/>
      <c r="AJ268" s="224"/>
      <c r="AK268" s="262"/>
      <c r="AL268" s="185"/>
      <c r="AM268" s="185"/>
      <c r="AN268" s="261"/>
      <c r="AO268" s="262"/>
      <c r="AP268" s="185"/>
      <c r="AQ268" s="185"/>
      <c r="AR268" s="261"/>
      <c r="AS268" s="262"/>
      <c r="AT268" s="185">
        <f t="shared" ref="AT268:AT281" si="404">AT209*AT151</f>
        <v>0</v>
      </c>
      <c r="AU268" s="185">
        <f t="shared" ref="AU268:AU281" si="405">AT209*AU151</f>
        <v>0</v>
      </c>
      <c r="AV268" s="261"/>
      <c r="AW268" s="262"/>
      <c r="AX268" s="263">
        <f t="shared" si="342"/>
        <v>3</v>
      </c>
      <c r="AY268" s="263">
        <f t="shared" si="343"/>
        <v>3</v>
      </c>
      <c r="AZ268" s="264">
        <f t="shared" si="395"/>
        <v>0</v>
      </c>
      <c r="BA268" s="265">
        <f t="shared" si="396"/>
        <v>0</v>
      </c>
      <c r="BB268" s="264">
        <f>BB209*BB151</f>
        <v>1</v>
      </c>
      <c r="BC268" s="265">
        <f>BB209*BC151</f>
        <v>1</v>
      </c>
      <c r="BD268" s="261"/>
      <c r="BE268" s="262"/>
      <c r="BF268" s="261"/>
      <c r="BG268" s="224"/>
      <c r="BH268" s="686"/>
      <c r="BI268" s="224"/>
      <c r="BJ268" s="224"/>
      <c r="BK268" s="686"/>
      <c r="BL268" s="261"/>
      <c r="BM268" s="224"/>
      <c r="BN268" s="689"/>
      <c r="BO268" s="224"/>
      <c r="BP268" s="224"/>
      <c r="BQ268" s="821"/>
      <c r="BR268" s="264">
        <f t="shared" si="398"/>
        <v>1</v>
      </c>
      <c r="BS268" s="273">
        <f t="shared" si="382"/>
        <v>1</v>
      </c>
      <c r="BT268" s="941">
        <f t="shared" si="399"/>
        <v>1.0868</v>
      </c>
      <c r="BU268" s="273">
        <f t="shared" si="400"/>
        <v>0</v>
      </c>
      <c r="BV268" s="273">
        <f t="shared" si="385"/>
        <v>0</v>
      </c>
      <c r="BW268" s="945">
        <f t="shared" si="401"/>
        <v>0</v>
      </c>
      <c r="BX268" s="261"/>
      <c r="BY268" s="224"/>
      <c r="BZ268" s="685"/>
      <c r="CA268" s="224"/>
      <c r="CB268" s="224"/>
      <c r="CC268" s="792"/>
      <c r="CD268" s="261"/>
      <c r="CE268" s="224"/>
      <c r="CF268" s="685"/>
      <c r="CG268" s="224"/>
      <c r="CH268" s="224"/>
      <c r="CI268" s="792"/>
      <c r="CJ268" s="261"/>
      <c r="CK268" s="224"/>
      <c r="CL268" s="685"/>
      <c r="CM268" s="224"/>
      <c r="CN268" s="224"/>
      <c r="CO268" s="792"/>
      <c r="CP268" s="261"/>
      <c r="CQ268" s="224"/>
      <c r="CR268" s="685"/>
      <c r="CS268" s="224"/>
      <c r="CT268" s="224"/>
      <c r="CU268" s="792"/>
      <c r="CV268" s="1564"/>
      <c r="CW268" s="685"/>
      <c r="CX268" s="685"/>
      <c r="CY268" s="685"/>
      <c r="CZ268" s="685"/>
      <c r="DA268" s="792"/>
      <c r="DB268" s="1085">
        <v>1</v>
      </c>
      <c r="DC268" s="1086">
        <v>0</v>
      </c>
      <c r="DD268" s="1658">
        <f>DB268+DC268*DK$303</f>
        <v>1</v>
      </c>
      <c r="DE268" s="1086">
        <v>4</v>
      </c>
      <c r="DF268" s="1086">
        <v>0</v>
      </c>
      <c r="DG268" s="1685">
        <f>DE268+DF268*DK$303</f>
        <v>4</v>
      </c>
      <c r="DH268" s="672"/>
      <c r="DI268" s="672"/>
      <c r="DJ268" s="672"/>
      <c r="DK268" s="672"/>
      <c r="DL268" s="672"/>
      <c r="DM268" s="792"/>
      <c r="DN268" s="625"/>
      <c r="DO268" s="672"/>
      <c r="DP268" s="672"/>
      <c r="DQ268" s="672"/>
      <c r="DR268" s="672"/>
      <c r="DS268" s="792"/>
      <c r="DT268" s="625"/>
      <c r="DU268" s="672"/>
      <c r="DV268" s="672"/>
      <c r="DW268" s="672"/>
      <c r="DX268" s="672"/>
      <c r="DY268" s="792"/>
      <c r="DZ268" s="625"/>
      <c r="EA268" s="672"/>
      <c r="EB268" s="672"/>
      <c r="EC268" s="672"/>
      <c r="ED268" s="672"/>
      <c r="EE268" s="792"/>
      <c r="EF268" s="196">
        <f t="shared" si="266"/>
        <v>30</v>
      </c>
      <c r="EG268" s="224"/>
      <c r="EH268" s="579">
        <f t="shared" si="295"/>
        <v>30</v>
      </c>
      <c r="EI268" s="602">
        <f t="shared" si="281"/>
        <v>8</v>
      </c>
      <c r="EJ268" s="602">
        <f t="shared" si="282"/>
        <v>1.1818181818181819</v>
      </c>
      <c r="EK268" s="579">
        <f t="shared" si="296"/>
        <v>30</v>
      </c>
      <c r="EL268" s="602">
        <f t="shared" si="351"/>
        <v>11.333333333333334</v>
      </c>
      <c r="EM268" s="602">
        <f t="shared" si="352"/>
        <v>1.5</v>
      </c>
      <c r="EN268" s="579">
        <f t="shared" si="297"/>
        <v>30</v>
      </c>
      <c r="EO268" s="602">
        <f t="shared" si="377"/>
        <v>1</v>
      </c>
      <c r="EP268" s="602">
        <f t="shared" si="378"/>
        <v>1</v>
      </c>
      <c r="EQ268" s="580"/>
      <c r="ER268" s="519" t="s">
        <v>122</v>
      </c>
      <c r="ES268" s="519"/>
      <c r="ET268" s="519"/>
      <c r="EU268" s="579"/>
      <c r="EV268" s="579"/>
      <c r="EW268" s="580"/>
      <c r="EX268" s="580"/>
      <c r="EY268" s="580"/>
      <c r="EZ268" s="580"/>
      <c r="FA268" s="580"/>
      <c r="FB268" s="580"/>
      <c r="FC268" s="580"/>
      <c r="FD268" s="580"/>
      <c r="FE268" s="580"/>
      <c r="FF268" s="580"/>
      <c r="FG268" s="580"/>
      <c r="FH268" s="580"/>
    </row>
    <row r="269" spans="1:164" x14ac:dyDescent="0.2">
      <c r="A269" s="159">
        <v>31</v>
      </c>
      <c r="B269" s="261"/>
      <c r="C269" s="262"/>
      <c r="D269" s="261"/>
      <c r="E269" s="262"/>
      <c r="F269" s="185"/>
      <c r="G269" s="185"/>
      <c r="H269" s="261"/>
      <c r="I269" s="262"/>
      <c r="J269" s="270">
        <f>J210*J155</f>
        <v>1</v>
      </c>
      <c r="K269" s="270">
        <f>J210*K155</f>
        <v>0</v>
      </c>
      <c r="L269" s="274">
        <f>L210*J155</f>
        <v>6</v>
      </c>
      <c r="M269" s="269">
        <f>L210*K155</f>
        <v>0</v>
      </c>
      <c r="N269" s="185"/>
      <c r="O269" s="185"/>
      <c r="P269" s="261"/>
      <c r="Q269" s="262"/>
      <c r="R269" s="185">
        <f>R210*R152</f>
        <v>0</v>
      </c>
      <c r="S269" s="185">
        <f>R210*S152</f>
        <v>0</v>
      </c>
      <c r="T269" s="261">
        <f>T210*T152</f>
        <v>0</v>
      </c>
      <c r="U269" s="262">
        <f>T210*U152</f>
        <v>0</v>
      </c>
      <c r="V269" s="185"/>
      <c r="W269" s="185"/>
      <c r="X269" s="261"/>
      <c r="Y269" s="262"/>
      <c r="Z269" s="185"/>
      <c r="AA269" s="185"/>
      <c r="AB269" s="261"/>
      <c r="AC269" s="262"/>
      <c r="AD269" s="185"/>
      <c r="AE269" s="262"/>
      <c r="AF269" s="224"/>
      <c r="AG269" s="262"/>
      <c r="AH269" s="224"/>
      <c r="AI269" s="275"/>
      <c r="AJ269" s="224"/>
      <c r="AK269" s="262"/>
      <c r="AL269" s="185"/>
      <c r="AM269" s="185"/>
      <c r="AN269" s="261"/>
      <c r="AO269" s="262"/>
      <c r="AP269" s="185"/>
      <c r="AQ269" s="185"/>
      <c r="AR269" s="261"/>
      <c r="AS269" s="262"/>
      <c r="AT269" s="185">
        <f t="shared" si="404"/>
        <v>0</v>
      </c>
      <c r="AU269" s="185">
        <f t="shared" si="405"/>
        <v>0</v>
      </c>
      <c r="AV269" s="261"/>
      <c r="AW269" s="262"/>
      <c r="AX269" s="263">
        <f t="shared" si="342"/>
        <v>1.3333333333333333</v>
      </c>
      <c r="AY269" s="263">
        <f t="shared" si="343"/>
        <v>0.66666666666666663</v>
      </c>
      <c r="AZ269" s="264">
        <f t="shared" si="395"/>
        <v>1</v>
      </c>
      <c r="BA269" s="265">
        <f t="shared" si="396"/>
        <v>0</v>
      </c>
      <c r="BB269" s="264">
        <f>BB210*BB152</f>
        <v>1</v>
      </c>
      <c r="BC269" s="265">
        <f>BB210*BC152</f>
        <v>0</v>
      </c>
      <c r="BD269" s="261"/>
      <c r="BE269" s="262"/>
      <c r="BF269" s="261"/>
      <c r="BG269" s="224"/>
      <c r="BH269" s="686"/>
      <c r="BI269" s="224"/>
      <c r="BJ269" s="224"/>
      <c r="BK269" s="686"/>
      <c r="BL269" s="261"/>
      <c r="BM269" s="224"/>
      <c r="BN269" s="689"/>
      <c r="BO269" s="224"/>
      <c r="BP269" s="224"/>
      <c r="BQ269" s="821"/>
      <c r="BR269" s="264">
        <f t="shared" ref="BR269" si="406">BR152*$BR210+IF(SUM($BR93:$BT93)&gt;0, BT152*$BR210*(BR93/SUM($BR93:$BS93)),0)</f>
        <v>1</v>
      </c>
      <c r="BS269" s="273">
        <f t="shared" ref="BS269" si="407">BS152*$BR210+IF(SUM($BR93:$BT93)&gt;0, BT152*$BR210*(BS93/SUM($BR93:$BS93)),0)</f>
        <v>0</v>
      </c>
      <c r="BT269" s="941">
        <f t="shared" ref="BT269" si="408">BR269+BS269*CA$303</f>
        <v>1</v>
      </c>
      <c r="BU269" s="273">
        <f t="shared" ref="BU269" si="409">BU152*$BR210+IF(SUM($BU93:$BW93)&gt;0, BW152*$BR210*(BU93/SUM($BU93:$BV93)))</f>
        <v>0</v>
      </c>
      <c r="BV269" s="273">
        <f t="shared" ref="BV269" si="410">BV152*$BR210+IF(SUM($BU93:$BW93)&gt;0, BW152*$BR210*(BV93/SUM($BU93:$BV93)))</f>
        <v>0</v>
      </c>
      <c r="BW269" s="945">
        <f t="shared" ref="BW269" si="411">BU269+BV269*CA$303</f>
        <v>0</v>
      </c>
      <c r="BX269" s="261"/>
      <c r="BY269" s="224"/>
      <c r="BZ269" s="685"/>
      <c r="CA269" s="224"/>
      <c r="CB269" s="224"/>
      <c r="CC269" s="792"/>
      <c r="CD269" s="261"/>
      <c r="CE269" s="224"/>
      <c r="CF269" s="685"/>
      <c r="CG269" s="224"/>
      <c r="CH269" s="224"/>
      <c r="CI269" s="792"/>
      <c r="CJ269" s="261"/>
      <c r="CK269" s="224"/>
      <c r="CL269" s="685"/>
      <c r="CM269" s="224"/>
      <c r="CN269" s="224"/>
      <c r="CO269" s="792"/>
      <c r="CP269" s="261"/>
      <c r="CQ269" s="224"/>
      <c r="CR269" s="685"/>
      <c r="CS269" s="224"/>
      <c r="CT269" s="224"/>
      <c r="CU269" s="792"/>
      <c r="CV269" s="1564"/>
      <c r="CW269" s="685"/>
      <c r="CX269" s="685"/>
      <c r="CY269" s="685"/>
      <c r="CZ269" s="685"/>
      <c r="DA269" s="792"/>
      <c r="DB269" s="1564"/>
      <c r="DC269" s="685"/>
      <c r="DD269" s="685"/>
      <c r="DE269" s="685"/>
      <c r="DF269" s="685"/>
      <c r="DG269" s="792"/>
      <c r="DH269" s="566"/>
      <c r="DI269" s="668"/>
      <c r="DJ269" s="685"/>
      <c r="DK269" s="668"/>
      <c r="DL269" s="668"/>
      <c r="DM269" s="792"/>
      <c r="DN269" s="566"/>
      <c r="DO269" s="668"/>
      <c r="DP269" s="685"/>
      <c r="DQ269" s="668"/>
      <c r="DR269" s="668"/>
      <c r="DS269" s="792"/>
      <c r="DT269" s="566"/>
      <c r="DU269" s="668"/>
      <c r="DV269" s="685"/>
      <c r="DW269" s="668"/>
      <c r="DX269" s="668"/>
      <c r="DY269" s="792"/>
      <c r="DZ269" s="566"/>
      <c r="EA269" s="668"/>
      <c r="EB269" s="685"/>
      <c r="EC269" s="668"/>
      <c r="ED269" s="668"/>
      <c r="EE269" s="792"/>
      <c r="EF269" s="196">
        <f t="shared" si="266"/>
        <v>31</v>
      </c>
      <c r="EG269" s="224"/>
      <c r="EH269" s="579">
        <f t="shared" si="295"/>
        <v>31</v>
      </c>
      <c r="EI269" s="602">
        <f t="shared" si="281"/>
        <v>1.2916666666666667</v>
      </c>
      <c r="EJ269" s="602">
        <f t="shared" si="282"/>
        <v>7.407407407407407E-2</v>
      </c>
      <c r="EK269" s="579">
        <f t="shared" si="296"/>
        <v>31</v>
      </c>
      <c r="EL269" s="602">
        <f t="shared" si="351"/>
        <v>1.75</v>
      </c>
      <c r="EM269" s="602">
        <f t="shared" si="352"/>
        <v>0</v>
      </c>
      <c r="EN269" s="579">
        <f t="shared" si="297"/>
        <v>31</v>
      </c>
      <c r="EO269" s="602">
        <f t="shared" si="377"/>
        <v>0.83333333333333326</v>
      </c>
      <c r="EP269" s="602">
        <f t="shared" si="378"/>
        <v>0.16666666666666666</v>
      </c>
      <c r="EQ269" s="580"/>
      <c r="ER269" s="519" t="s">
        <v>123</v>
      </c>
      <c r="ES269" s="519"/>
      <c r="ET269" s="519"/>
      <c r="EU269" s="579"/>
      <c r="EV269" s="579"/>
      <c r="EW269" s="580"/>
      <c r="EX269" s="580"/>
      <c r="EY269" s="580"/>
      <c r="EZ269" s="580"/>
      <c r="FA269" s="580"/>
      <c r="FB269" s="580"/>
      <c r="FC269" s="580"/>
      <c r="FD269" s="580"/>
      <c r="FE269" s="580"/>
      <c r="FF269" s="580"/>
      <c r="FG269" s="580"/>
      <c r="FH269" s="580"/>
    </row>
    <row r="270" spans="1:164" x14ac:dyDescent="0.2">
      <c r="A270" s="159">
        <v>32</v>
      </c>
      <c r="B270" s="261"/>
      <c r="C270" s="262"/>
      <c r="D270" s="261"/>
      <c r="E270" s="262"/>
      <c r="F270" s="185"/>
      <c r="G270" s="185"/>
      <c r="H270" s="261"/>
      <c r="I270" s="262"/>
      <c r="J270" s="185"/>
      <c r="K270" s="185"/>
      <c r="L270" s="274">
        <f>L211*J155</f>
        <v>2</v>
      </c>
      <c r="M270" s="269">
        <f>L211*K155</f>
        <v>0</v>
      </c>
      <c r="N270" s="185"/>
      <c r="O270" s="185"/>
      <c r="P270" s="261"/>
      <c r="Q270" s="262"/>
      <c r="R270" s="185"/>
      <c r="S270" s="185"/>
      <c r="T270" s="261"/>
      <c r="U270" s="262"/>
      <c r="V270" s="185"/>
      <c r="W270" s="185"/>
      <c r="X270" s="261"/>
      <c r="Y270" s="262"/>
      <c r="Z270" s="185"/>
      <c r="AA270" s="185"/>
      <c r="AB270" s="261"/>
      <c r="AC270" s="262"/>
      <c r="AD270" s="185"/>
      <c r="AE270" s="262"/>
      <c r="AF270" s="224"/>
      <c r="AG270" s="262"/>
      <c r="AH270" s="224"/>
      <c r="AI270" s="275"/>
      <c r="AJ270" s="224"/>
      <c r="AK270" s="262"/>
      <c r="AL270" s="185"/>
      <c r="AM270" s="185"/>
      <c r="AN270" s="261"/>
      <c r="AO270" s="262"/>
      <c r="AP270" s="185"/>
      <c r="AQ270" s="185"/>
      <c r="AR270" s="261"/>
      <c r="AS270" s="262"/>
      <c r="AT270" s="185">
        <f t="shared" si="404"/>
        <v>0</v>
      </c>
      <c r="AU270" s="185">
        <f t="shared" si="405"/>
        <v>0</v>
      </c>
      <c r="AV270" s="261"/>
      <c r="AW270" s="262"/>
      <c r="AX270" s="263">
        <f t="shared" si="342"/>
        <v>0</v>
      </c>
      <c r="AY270" s="263">
        <f t="shared" si="343"/>
        <v>0</v>
      </c>
      <c r="AZ270" s="264">
        <f t="shared" si="395"/>
        <v>3.75</v>
      </c>
      <c r="BA270" s="265">
        <f t="shared" si="396"/>
        <v>1.25</v>
      </c>
      <c r="BB270" s="264"/>
      <c r="BC270" s="265"/>
      <c r="BD270" s="261"/>
      <c r="BE270" s="262"/>
      <c r="BF270" s="626"/>
      <c r="BG270" s="224"/>
      <c r="BH270" s="686"/>
      <c r="BI270" s="224"/>
      <c r="BJ270" s="224"/>
      <c r="BK270" s="686"/>
      <c r="BL270" s="261"/>
      <c r="BM270" s="224"/>
      <c r="BN270" s="689"/>
      <c r="BO270" s="224"/>
      <c r="BP270" s="224"/>
      <c r="BQ270" s="821"/>
      <c r="BR270" s="261"/>
      <c r="BS270" s="224"/>
      <c r="BT270" s="686"/>
      <c r="BU270" s="224"/>
      <c r="BV270" s="224"/>
      <c r="BW270" s="701"/>
      <c r="BX270" s="261"/>
      <c r="BY270" s="224"/>
      <c r="BZ270" s="685"/>
      <c r="CA270" s="224"/>
      <c r="CB270" s="224"/>
      <c r="CC270" s="792"/>
      <c r="CD270" s="261"/>
      <c r="CE270" s="224"/>
      <c r="CF270" s="685"/>
      <c r="CG270" s="224"/>
      <c r="CH270" s="224"/>
      <c r="CI270" s="792"/>
      <c r="CJ270" s="261"/>
      <c r="CK270" s="224"/>
      <c r="CL270" s="685"/>
      <c r="CM270" s="224"/>
      <c r="CN270" s="224"/>
      <c r="CO270" s="792"/>
      <c r="CP270" s="261"/>
      <c r="CQ270" s="224"/>
      <c r="CR270" s="685"/>
      <c r="CS270" s="224"/>
      <c r="CT270" s="224"/>
      <c r="CU270" s="792"/>
      <c r="CV270" s="1564"/>
      <c r="CW270" s="685"/>
      <c r="CX270" s="685"/>
      <c r="CY270" s="685"/>
      <c r="CZ270" s="685"/>
      <c r="DA270" s="792"/>
      <c r="DB270" s="1564"/>
      <c r="DC270" s="685"/>
      <c r="DD270" s="685"/>
      <c r="DE270" s="685"/>
      <c r="DF270" s="685"/>
      <c r="DG270" s="792"/>
      <c r="DH270" s="566"/>
      <c r="DI270" s="668"/>
      <c r="DJ270" s="685"/>
      <c r="DK270" s="668"/>
      <c r="DL270" s="668"/>
      <c r="DM270" s="792"/>
      <c r="DN270" s="566"/>
      <c r="DO270" s="668"/>
      <c r="DP270" s="685"/>
      <c r="DQ270" s="668"/>
      <c r="DR270" s="668"/>
      <c r="DS270" s="792"/>
      <c r="DT270" s="566"/>
      <c r="DU270" s="668"/>
      <c r="DV270" s="685"/>
      <c r="DW270" s="668"/>
      <c r="DX270" s="668"/>
      <c r="DY270" s="792"/>
      <c r="DZ270" s="566"/>
      <c r="EA270" s="668"/>
      <c r="EB270" s="685"/>
      <c r="EC270" s="668"/>
      <c r="ED270" s="668"/>
      <c r="EE270" s="792"/>
      <c r="EF270" s="196">
        <f t="shared" ref="EF270:EF291" si="412">A270</f>
        <v>32</v>
      </c>
      <c r="EG270" s="224"/>
      <c r="EH270" s="579">
        <f t="shared" si="295"/>
        <v>32</v>
      </c>
      <c r="EI270" s="602">
        <f t="shared" si="281"/>
        <v>1.4375</v>
      </c>
      <c r="EJ270" s="602">
        <f t="shared" si="282"/>
        <v>0.25</v>
      </c>
      <c r="EK270" s="579">
        <f t="shared" si="296"/>
        <v>32</v>
      </c>
      <c r="EL270" s="602">
        <f t="shared" si="351"/>
        <v>2</v>
      </c>
      <c r="EM270" s="602">
        <f t="shared" si="352"/>
        <v>0</v>
      </c>
      <c r="EN270" s="579">
        <f t="shared" si="297"/>
        <v>32</v>
      </c>
      <c r="EO270" s="602">
        <f t="shared" si="377"/>
        <v>1.25</v>
      </c>
      <c r="EP270" s="602">
        <f t="shared" si="378"/>
        <v>0.41666666666666669</v>
      </c>
      <c r="EQ270" s="580"/>
      <c r="ER270" s="519" t="s">
        <v>124</v>
      </c>
      <c r="ES270" s="519"/>
      <c r="ET270" s="519"/>
      <c r="EU270" s="579"/>
      <c r="EV270" s="579"/>
      <c r="EW270" s="580"/>
      <c r="EX270" s="580"/>
      <c r="EY270" s="580"/>
      <c r="EZ270" s="580"/>
      <c r="FA270" s="580"/>
      <c r="FB270" s="580"/>
      <c r="FC270" s="580"/>
      <c r="FD270" s="580"/>
      <c r="FE270" s="580"/>
      <c r="FF270" s="580"/>
      <c r="FG270" s="580"/>
      <c r="FH270" s="580"/>
    </row>
    <row r="271" spans="1:164" x14ac:dyDescent="0.2">
      <c r="A271" s="159">
        <v>33</v>
      </c>
      <c r="B271" s="261"/>
      <c r="C271" s="262"/>
      <c r="D271" s="261"/>
      <c r="E271" s="262"/>
      <c r="F271" s="185"/>
      <c r="G271" s="185"/>
      <c r="H271" s="261"/>
      <c r="I271" s="262"/>
      <c r="J271" s="185"/>
      <c r="K271" s="185"/>
      <c r="L271" s="261">
        <f>L212*L154</f>
        <v>0</v>
      </c>
      <c r="M271" s="262">
        <f>L212*M154</f>
        <v>0</v>
      </c>
      <c r="N271" s="185"/>
      <c r="O271" s="185"/>
      <c r="P271" s="261"/>
      <c r="Q271" s="262"/>
      <c r="R271" s="185"/>
      <c r="S271" s="185"/>
      <c r="T271" s="261"/>
      <c r="U271" s="262"/>
      <c r="V271" s="185"/>
      <c r="W271" s="185"/>
      <c r="X271" s="261"/>
      <c r="Y271" s="262"/>
      <c r="Z271" s="185"/>
      <c r="AA271" s="185"/>
      <c r="AB271" s="261"/>
      <c r="AC271" s="262"/>
      <c r="AD271" s="185"/>
      <c r="AE271" s="262"/>
      <c r="AF271" s="224"/>
      <c r="AG271" s="262"/>
      <c r="AH271" s="224"/>
      <c r="AI271" s="275"/>
      <c r="AJ271" s="224"/>
      <c r="AK271" s="262"/>
      <c r="AL271" s="185"/>
      <c r="AM271" s="185"/>
      <c r="AN271" s="261"/>
      <c r="AO271" s="262"/>
      <c r="AP271" s="185"/>
      <c r="AQ271" s="185"/>
      <c r="AR271" s="261"/>
      <c r="AS271" s="262"/>
      <c r="AT271" s="185">
        <f t="shared" si="404"/>
        <v>0</v>
      </c>
      <c r="AU271" s="185">
        <f t="shared" si="405"/>
        <v>0</v>
      </c>
      <c r="AV271" s="261">
        <f t="shared" si="402"/>
        <v>0</v>
      </c>
      <c r="AW271" s="262">
        <f t="shared" si="403"/>
        <v>0</v>
      </c>
      <c r="AX271" s="185">
        <f t="shared" si="342"/>
        <v>0</v>
      </c>
      <c r="AY271" s="185">
        <f t="shared" si="343"/>
        <v>0</v>
      </c>
      <c r="AZ271" s="261"/>
      <c r="BA271" s="262"/>
      <c r="BB271" s="261"/>
      <c r="BC271" s="262"/>
      <c r="BD271" s="261"/>
      <c r="BE271" s="262"/>
      <c r="BF271" s="626"/>
      <c r="BG271" s="224"/>
      <c r="BH271" s="686"/>
      <c r="BI271" s="224"/>
      <c r="BJ271" s="224"/>
      <c r="BK271" s="686"/>
      <c r="BL271" s="261"/>
      <c r="BM271" s="224"/>
      <c r="BN271" s="689"/>
      <c r="BO271" s="224"/>
      <c r="BP271" s="224"/>
      <c r="BQ271" s="821"/>
      <c r="BR271" s="261"/>
      <c r="BS271" s="224"/>
      <c r="BT271" s="686"/>
      <c r="BU271" s="224"/>
      <c r="BV271" s="224"/>
      <c r="BW271" s="701"/>
      <c r="BX271" s="261"/>
      <c r="BY271" s="224"/>
      <c r="BZ271" s="685"/>
      <c r="CA271" s="224"/>
      <c r="CB271" s="224"/>
      <c r="CC271" s="792"/>
      <c r="CD271" s="261"/>
      <c r="CE271" s="224"/>
      <c r="CF271" s="685"/>
      <c r="CG271" s="224"/>
      <c r="CH271" s="224"/>
      <c r="CI271" s="792"/>
      <c r="CJ271" s="261"/>
      <c r="CK271" s="224"/>
      <c r="CL271" s="685"/>
      <c r="CM271" s="224"/>
      <c r="CN271" s="224"/>
      <c r="CO271" s="792"/>
      <c r="CP271" s="261"/>
      <c r="CQ271" s="224"/>
      <c r="CR271" s="685"/>
      <c r="CS271" s="224"/>
      <c r="CT271" s="224"/>
      <c r="CU271" s="792"/>
      <c r="CV271" s="1564"/>
      <c r="CW271" s="685"/>
      <c r="CX271" s="685"/>
      <c r="CY271" s="685"/>
      <c r="CZ271" s="685"/>
      <c r="DA271" s="792"/>
      <c r="DB271" s="1564"/>
      <c r="DC271" s="685"/>
      <c r="DD271" s="685"/>
      <c r="DE271" s="685"/>
      <c r="DF271" s="685"/>
      <c r="DG271" s="792"/>
      <c r="DH271" s="566"/>
      <c r="DI271" s="668"/>
      <c r="DJ271" s="685"/>
      <c r="DK271" s="668"/>
      <c r="DL271" s="668"/>
      <c r="DM271" s="792"/>
      <c r="DN271" s="566"/>
      <c r="DO271" s="668"/>
      <c r="DP271" s="685"/>
      <c r="DQ271" s="668"/>
      <c r="DR271" s="668"/>
      <c r="DS271" s="792"/>
      <c r="DT271" s="566"/>
      <c r="DU271" s="668"/>
      <c r="DV271" s="685"/>
      <c r="DW271" s="668"/>
      <c r="DX271" s="668"/>
      <c r="DY271" s="792"/>
      <c r="DZ271" s="566"/>
      <c r="EA271" s="668"/>
      <c r="EB271" s="685"/>
      <c r="EC271" s="668"/>
      <c r="ED271" s="668"/>
      <c r="EE271" s="792"/>
      <c r="EF271" s="196">
        <f t="shared" si="412"/>
        <v>33</v>
      </c>
      <c r="EG271" s="224"/>
      <c r="EH271" s="579">
        <f t="shared" si="295"/>
        <v>33</v>
      </c>
      <c r="EI271" s="602">
        <f t="shared" ref="EI271:EI291" si="413">AVERAGE(F271,H271,J271,L271,N271,P271,R271,T271,V271,X271,Z271,AB271,AD271,AF271,AH271,AJ271,AL271,AN271,AP271,AR271,AT271,AV271,AX271,AZ271,BB271,BD271)</f>
        <v>0</v>
      </c>
      <c r="EJ271" s="602">
        <f t="shared" ref="EJ271:EJ291" si="414">AVERAGE(E271,G271,I271,K271,M271,O271,Q271,S271,U271,W271,Y271,,AA271,AC271,AE271,AG271,AI271,AK271,AM271,AO271,AQ271,AS271,AU271,AW271,AY271,BA271,BC271,BE271)</f>
        <v>0</v>
      </c>
      <c r="EK271" s="579">
        <f t="shared" si="296"/>
        <v>33</v>
      </c>
      <c r="EL271" s="602">
        <f t="shared" si="351"/>
        <v>0</v>
      </c>
      <c r="EM271" s="602">
        <f t="shared" si="352"/>
        <v>0</v>
      </c>
      <c r="EN271" s="579">
        <f t="shared" si="297"/>
        <v>33</v>
      </c>
      <c r="EO271" s="602">
        <f t="shared" si="377"/>
        <v>0</v>
      </c>
      <c r="EP271" s="602">
        <f t="shared" si="378"/>
        <v>0</v>
      </c>
      <c r="EQ271" s="580"/>
      <c r="ER271" s="519" t="s">
        <v>125</v>
      </c>
      <c r="ES271" s="519"/>
      <c r="ET271" s="519"/>
      <c r="EU271" s="519"/>
      <c r="EV271" s="519"/>
      <c r="EW271" s="580"/>
      <c r="EX271" s="580"/>
      <c r="EY271" s="580"/>
      <c r="EZ271" s="580"/>
      <c r="FA271" s="580"/>
      <c r="FB271" s="580"/>
      <c r="FC271" s="580"/>
      <c r="FD271" s="580"/>
      <c r="FE271" s="580"/>
      <c r="FF271" s="580"/>
      <c r="FG271" s="580"/>
      <c r="FH271" s="580"/>
    </row>
    <row r="272" spans="1:164" x14ac:dyDescent="0.2">
      <c r="A272" s="159">
        <v>34</v>
      </c>
      <c r="B272" s="261"/>
      <c r="C272" s="262"/>
      <c r="D272" s="274">
        <f>D213*J155</f>
        <v>73</v>
      </c>
      <c r="E272" s="269">
        <f>D213*K155</f>
        <v>0</v>
      </c>
      <c r="F272" s="185"/>
      <c r="G272" s="185"/>
      <c r="H272" s="274">
        <f>H213*J155</f>
        <v>22</v>
      </c>
      <c r="I272" s="269">
        <f>H213*K155</f>
        <v>0</v>
      </c>
      <c r="J272" s="263"/>
      <c r="K272" s="263"/>
      <c r="L272" s="274">
        <f>L213*J155</f>
        <v>72</v>
      </c>
      <c r="M272" s="269">
        <f>L213*K155</f>
        <v>0</v>
      </c>
      <c r="N272" s="185"/>
      <c r="O272" s="185"/>
      <c r="P272" s="274">
        <f>P213*R155</f>
        <v>26</v>
      </c>
      <c r="Q272" s="269">
        <f>P213*S155</f>
        <v>0</v>
      </c>
      <c r="R272" s="263"/>
      <c r="S272" s="263"/>
      <c r="T272" s="261"/>
      <c r="U272" s="262"/>
      <c r="V272" s="263"/>
      <c r="W272" s="263"/>
      <c r="X272" s="274">
        <f>X213*V155</f>
        <v>28</v>
      </c>
      <c r="Y272" s="269">
        <f>X213*W155</f>
        <v>28</v>
      </c>
      <c r="Z272" s="263"/>
      <c r="AA272" s="263"/>
      <c r="AB272" s="261"/>
      <c r="AC272" s="262"/>
      <c r="AD272" s="263"/>
      <c r="AE272" s="265"/>
      <c r="AF272" s="224"/>
      <c r="AG272" s="262"/>
      <c r="AH272" s="224"/>
      <c r="AI272" s="275"/>
      <c r="AJ272" s="224"/>
      <c r="AK272" s="262"/>
      <c r="AL272" s="185"/>
      <c r="AM272" s="185"/>
      <c r="AN272" s="261"/>
      <c r="AO272" s="262"/>
      <c r="AP272" s="185"/>
      <c r="AQ272" s="185"/>
      <c r="AR272" s="261"/>
      <c r="AS272" s="262"/>
      <c r="AT272" s="185">
        <f t="shared" si="404"/>
        <v>0</v>
      </c>
      <c r="AU272" s="185">
        <f t="shared" si="405"/>
        <v>0</v>
      </c>
      <c r="AV272" s="261">
        <f t="shared" si="402"/>
        <v>0</v>
      </c>
      <c r="AW272" s="262">
        <f t="shared" si="403"/>
        <v>0</v>
      </c>
      <c r="AX272" s="185">
        <f t="shared" si="342"/>
        <v>0</v>
      </c>
      <c r="AY272" s="185">
        <f t="shared" si="343"/>
        <v>0</v>
      </c>
      <c r="AZ272" s="264">
        <f t="shared" si="395"/>
        <v>0</v>
      </c>
      <c r="BA272" s="265">
        <f t="shared" si="396"/>
        <v>0</v>
      </c>
      <c r="BB272" s="264"/>
      <c r="BC272" s="265"/>
      <c r="BD272" s="261"/>
      <c r="BE272" s="262"/>
      <c r="BF272" s="261"/>
      <c r="BG272" s="224"/>
      <c r="BH272" s="686"/>
      <c r="BI272" s="224"/>
      <c r="BJ272" s="224"/>
      <c r="BK272" s="686"/>
      <c r="BL272" s="261"/>
      <c r="BM272" s="224"/>
      <c r="BN272" s="689"/>
      <c r="BO272" s="224"/>
      <c r="BP272" s="224"/>
      <c r="BQ272" s="821"/>
      <c r="BR272" s="261"/>
      <c r="BS272" s="224"/>
      <c r="BT272" s="686"/>
      <c r="BU272" s="224"/>
      <c r="BV272" s="224"/>
      <c r="BW272" s="701"/>
      <c r="BX272" s="261"/>
      <c r="BY272" s="224"/>
      <c r="BZ272" s="685"/>
      <c r="CA272" s="224"/>
      <c r="CB272" s="224"/>
      <c r="CC272" s="792"/>
      <c r="CD272" s="261"/>
      <c r="CE272" s="224"/>
      <c r="CF272" s="685"/>
      <c r="CG272" s="224"/>
      <c r="CH272" s="224"/>
      <c r="CI272" s="792"/>
      <c r="CJ272" s="261"/>
      <c r="CK272" s="224"/>
      <c r="CL272" s="685"/>
      <c r="CM272" s="224"/>
      <c r="CN272" s="224"/>
      <c r="CO272" s="792"/>
      <c r="CP272" s="261"/>
      <c r="CQ272" s="224"/>
      <c r="CR272" s="685"/>
      <c r="CS272" s="224"/>
      <c r="CT272" s="224"/>
      <c r="CU272" s="792"/>
      <c r="CV272" s="1564"/>
      <c r="CW272" s="685"/>
      <c r="CX272" s="685"/>
      <c r="CY272" s="685"/>
      <c r="CZ272" s="685"/>
      <c r="DA272" s="792"/>
      <c r="DB272" s="1564"/>
      <c r="DC272" s="685"/>
      <c r="DD272" s="685"/>
      <c r="DE272" s="685"/>
      <c r="DF272" s="685"/>
      <c r="DG272" s="792"/>
      <c r="DH272" s="566"/>
      <c r="DI272" s="668"/>
      <c r="DJ272" s="685"/>
      <c r="DK272" s="668"/>
      <c r="DL272" s="668"/>
      <c r="DM272" s="792"/>
      <c r="DN272" s="566"/>
      <c r="DO272" s="668"/>
      <c r="DP272" s="685"/>
      <c r="DQ272" s="668"/>
      <c r="DR272" s="668"/>
      <c r="DS272" s="792"/>
      <c r="DT272" s="566"/>
      <c r="DU272" s="668"/>
      <c r="DV272" s="685"/>
      <c r="DW272" s="668"/>
      <c r="DX272" s="668"/>
      <c r="DY272" s="792"/>
      <c r="DZ272" s="566"/>
      <c r="EA272" s="668"/>
      <c r="EB272" s="685"/>
      <c r="EC272" s="668"/>
      <c r="ED272" s="668"/>
      <c r="EE272" s="792"/>
      <c r="EF272" s="196">
        <f t="shared" si="412"/>
        <v>34</v>
      </c>
      <c r="EG272" s="224"/>
      <c r="EH272" s="579">
        <f t="shared" si="295"/>
        <v>34</v>
      </c>
      <c r="EI272" s="602">
        <f t="shared" si="413"/>
        <v>18.5</v>
      </c>
      <c r="EJ272" s="602">
        <f t="shared" si="414"/>
        <v>2.8</v>
      </c>
      <c r="EK272" s="579">
        <f t="shared" si="296"/>
        <v>34</v>
      </c>
      <c r="EL272" s="602">
        <f t="shared" si="351"/>
        <v>44.2</v>
      </c>
      <c r="EM272" s="602">
        <f t="shared" si="352"/>
        <v>5.6</v>
      </c>
      <c r="EN272" s="579">
        <f t="shared" si="297"/>
        <v>34</v>
      </c>
      <c r="EO272" s="602">
        <f t="shared" si="377"/>
        <v>0</v>
      </c>
      <c r="EP272" s="602">
        <f t="shared" si="378"/>
        <v>0</v>
      </c>
      <c r="EQ272" s="580"/>
      <c r="ER272" s="519" t="s">
        <v>126</v>
      </c>
      <c r="ES272" s="519"/>
      <c r="ET272" s="519"/>
      <c r="EU272" s="519"/>
      <c r="EV272" s="519"/>
      <c r="EW272" s="580"/>
      <c r="EX272" s="580"/>
      <c r="EY272" s="580"/>
      <c r="EZ272" s="580"/>
      <c r="FA272" s="580"/>
      <c r="FB272" s="580"/>
      <c r="FC272" s="580"/>
      <c r="FD272" s="580"/>
      <c r="FE272" s="580"/>
      <c r="FF272" s="580"/>
      <c r="FG272" s="580"/>
      <c r="FH272" s="580"/>
    </row>
    <row r="273" spans="1:164" x14ac:dyDescent="0.2">
      <c r="A273" s="159">
        <v>35</v>
      </c>
      <c r="B273" s="261"/>
      <c r="C273" s="262"/>
      <c r="D273" s="274">
        <f>D214*J156</f>
        <v>62</v>
      </c>
      <c r="E273" s="269">
        <f>D214*K156</f>
        <v>0</v>
      </c>
      <c r="F273" s="263"/>
      <c r="G273" s="263"/>
      <c r="H273" s="274">
        <f>H214*J156</f>
        <v>100</v>
      </c>
      <c r="I273" s="269">
        <f>H214*K156</f>
        <v>0</v>
      </c>
      <c r="J273" s="263"/>
      <c r="K273" s="263"/>
      <c r="L273" s="274">
        <f>L214*J156</f>
        <v>91</v>
      </c>
      <c r="M273" s="269">
        <f>L214*K156</f>
        <v>0</v>
      </c>
      <c r="N273" s="263"/>
      <c r="O273" s="263"/>
      <c r="P273" s="274">
        <f>P214*R156</f>
        <v>10</v>
      </c>
      <c r="Q273" s="269">
        <f>P214*S156</f>
        <v>10</v>
      </c>
      <c r="R273" s="263"/>
      <c r="S273" s="263"/>
      <c r="T273" s="264">
        <f>T214*T156</f>
        <v>1</v>
      </c>
      <c r="U273" s="265">
        <f>T214*U156</f>
        <v>0</v>
      </c>
      <c r="V273" s="263"/>
      <c r="W273" s="263"/>
      <c r="X273" s="274">
        <f>X214*V156</f>
        <v>40</v>
      </c>
      <c r="Y273" s="269">
        <f>X214*W156</f>
        <v>0</v>
      </c>
      <c r="Z273" s="263"/>
      <c r="AA273" s="263"/>
      <c r="AB273" s="274">
        <f>AB214*Z156</f>
        <v>1</v>
      </c>
      <c r="AC273" s="269">
        <f>AB214*AA156</f>
        <v>0</v>
      </c>
      <c r="AD273" s="263"/>
      <c r="AE273" s="265"/>
      <c r="AF273" s="224">
        <f>AF214*AF156</f>
        <v>0</v>
      </c>
      <c r="AG273" s="262">
        <f>AF214*AG156</f>
        <v>0</v>
      </c>
      <c r="AH273" s="273"/>
      <c r="AI273" s="288"/>
      <c r="AJ273" s="268">
        <f>AJ214*AH156</f>
        <v>0</v>
      </c>
      <c r="AK273" s="269">
        <f>AJ214*AI156</f>
        <v>1</v>
      </c>
      <c r="AL273" s="185"/>
      <c r="AM273" s="185"/>
      <c r="AN273" s="274">
        <f>AN214*AN159</f>
        <v>0</v>
      </c>
      <c r="AO273" s="269">
        <f>AN214*AO159</f>
        <v>1</v>
      </c>
      <c r="AP273" s="263"/>
      <c r="AQ273" s="263"/>
      <c r="AR273" s="274">
        <f>AR214*AT156</f>
        <v>1</v>
      </c>
      <c r="AS273" s="269">
        <f>AR214*AU156</f>
        <v>0</v>
      </c>
      <c r="AT273" s="263">
        <f t="shared" si="404"/>
        <v>0</v>
      </c>
      <c r="AU273" s="263">
        <f t="shared" si="405"/>
        <v>0</v>
      </c>
      <c r="AV273" s="261">
        <f t="shared" si="402"/>
        <v>0</v>
      </c>
      <c r="AW273" s="262">
        <f t="shared" si="403"/>
        <v>0</v>
      </c>
      <c r="AX273" s="185"/>
      <c r="AY273" s="185"/>
      <c r="AZ273" s="264">
        <f t="shared" si="395"/>
        <v>2</v>
      </c>
      <c r="BA273" s="265">
        <f t="shared" si="396"/>
        <v>0</v>
      </c>
      <c r="BB273" s="264"/>
      <c r="BC273" s="265"/>
      <c r="BD273" s="261"/>
      <c r="BE273" s="262"/>
      <c r="BF273" s="261"/>
      <c r="BG273" s="224"/>
      <c r="BH273" s="686"/>
      <c r="BI273" s="224"/>
      <c r="BJ273" s="224"/>
      <c r="BK273" s="686"/>
      <c r="BL273" s="261"/>
      <c r="BM273" s="224"/>
      <c r="BN273" s="689"/>
      <c r="BO273" s="224"/>
      <c r="BP273" s="224"/>
      <c r="BQ273" s="821"/>
      <c r="BR273" s="261"/>
      <c r="BS273" s="224"/>
      <c r="BT273" s="686"/>
      <c r="BU273" s="224"/>
      <c r="BV273" s="224"/>
      <c r="BW273" s="701"/>
      <c r="BX273" s="576">
        <f t="shared" ref="BX273" si="415">BX156*$BX214+IF(SUM($BX97:$BZ97)&gt;0, BZ156*$BX214*(BX97/SUM($BX97:$BY97)),0)</f>
        <v>0</v>
      </c>
      <c r="BY273" s="670">
        <f t="shared" ref="BY273" si="416">BY156*$BX214+IF(SUM($BX97:$BZ97)&gt;0, BZ156*$BX214*(BY97/SUM($BX97:$BY97)),0)</f>
        <v>5</v>
      </c>
      <c r="BZ273" s="687">
        <f t="shared" ref="BZ273" si="417">BX273+BY273*CG$303</f>
        <v>0.4425</v>
      </c>
      <c r="CA273" s="670">
        <f t="shared" ref="CA273" si="418">CA156*$BX214+IF(SUM($CA97:$CC97)&gt;0, CC156*$BX214*(CA97/SUM($CA97:$CB97)))</f>
        <v>0</v>
      </c>
      <c r="CB273" s="670">
        <f t="shared" ref="CB273" si="419">CB156*$BX214+IF(SUM($CA97:$CC97)&gt;0, CC156*$BX214*(CB97/SUM($CA97:$CB97)))</f>
        <v>0</v>
      </c>
      <c r="CC273" s="697">
        <f>CA273+CB273*CG$303</f>
        <v>0</v>
      </c>
      <c r="CD273" s="261"/>
      <c r="CE273" s="224"/>
      <c r="CF273" s="685"/>
      <c r="CG273" s="224"/>
      <c r="CH273" s="224"/>
      <c r="CI273" s="792"/>
      <c r="CJ273" s="261"/>
      <c r="CK273" s="224"/>
      <c r="CL273" s="685"/>
      <c r="CM273" s="224"/>
      <c r="CN273" s="224"/>
      <c r="CO273" s="792"/>
      <c r="CP273" s="261"/>
      <c r="CQ273" s="224"/>
      <c r="CR273" s="685"/>
      <c r="CS273" s="224"/>
      <c r="CT273" s="224"/>
      <c r="CU273" s="792"/>
      <c r="CV273" s="1564"/>
      <c r="CW273" s="685"/>
      <c r="CX273" s="685"/>
      <c r="CY273" s="685"/>
      <c r="CZ273" s="685"/>
      <c r="DA273" s="792"/>
      <c r="DB273" s="1564"/>
      <c r="DC273" s="685"/>
      <c r="DD273" s="685"/>
      <c r="DE273" s="685"/>
      <c r="DF273" s="685"/>
      <c r="DG273" s="792"/>
      <c r="DH273" s="566"/>
      <c r="DI273" s="668"/>
      <c r="DJ273" s="685"/>
      <c r="DK273" s="668"/>
      <c r="DL273" s="668"/>
      <c r="DM273" s="792"/>
      <c r="DN273" s="566"/>
      <c r="DO273" s="668"/>
      <c r="DP273" s="685"/>
      <c r="DQ273" s="668"/>
      <c r="DR273" s="668"/>
      <c r="DS273" s="792"/>
      <c r="DT273" s="566"/>
      <c r="DU273" s="668"/>
      <c r="DV273" s="685"/>
      <c r="DW273" s="668"/>
      <c r="DX273" s="668"/>
      <c r="DY273" s="792"/>
      <c r="DZ273" s="566"/>
      <c r="EA273" s="668"/>
      <c r="EB273" s="685"/>
      <c r="EC273" s="668"/>
      <c r="ED273" s="668"/>
      <c r="EE273" s="792"/>
      <c r="EF273" s="196">
        <f t="shared" si="412"/>
        <v>35</v>
      </c>
      <c r="EG273" s="224"/>
      <c r="EH273" s="579">
        <f t="shared" si="295"/>
        <v>35</v>
      </c>
      <c r="EI273" s="602">
        <f t="shared" si="413"/>
        <v>18.923076923076923</v>
      </c>
      <c r="EJ273" s="602">
        <f t="shared" si="414"/>
        <v>0.8</v>
      </c>
      <c r="EK273" s="579">
        <f t="shared" si="296"/>
        <v>35</v>
      </c>
      <c r="EL273" s="602">
        <f t="shared" si="351"/>
        <v>38.125</v>
      </c>
      <c r="EM273" s="602">
        <f t="shared" si="352"/>
        <v>1.25</v>
      </c>
      <c r="EN273" s="579">
        <f t="shared" si="297"/>
        <v>35</v>
      </c>
      <c r="EO273" s="602">
        <f t="shared" si="377"/>
        <v>0.5</v>
      </c>
      <c r="EP273" s="602">
        <f t="shared" si="378"/>
        <v>0.33333333333333331</v>
      </c>
      <c r="EQ273" s="580"/>
      <c r="ER273" s="519" t="s">
        <v>127</v>
      </c>
      <c r="ES273" s="519"/>
      <c r="ET273" s="519"/>
      <c r="EU273" s="519"/>
      <c r="EV273" s="519"/>
      <c r="EW273" s="580"/>
      <c r="EX273" s="580"/>
      <c r="EY273" s="580"/>
      <c r="EZ273" s="580"/>
      <c r="FA273" s="580"/>
      <c r="FB273" s="580"/>
      <c r="FC273" s="580"/>
      <c r="FD273" s="580"/>
      <c r="FE273" s="580"/>
      <c r="FF273" s="580"/>
      <c r="FG273" s="580"/>
      <c r="FH273" s="580"/>
    </row>
    <row r="274" spans="1:164" x14ac:dyDescent="0.2">
      <c r="A274" s="159">
        <v>36</v>
      </c>
      <c r="B274" s="261"/>
      <c r="C274" s="262"/>
      <c r="D274" s="274">
        <f>D215*D160</f>
        <v>44.666666666666664</v>
      </c>
      <c r="E274" s="269">
        <f>D215*E160</f>
        <v>22.333333333333332</v>
      </c>
      <c r="F274" s="263"/>
      <c r="G274" s="263"/>
      <c r="H274" s="274">
        <f>H215*J157</f>
        <v>137</v>
      </c>
      <c r="I274" s="269">
        <f>H215*K157</f>
        <v>0</v>
      </c>
      <c r="J274" s="263"/>
      <c r="K274" s="263"/>
      <c r="L274" s="274">
        <f>L215*J157</f>
        <v>8</v>
      </c>
      <c r="M274" s="269">
        <f>L215*K157</f>
        <v>0</v>
      </c>
      <c r="N274" s="185"/>
      <c r="O274" s="185"/>
      <c r="P274" s="274">
        <f>P215*R156</f>
        <v>6</v>
      </c>
      <c r="Q274" s="269">
        <f>P215*S156</f>
        <v>6</v>
      </c>
      <c r="R274" s="185"/>
      <c r="S274" s="185"/>
      <c r="T274" s="274">
        <f>T215*T156</f>
        <v>6</v>
      </c>
      <c r="U274" s="269">
        <f>T215*U156</f>
        <v>0</v>
      </c>
      <c r="V274" s="263"/>
      <c r="W274" s="263"/>
      <c r="X274" s="274">
        <f>X215*V157</f>
        <v>16</v>
      </c>
      <c r="Y274" s="269">
        <f>X215*W157</f>
        <v>0</v>
      </c>
      <c r="Z274" s="263"/>
      <c r="AA274" s="263"/>
      <c r="AB274" s="274">
        <f>AB215*Z157</f>
        <v>0</v>
      </c>
      <c r="AC274" s="269">
        <f>AB215*AA157</f>
        <v>3</v>
      </c>
      <c r="AD274" s="263">
        <f t="shared" ref="AD274:AD281" si="420">AD215*AD157</f>
        <v>3</v>
      </c>
      <c r="AE274" s="265">
        <f t="shared" ref="AE274:AE281" si="421">AD215*AE157</f>
        <v>0</v>
      </c>
      <c r="AF274" s="224">
        <f>AF215*AF157</f>
        <v>0</v>
      </c>
      <c r="AG274" s="262">
        <f>AF215*AG157</f>
        <v>0</v>
      </c>
      <c r="AH274" s="273"/>
      <c r="AI274" s="288"/>
      <c r="AJ274" s="224">
        <f>AJ215*AJ157</f>
        <v>0</v>
      </c>
      <c r="AK274" s="262">
        <f>AJ215*AK157</f>
        <v>0</v>
      </c>
      <c r="AL274" s="263"/>
      <c r="AM274" s="263"/>
      <c r="AN274" s="261">
        <f>AN215*AN157</f>
        <v>0</v>
      </c>
      <c r="AO274" s="262">
        <f>AN215*AO157</f>
        <v>0</v>
      </c>
      <c r="AP274" s="185"/>
      <c r="AQ274" s="185"/>
      <c r="AR274" s="261">
        <f>AR215*AR157</f>
        <v>0</v>
      </c>
      <c r="AS274" s="262">
        <f>AR215*AS157</f>
        <v>0</v>
      </c>
      <c r="AT274" s="263">
        <f t="shared" si="404"/>
        <v>0</v>
      </c>
      <c r="AU274" s="263">
        <f t="shared" si="405"/>
        <v>0</v>
      </c>
      <c r="AV274" s="261">
        <f t="shared" si="402"/>
        <v>0</v>
      </c>
      <c r="AW274" s="262">
        <f t="shared" si="403"/>
        <v>0</v>
      </c>
      <c r="AX274" s="185"/>
      <c r="AY274" s="185"/>
      <c r="AZ274" s="264">
        <f t="shared" si="395"/>
        <v>4</v>
      </c>
      <c r="BA274" s="265">
        <f t="shared" si="396"/>
        <v>1</v>
      </c>
      <c r="BB274" s="264"/>
      <c r="BC274" s="265"/>
      <c r="BD274" s="261"/>
      <c r="BE274" s="262"/>
      <c r="BF274" s="261"/>
      <c r="BG274" s="224"/>
      <c r="BH274" s="686"/>
      <c r="BI274" s="224"/>
      <c r="BJ274" s="224"/>
      <c r="BK274" s="686"/>
      <c r="BL274" s="576">
        <f>BL157*$BL215+IF(SUM($BL98:$BN98)&gt;0, BN157*$BL215*(BL98/SUM($BL98:$BM98)),0)</f>
        <v>0.5</v>
      </c>
      <c r="BM274" s="670">
        <f>BM157*$BL215+IF(SUM($BL98:$BN98)&gt;0, BN157*$BL215*(BM98/SUM($BL98:$BM98)),0)</f>
        <v>0</v>
      </c>
      <c r="BN274" s="687">
        <f>BL274+BM274*BU$303</f>
        <v>0.5</v>
      </c>
      <c r="BO274" s="670">
        <f t="shared" ref="BO274" si="422">BO157*$BL215+IF(SUM($BO98:$BP98)&gt;0, BQ157*$BL215*(BO98/SUM($BO98:$BP98)))</f>
        <v>0.5</v>
      </c>
      <c r="BP274" s="670">
        <f>BP157*$BL215+IF(SUM($BO98:$BQ98)&gt;0, BQ157*$BL215*(BP98/SUM($BO98:$BP98)))</f>
        <v>0</v>
      </c>
      <c r="BQ274" s="697">
        <f>BO274+BP274*BU$303</f>
        <v>0.5</v>
      </c>
      <c r="BR274" s="261"/>
      <c r="BS274" s="224"/>
      <c r="BT274" s="686"/>
      <c r="BU274" s="224"/>
      <c r="BV274" s="224"/>
      <c r="BW274" s="701"/>
      <c r="BX274" s="576">
        <f t="shared" ref="BX274" si="423">BX157*$BX215+IF(SUM($BX98:$BZ98)&gt;0, BZ157*$BX215*(BX98/SUM($BX98:$BY98)),0)</f>
        <v>5</v>
      </c>
      <c r="BY274" s="670">
        <f t="shared" ref="BY274" si="424">BY157*$BX215+IF(SUM($BX98:$BZ98)&gt;0, BZ157*$BX215*(BY98/SUM($BX98:$BY98)),0)</f>
        <v>0</v>
      </c>
      <c r="BZ274" s="687">
        <f t="shared" ref="BZ274" si="425">BX274+BY274*CG$303</f>
        <v>5</v>
      </c>
      <c r="CA274" s="670">
        <f t="shared" ref="CA274" si="426">CA157*$BX215+IF(SUM($CA98:$CC98)&gt;0, CC157*$BX215*(CA98/SUM($CA98:$CB98)))</f>
        <v>0</v>
      </c>
      <c r="CB274" s="670">
        <f t="shared" ref="CB274" si="427">CB157*$BX215+IF(SUM($CA98:$CC98)&gt;0, CC157*$BX215*(CB98/SUM($CA98:$CB98)))</f>
        <v>0</v>
      </c>
      <c r="CC274" s="697">
        <f>CA274+CB274*CG$303</f>
        <v>0</v>
      </c>
      <c r="CD274" s="625"/>
      <c r="CE274" s="672"/>
      <c r="CF274" s="685"/>
      <c r="CG274" s="672"/>
      <c r="CH274" s="672"/>
      <c r="CI274" s="792"/>
      <c r="CJ274" s="625"/>
      <c r="CK274" s="672"/>
      <c r="CL274" s="685"/>
      <c r="CM274" s="672"/>
      <c r="CN274" s="672"/>
      <c r="CO274" s="792"/>
      <c r="CP274" s="625"/>
      <c r="CQ274" s="672"/>
      <c r="CR274" s="685"/>
      <c r="CS274" s="672"/>
      <c r="CT274" s="672"/>
      <c r="CU274" s="792"/>
      <c r="CV274" s="1564"/>
      <c r="CW274" s="685"/>
      <c r="CX274" s="685"/>
      <c r="CY274" s="685"/>
      <c r="CZ274" s="685"/>
      <c r="DA274" s="792"/>
      <c r="DB274" s="1564"/>
      <c r="DC274" s="685"/>
      <c r="DD274" s="685"/>
      <c r="DE274" s="685"/>
      <c r="DF274" s="685"/>
      <c r="DG274" s="792"/>
      <c r="DH274" s="566"/>
      <c r="DI274" s="668"/>
      <c r="DJ274" s="685"/>
      <c r="DK274" s="668"/>
      <c r="DL274" s="668"/>
      <c r="DM274" s="792"/>
      <c r="DN274" s="566"/>
      <c r="DO274" s="668"/>
      <c r="DP274" s="685"/>
      <c r="DQ274" s="668"/>
      <c r="DR274" s="668"/>
      <c r="DS274" s="792"/>
      <c r="DT274" s="566"/>
      <c r="DU274" s="668"/>
      <c r="DV274" s="685"/>
      <c r="DW274" s="668"/>
      <c r="DX274" s="668"/>
      <c r="DY274" s="792"/>
      <c r="DZ274" s="566"/>
      <c r="EA274" s="668"/>
      <c r="EB274" s="685"/>
      <c r="EC274" s="668"/>
      <c r="ED274" s="668"/>
      <c r="EE274" s="792"/>
      <c r="EF274" s="196">
        <f t="shared" si="412"/>
        <v>36</v>
      </c>
      <c r="EG274" s="224"/>
      <c r="EH274" s="579">
        <f t="shared" si="295"/>
        <v>36</v>
      </c>
      <c r="EI274" s="602">
        <f t="shared" si="413"/>
        <v>12.857142857142858</v>
      </c>
      <c r="EJ274" s="602">
        <f t="shared" si="414"/>
        <v>2.020833333333333</v>
      </c>
      <c r="EK274" s="579">
        <f t="shared" si="296"/>
        <v>36</v>
      </c>
      <c r="EL274" s="602">
        <f t="shared" si="351"/>
        <v>24.518518518518519</v>
      </c>
      <c r="EM274" s="602">
        <f t="shared" si="352"/>
        <v>3.4814814814814814</v>
      </c>
      <c r="EN274" s="579">
        <f t="shared" si="297"/>
        <v>36</v>
      </c>
      <c r="EO274" s="602">
        <f t="shared" si="377"/>
        <v>0.66666666666666663</v>
      </c>
      <c r="EP274" s="602">
        <f t="shared" si="378"/>
        <v>0.16666666666666666</v>
      </c>
      <c r="EQ274" s="580"/>
      <c r="ER274" s="519" t="s">
        <v>128</v>
      </c>
      <c r="ES274" s="519"/>
      <c r="ET274" s="519"/>
      <c r="EU274" s="519"/>
      <c r="EV274" s="519"/>
      <c r="EW274" s="580"/>
      <c r="EX274" s="580"/>
      <c r="EY274" s="580"/>
      <c r="EZ274" s="580"/>
      <c r="FA274" s="580"/>
      <c r="FB274" s="580"/>
      <c r="FC274" s="580"/>
      <c r="FD274" s="580"/>
      <c r="FE274" s="580"/>
      <c r="FF274" s="580"/>
      <c r="FG274" s="580"/>
      <c r="FH274" s="580"/>
    </row>
    <row r="275" spans="1:164" x14ac:dyDescent="0.2">
      <c r="A275" s="159">
        <v>37</v>
      </c>
      <c r="B275" s="261"/>
      <c r="C275" s="262"/>
      <c r="D275" s="274">
        <f>D216*D160</f>
        <v>40.666666666666664</v>
      </c>
      <c r="E275" s="269">
        <f>D216*E160</f>
        <v>20.333333333333332</v>
      </c>
      <c r="F275" s="270">
        <f>F216*F157</f>
        <v>1.8</v>
      </c>
      <c r="G275" s="270">
        <f>F216*G157</f>
        <v>0.2</v>
      </c>
      <c r="H275" s="274">
        <f>H216*J158</f>
        <v>57</v>
      </c>
      <c r="I275" s="269">
        <f>H216*K158</f>
        <v>0</v>
      </c>
      <c r="J275" s="263">
        <f>J216*J158</f>
        <v>11</v>
      </c>
      <c r="K275" s="263">
        <f>J216*K158</f>
        <v>0</v>
      </c>
      <c r="L275" s="274">
        <f>L216*J158</f>
        <v>1</v>
      </c>
      <c r="M275" s="269">
        <f>L216*K158</f>
        <v>0</v>
      </c>
      <c r="N275" s="270">
        <f>N216*N159</f>
        <v>1</v>
      </c>
      <c r="O275" s="270">
        <f>N216*O159</f>
        <v>0</v>
      </c>
      <c r="P275" s="274">
        <f>P216*R158</f>
        <v>3</v>
      </c>
      <c r="Q275" s="269">
        <f>P216*S158</f>
        <v>3</v>
      </c>
      <c r="R275" s="263">
        <f>R216*R158</f>
        <v>7.5</v>
      </c>
      <c r="S275" s="263">
        <f>R216*S158</f>
        <v>7.5</v>
      </c>
      <c r="T275" s="274">
        <f>T216*T156</f>
        <v>14</v>
      </c>
      <c r="U275" s="269">
        <f>T216*U156</f>
        <v>0</v>
      </c>
      <c r="V275" s="270">
        <f>V216*V157</f>
        <v>11</v>
      </c>
      <c r="W275" s="270">
        <f>V216*W157</f>
        <v>0</v>
      </c>
      <c r="X275" s="274">
        <f>X216*R158</f>
        <v>12.5</v>
      </c>
      <c r="Y275" s="269">
        <f>X216*W158</f>
        <v>0</v>
      </c>
      <c r="Z275" s="270">
        <f>Z216*Z157</f>
        <v>0</v>
      </c>
      <c r="AA275" s="270">
        <f>Z216*AA157</f>
        <v>1</v>
      </c>
      <c r="AB275" s="261">
        <f t="shared" ref="AB275:AB289" si="428">AB216*AB158</f>
        <v>0</v>
      </c>
      <c r="AC275" s="262">
        <f t="shared" ref="AC275:AC289" si="429">AB216*AC158</f>
        <v>0</v>
      </c>
      <c r="AD275" s="263">
        <f t="shared" si="420"/>
        <v>0</v>
      </c>
      <c r="AE275" s="265">
        <f t="shared" si="421"/>
        <v>0</v>
      </c>
      <c r="AF275" s="268">
        <f>AF216*AH158</f>
        <v>1</v>
      </c>
      <c r="AG275" s="269">
        <f>AF216*AI158</f>
        <v>0</v>
      </c>
      <c r="AH275" s="273">
        <f>AH216*AH158</f>
        <v>1</v>
      </c>
      <c r="AI275" s="288">
        <f>AH216*AI158</f>
        <v>0</v>
      </c>
      <c r="AJ275" s="224">
        <f>AJ216*AJ158</f>
        <v>0</v>
      </c>
      <c r="AK275" s="262">
        <f>AJ216*AK158</f>
        <v>0</v>
      </c>
      <c r="AL275" s="263"/>
      <c r="AM275" s="263"/>
      <c r="AN275" s="274">
        <f>AN216*AN159</f>
        <v>0</v>
      </c>
      <c r="AO275" s="269">
        <f>AN216*AO159</f>
        <v>1</v>
      </c>
      <c r="AP275" s="185"/>
      <c r="AQ275" s="185"/>
      <c r="AR275" s="274">
        <f>AR216*AT158</f>
        <v>2</v>
      </c>
      <c r="AS275" s="269">
        <f>AR216*AU158</f>
        <v>0</v>
      </c>
      <c r="AT275" s="263">
        <f t="shared" si="404"/>
        <v>0</v>
      </c>
      <c r="AU275" s="263">
        <f t="shared" si="405"/>
        <v>0</v>
      </c>
      <c r="AV275" s="261"/>
      <c r="AW275" s="262"/>
      <c r="AX275" s="185"/>
      <c r="AY275" s="185"/>
      <c r="AZ275" s="264">
        <f t="shared" si="395"/>
        <v>0</v>
      </c>
      <c r="BA275" s="265">
        <f t="shared" si="396"/>
        <v>0</v>
      </c>
      <c r="BB275" s="261"/>
      <c r="BC275" s="262"/>
      <c r="BD275" s="261"/>
      <c r="BE275" s="262"/>
      <c r="BF275" s="261"/>
      <c r="BG275" s="224"/>
      <c r="BH275" s="686"/>
      <c r="BI275" s="224"/>
      <c r="BJ275" s="224"/>
      <c r="BK275" s="686"/>
      <c r="BL275" s="261"/>
      <c r="BM275" s="224"/>
      <c r="BN275" s="686"/>
      <c r="BO275" s="224"/>
      <c r="BP275" s="224"/>
      <c r="BQ275" s="701"/>
      <c r="BR275" s="261"/>
      <c r="BS275" s="224"/>
      <c r="BT275" s="686"/>
      <c r="BU275" s="224"/>
      <c r="BV275" s="224"/>
      <c r="BW275" s="701"/>
      <c r="BX275" s="261"/>
      <c r="BY275" s="224"/>
      <c r="BZ275" s="686"/>
      <c r="CA275" s="224"/>
      <c r="CB275" s="224"/>
      <c r="CC275" s="701"/>
      <c r="CD275" s="261"/>
      <c r="CE275" s="224"/>
      <c r="CF275" s="686"/>
      <c r="CG275" s="224"/>
      <c r="CH275" s="224"/>
      <c r="CI275" s="701"/>
      <c r="CJ275" s="261"/>
      <c r="CK275" s="224"/>
      <c r="CL275" s="686"/>
      <c r="CM275" s="224"/>
      <c r="CN275" s="224"/>
      <c r="CO275" s="701"/>
      <c r="CP275" s="261"/>
      <c r="CQ275" s="224"/>
      <c r="CR275" s="686"/>
      <c r="CS275" s="224"/>
      <c r="CT275" s="224"/>
      <c r="CU275" s="701"/>
      <c r="CV275" s="1565"/>
      <c r="CW275" s="686"/>
      <c r="CX275" s="686"/>
      <c r="CY275" s="686"/>
      <c r="CZ275" s="686"/>
      <c r="DA275" s="701"/>
      <c r="DB275" s="1565"/>
      <c r="DC275" s="686"/>
      <c r="DD275" s="686"/>
      <c r="DE275" s="686"/>
      <c r="DF275" s="686"/>
      <c r="DG275" s="701"/>
      <c r="DH275" s="261"/>
      <c r="DI275" s="224"/>
      <c r="DJ275" s="686"/>
      <c r="DK275" s="224"/>
      <c r="DL275" s="224"/>
      <c r="DM275" s="701"/>
      <c r="DN275" s="261"/>
      <c r="DO275" s="224"/>
      <c r="DP275" s="686"/>
      <c r="DQ275" s="224"/>
      <c r="DR275" s="224"/>
      <c r="DS275" s="701"/>
      <c r="DT275" s="261"/>
      <c r="DU275" s="224"/>
      <c r="DV275" s="686"/>
      <c r="DW275" s="224"/>
      <c r="DX275" s="224"/>
      <c r="DY275" s="701"/>
      <c r="DZ275" s="261"/>
      <c r="EA275" s="224"/>
      <c r="EB275" s="686"/>
      <c r="EC275" s="224"/>
      <c r="ED275" s="224"/>
      <c r="EE275" s="701"/>
      <c r="EF275" s="196">
        <f t="shared" si="412"/>
        <v>37</v>
      </c>
      <c r="EG275" s="224"/>
      <c r="EH275" s="579">
        <f t="shared" si="295"/>
        <v>37</v>
      </c>
      <c r="EI275" s="602">
        <f t="shared" si="413"/>
        <v>6.1899999999999995</v>
      </c>
      <c r="EJ275" s="602">
        <f t="shared" si="414"/>
        <v>1.5015151515151515</v>
      </c>
      <c r="EK275" s="579">
        <f t="shared" si="296"/>
        <v>37</v>
      </c>
      <c r="EL275" s="602">
        <f t="shared" si="351"/>
        <v>10.154166666666667</v>
      </c>
      <c r="EM275" s="602">
        <f t="shared" si="352"/>
        <v>2.0020833333333332</v>
      </c>
      <c r="EN275" s="579">
        <f t="shared" si="297"/>
        <v>37</v>
      </c>
      <c r="EO275" s="602">
        <f t="shared" si="377"/>
        <v>0.4</v>
      </c>
      <c r="EP275" s="602">
        <f t="shared" si="378"/>
        <v>0.2</v>
      </c>
      <c r="EQ275" s="580"/>
      <c r="ER275" s="580"/>
      <c r="ES275" s="519"/>
      <c r="ET275" s="519"/>
      <c r="EU275" s="580"/>
      <c r="EV275" s="580"/>
      <c r="EW275" s="580"/>
      <c r="EX275" s="580"/>
      <c r="EY275" s="580"/>
      <c r="EZ275" s="580"/>
      <c r="FA275" s="580"/>
      <c r="FB275" s="580"/>
      <c r="FC275" s="580"/>
      <c r="FD275" s="580"/>
      <c r="FE275" s="580"/>
      <c r="FF275" s="580"/>
      <c r="FG275" s="580"/>
      <c r="FH275" s="580"/>
    </row>
    <row r="276" spans="1:164" x14ac:dyDescent="0.2">
      <c r="A276" s="159">
        <v>38</v>
      </c>
      <c r="B276" s="261"/>
      <c r="C276" s="262"/>
      <c r="D276" s="274">
        <f>D217*D160</f>
        <v>22.666666666666664</v>
      </c>
      <c r="E276" s="269">
        <f>D217*E160</f>
        <v>11.333333333333332</v>
      </c>
      <c r="F276" s="263"/>
      <c r="G276" s="263"/>
      <c r="H276" s="274">
        <f>H217*J159</f>
        <v>50</v>
      </c>
      <c r="I276" s="269">
        <f>H217*K159</f>
        <v>0</v>
      </c>
      <c r="J276" s="263">
        <f>J217*J159</f>
        <v>4</v>
      </c>
      <c r="K276" s="263">
        <f>J217*K159</f>
        <v>0</v>
      </c>
      <c r="L276" s="274">
        <f>L217*J159</f>
        <v>1</v>
      </c>
      <c r="M276" s="269">
        <f>L217*K159</f>
        <v>0</v>
      </c>
      <c r="N276" s="263">
        <f>N217*N159</f>
        <v>31</v>
      </c>
      <c r="O276" s="263">
        <f>N217*O159</f>
        <v>0</v>
      </c>
      <c r="P276" s="274">
        <f>P217*N159</f>
        <v>15</v>
      </c>
      <c r="Q276" s="269">
        <f>P217*O159</f>
        <v>0</v>
      </c>
      <c r="R276" s="185"/>
      <c r="S276" s="185"/>
      <c r="T276" s="274">
        <f>T217*T161</f>
        <v>0</v>
      </c>
      <c r="U276" s="269">
        <f>T217*U161</f>
        <v>10</v>
      </c>
      <c r="V276" s="263"/>
      <c r="W276" s="263"/>
      <c r="X276" s="274">
        <f>X217*V159</f>
        <v>9</v>
      </c>
      <c r="Y276" s="269">
        <f>X217*W159</f>
        <v>0</v>
      </c>
      <c r="Z276" s="263"/>
      <c r="AA276" s="263"/>
      <c r="AB276" s="261">
        <f t="shared" si="428"/>
        <v>0</v>
      </c>
      <c r="AC276" s="262">
        <f t="shared" si="429"/>
        <v>0</v>
      </c>
      <c r="AD276" s="185"/>
      <c r="AE276" s="262"/>
      <c r="AF276" s="224"/>
      <c r="AG276" s="262"/>
      <c r="AH276" s="273"/>
      <c r="AI276" s="288"/>
      <c r="AJ276" s="224">
        <f>AJ217*AJ159</f>
        <v>0</v>
      </c>
      <c r="AK276" s="262">
        <f>AJ217*AK159</f>
        <v>0</v>
      </c>
      <c r="AL276" s="185"/>
      <c r="AM276" s="185"/>
      <c r="AN276" s="264">
        <f t="shared" ref="AN276:AN285" si="430">AN217*AN159</f>
        <v>0</v>
      </c>
      <c r="AO276" s="265">
        <f t="shared" ref="AO276:AO285" si="431">AN217*AO159</f>
        <v>0</v>
      </c>
      <c r="AP276" s="263"/>
      <c r="AQ276" s="263"/>
      <c r="AR276" s="261">
        <f t="shared" ref="AR276:AR284" si="432">AR217*AR159</f>
        <v>0</v>
      </c>
      <c r="AS276" s="262">
        <f t="shared" ref="AS276:AS284" si="433">AR217*AS159</f>
        <v>0</v>
      </c>
      <c r="AT276" s="263">
        <f t="shared" si="404"/>
        <v>5.7272727272727275</v>
      </c>
      <c r="AU276" s="263">
        <f t="shared" si="405"/>
        <v>3.2727272727272729</v>
      </c>
      <c r="AV276" s="261"/>
      <c r="AW276" s="262"/>
      <c r="AX276" s="185"/>
      <c r="AY276" s="185"/>
      <c r="AZ276" s="264">
        <f t="shared" si="395"/>
        <v>0</v>
      </c>
      <c r="BA276" s="265">
        <f t="shared" si="396"/>
        <v>0</v>
      </c>
      <c r="BB276" s="264">
        <f t="shared" ref="BB276:BB281" si="434">BB217*BB159</f>
        <v>1</v>
      </c>
      <c r="BC276" s="265">
        <f>BB217*BC159</f>
        <v>0</v>
      </c>
      <c r="BD276" s="261"/>
      <c r="BE276" s="262"/>
      <c r="BF276" s="261"/>
      <c r="BG276" s="224"/>
      <c r="BH276" s="686"/>
      <c r="BI276" s="224"/>
      <c r="BJ276" s="224"/>
      <c r="BK276" s="686"/>
      <c r="BL276" s="261"/>
      <c r="BM276" s="224"/>
      <c r="BN276" s="686"/>
      <c r="BO276" s="224"/>
      <c r="BP276" s="224"/>
      <c r="BQ276" s="701"/>
      <c r="BR276" s="274">
        <f>BR160*$BR217+IF(SUM($BR101:$BT101)&gt;0, BT160*$BR217*(BR101/SUM($BR101:$BS101)),0)</f>
        <v>1</v>
      </c>
      <c r="BS276" s="268">
        <f>BS160*$BR217+IF(SUM($BR101:$BT101)&gt;0, BT160*$BR217*(BS101/SUM($BR101:$BS101)),0)</f>
        <v>0</v>
      </c>
      <c r="BT276" s="940">
        <f t="shared" ref="BT276" si="435">BR276+BS276*CA$303</f>
        <v>1</v>
      </c>
      <c r="BU276" s="268">
        <f>BU160*$BR217+IF(SUM($BU101:$BW101)&gt;0, BW160*$BR217*(BU101/SUM($BU101:$BV101)))</f>
        <v>0</v>
      </c>
      <c r="BV276" s="268">
        <f>BV160*$BR217+IF(SUM($BU101:$BW101)&gt;0, BW160*$BR217*(BV101/SUM($BU101:$BV101)))</f>
        <v>0</v>
      </c>
      <c r="BW276" s="944">
        <f t="shared" ref="BW276" si="436">BU276+BV276*CA$303</f>
        <v>0</v>
      </c>
      <c r="BX276" s="261"/>
      <c r="BY276" s="224"/>
      <c r="BZ276" s="686"/>
      <c r="CA276" s="224"/>
      <c r="CB276" s="224"/>
      <c r="CC276" s="701"/>
      <c r="CD276" s="261"/>
      <c r="CE276" s="224"/>
      <c r="CF276" s="686"/>
      <c r="CG276" s="224"/>
      <c r="CH276" s="224"/>
      <c r="CI276" s="701"/>
      <c r="CJ276" s="261"/>
      <c r="CK276" s="224"/>
      <c r="CL276" s="686"/>
      <c r="CM276" s="224"/>
      <c r="CN276" s="224"/>
      <c r="CO276" s="701"/>
      <c r="CP276" s="261"/>
      <c r="CQ276" s="224"/>
      <c r="CR276" s="686"/>
      <c r="CS276" s="224"/>
      <c r="CT276" s="224"/>
      <c r="CU276" s="701"/>
      <c r="CV276" s="1565"/>
      <c r="CW276" s="686"/>
      <c r="CX276" s="686"/>
      <c r="CY276" s="686"/>
      <c r="CZ276" s="686"/>
      <c r="DA276" s="701"/>
      <c r="DB276" s="1565"/>
      <c r="DC276" s="686"/>
      <c r="DD276" s="686"/>
      <c r="DE276" s="686"/>
      <c r="DF276" s="686"/>
      <c r="DG276" s="701"/>
      <c r="DH276" s="261"/>
      <c r="DI276" s="224"/>
      <c r="DJ276" s="686"/>
      <c r="DK276" s="224"/>
      <c r="DL276" s="224"/>
      <c r="DM276" s="701"/>
      <c r="DN276" s="261"/>
      <c r="DO276" s="224"/>
      <c r="DP276" s="686"/>
      <c r="DQ276" s="224"/>
      <c r="DR276" s="224"/>
      <c r="DS276" s="701"/>
      <c r="DT276" s="261"/>
      <c r="DU276" s="224"/>
      <c r="DV276" s="686"/>
      <c r="DW276" s="224"/>
      <c r="DX276" s="224"/>
      <c r="DY276" s="701"/>
      <c r="DZ276" s="261"/>
      <c r="EA276" s="224"/>
      <c r="EB276" s="686"/>
      <c r="EC276" s="224"/>
      <c r="ED276" s="224"/>
      <c r="EE276" s="701"/>
      <c r="EF276" s="196">
        <f t="shared" si="412"/>
        <v>38</v>
      </c>
      <c r="EG276" s="224"/>
      <c r="EH276" s="579">
        <f t="shared" si="295"/>
        <v>38</v>
      </c>
      <c r="EI276" s="602">
        <f t="shared" si="413"/>
        <v>8.3376623376623389</v>
      </c>
      <c r="EJ276" s="602">
        <f t="shared" si="414"/>
        <v>1.5378787878787878</v>
      </c>
      <c r="EK276" s="579">
        <f t="shared" si="296"/>
        <v>38</v>
      </c>
      <c r="EL276" s="602">
        <f t="shared" si="351"/>
        <v>14.74074074074074</v>
      </c>
      <c r="EM276" s="602">
        <f t="shared" si="352"/>
        <v>2.3703703703703702</v>
      </c>
      <c r="EN276" s="579">
        <f t="shared" si="297"/>
        <v>38</v>
      </c>
      <c r="EO276" s="602">
        <f t="shared" si="377"/>
        <v>1.1212121212121213</v>
      </c>
      <c r="EP276" s="602">
        <f t="shared" si="378"/>
        <v>0.54545454545454553</v>
      </c>
      <c r="EQ276" s="580"/>
      <c r="ER276" s="580"/>
      <c r="ES276" s="519"/>
      <c r="ET276" s="519"/>
      <c r="EU276" s="580"/>
      <c r="EV276" s="580"/>
      <c r="EW276" s="580"/>
      <c r="EX276" s="580"/>
      <c r="EY276" s="580"/>
      <c r="EZ276" s="580"/>
      <c r="FA276" s="580"/>
      <c r="FB276" s="580"/>
      <c r="FC276" s="580"/>
      <c r="FD276" s="580"/>
      <c r="FE276" s="580"/>
      <c r="FF276" s="580"/>
      <c r="FG276" s="580"/>
      <c r="FH276" s="580"/>
    </row>
    <row r="277" spans="1:164" x14ac:dyDescent="0.2">
      <c r="A277" s="159">
        <v>39</v>
      </c>
      <c r="B277" s="261"/>
      <c r="C277" s="262"/>
      <c r="D277" s="264"/>
      <c r="E277" s="265"/>
      <c r="F277" s="263">
        <f>F218*F160</f>
        <v>112</v>
      </c>
      <c r="G277" s="263">
        <f>F218*G160</f>
        <v>0</v>
      </c>
      <c r="H277" s="261"/>
      <c r="I277" s="262"/>
      <c r="J277" s="263">
        <f>J218*J160</f>
        <v>58</v>
      </c>
      <c r="K277" s="263">
        <f>J218*K160</f>
        <v>0</v>
      </c>
      <c r="L277" s="261"/>
      <c r="M277" s="262"/>
      <c r="N277" s="263">
        <f>N218*N160</f>
        <v>19</v>
      </c>
      <c r="O277" s="263">
        <f>N218*O160</f>
        <v>0</v>
      </c>
      <c r="P277" s="261"/>
      <c r="Q277" s="262"/>
      <c r="R277" s="270">
        <f>R218*R161</f>
        <v>2</v>
      </c>
      <c r="S277" s="270">
        <f>R218*S161</f>
        <v>0</v>
      </c>
      <c r="T277" s="261"/>
      <c r="U277" s="262"/>
      <c r="V277" s="263"/>
      <c r="W277" s="263"/>
      <c r="X277" s="264"/>
      <c r="Y277" s="265"/>
      <c r="Z277" s="263"/>
      <c r="AA277" s="263"/>
      <c r="AB277" s="261"/>
      <c r="AC277" s="262"/>
      <c r="AD277" s="263">
        <f t="shared" si="420"/>
        <v>1</v>
      </c>
      <c r="AE277" s="265">
        <f t="shared" si="421"/>
        <v>0</v>
      </c>
      <c r="AF277" s="268">
        <f>AF218*AH160</f>
        <v>1</v>
      </c>
      <c r="AG277" s="269">
        <f>AF218*AI160</f>
        <v>0</v>
      </c>
      <c r="AH277" s="273"/>
      <c r="AI277" s="288"/>
      <c r="AJ277" s="224">
        <f>AJ218*AJ160</f>
        <v>0</v>
      </c>
      <c r="AK277" s="262">
        <f>AJ218*AK160</f>
        <v>0</v>
      </c>
      <c r="AL277" s="263">
        <f t="shared" ref="AL277:AL284" si="437">AL218*AL160</f>
        <v>4</v>
      </c>
      <c r="AM277" s="263">
        <f t="shared" ref="AM277:AM286" si="438">AL218*AM160</f>
        <v>0</v>
      </c>
      <c r="AN277" s="261">
        <f t="shared" si="430"/>
        <v>0</v>
      </c>
      <c r="AO277" s="262">
        <f t="shared" si="431"/>
        <v>0</v>
      </c>
      <c r="AP277" s="185">
        <f>AP218*AP160</f>
        <v>0</v>
      </c>
      <c r="AQ277" s="185">
        <f>AP218*AQ160</f>
        <v>0</v>
      </c>
      <c r="AR277" s="264">
        <f t="shared" si="432"/>
        <v>0</v>
      </c>
      <c r="AS277" s="265">
        <f t="shared" si="433"/>
        <v>0</v>
      </c>
      <c r="AT277" s="263">
        <f t="shared" si="404"/>
        <v>0</v>
      </c>
      <c r="AU277" s="263">
        <f t="shared" si="405"/>
        <v>0</v>
      </c>
      <c r="AV277" s="261">
        <f t="shared" si="402"/>
        <v>0</v>
      </c>
      <c r="AW277" s="262">
        <f t="shared" si="403"/>
        <v>0</v>
      </c>
      <c r="AX277" s="270">
        <f>AX218*AT160</f>
        <v>3</v>
      </c>
      <c r="AY277" s="270">
        <f>AX218*AU160</f>
        <v>0</v>
      </c>
      <c r="AZ277" s="261"/>
      <c r="BA277" s="262"/>
      <c r="BB277" s="264">
        <f t="shared" si="434"/>
        <v>1</v>
      </c>
      <c r="BC277" s="265">
        <f>BB218*BC160</f>
        <v>0</v>
      </c>
      <c r="BD277" s="261"/>
      <c r="BE277" s="262"/>
      <c r="BF277" s="225">
        <f>BH277</f>
        <v>1</v>
      </c>
      <c r="BG277" s="220">
        <v>0</v>
      </c>
      <c r="BH277" s="684">
        <f>BF218*AVERAGE(BB160,AZ160,AX160,AV160,AT160)</f>
        <v>1</v>
      </c>
      <c r="BI277" s="220">
        <f>BK277</f>
        <v>0</v>
      </c>
      <c r="BJ277" s="220">
        <v>0</v>
      </c>
      <c r="BK277" s="684">
        <f>BF218*AVERAGE(BC160,BA160,AY160,AW160,AU160)</f>
        <v>0</v>
      </c>
      <c r="BL277" s="261"/>
      <c r="BM277" s="224"/>
      <c r="BN277" s="686"/>
      <c r="BO277" s="224"/>
      <c r="BP277" s="224"/>
      <c r="BQ277" s="701"/>
      <c r="BR277" s="264">
        <f t="shared" ref="BR277" si="439">BR160*$BR218+IF(SUM($BR101:$BT101)&gt;0, BT160*$BR218*(BR101/SUM($BR101:$BS101)),0)</f>
        <v>1</v>
      </c>
      <c r="BS277" s="273">
        <f t="shared" ref="BS277" si="440">BS160*$BR218+IF(SUM($BR101:$BT101)&gt;0, BT160*$BR218*(BS101/SUM($BR101:$BS101)),0)</f>
        <v>0</v>
      </c>
      <c r="BT277" s="941">
        <f t="shared" ref="BT277" si="441">BR277+BS277*CA$303</f>
        <v>1</v>
      </c>
      <c r="BU277" s="273">
        <f t="shared" ref="BU277" si="442">BU160*$BR218+IF(SUM($BU101:$BW101)&gt;0, BW160*$BR218*(BU101/SUM($BU101:$BV101)))</f>
        <v>0</v>
      </c>
      <c r="BV277" s="273">
        <f t="shared" ref="BV277" si="443">BV160*$BR218+IF(SUM($BU101:$BW101)&gt;0, BW160*$BR218*(BV101/SUM($BU101:$BV101)))</f>
        <v>0</v>
      </c>
      <c r="BW277" s="945">
        <f t="shared" ref="BW277" si="444">BU277+BV277*CA$303</f>
        <v>0</v>
      </c>
      <c r="BX277" s="573">
        <f>BX163*$BX218+IF(SUM($BX104:$BZ104)&gt;0, BZ163*$BX218*(BX104/SUM($BX104:$BY104)),0)</f>
        <v>0</v>
      </c>
      <c r="BY277" s="667">
        <f>BY163*$BX218+IF(SUM($BX104:$BZ104)&gt;0, BZ163*$BX218*(BY104/SUM($BX104:$BY104)),0)</f>
        <v>0</v>
      </c>
      <c r="BZ277" s="684">
        <f t="shared" ref="BZ277" si="445">BX277+BY277*CG$303</f>
        <v>0</v>
      </c>
      <c r="CA277" s="667">
        <f>CA163*$BX218+IF(SUM($CA104:$CC104)&gt;0, CC163*$BX218*(CA104/SUM($CA104:$CB104)))</f>
        <v>2</v>
      </c>
      <c r="CB277" s="667">
        <f>CB163*$BX218+IF(SUM($CA104:$CC104)&gt;0, CC163*$BX218*(CB104/SUM($CA104:$CB104)))</f>
        <v>0</v>
      </c>
      <c r="CC277" s="979">
        <f>CA277+CB277*CG$303</f>
        <v>2</v>
      </c>
      <c r="CD277" s="261"/>
      <c r="CE277" s="224"/>
      <c r="CF277" s="686"/>
      <c r="CG277" s="224"/>
      <c r="CH277" s="224"/>
      <c r="CI277" s="701"/>
      <c r="CJ277" s="261"/>
      <c r="CK277" s="224"/>
      <c r="CL277" s="686"/>
      <c r="CM277" s="224"/>
      <c r="CN277" s="224"/>
      <c r="CO277" s="701"/>
      <c r="CP277" s="261"/>
      <c r="CQ277" s="224"/>
      <c r="CR277" s="686"/>
      <c r="CS277" s="224"/>
      <c r="CT277" s="224"/>
      <c r="CU277" s="701"/>
      <c r="CV277" s="1565"/>
      <c r="CW277" s="686"/>
      <c r="CX277" s="686"/>
      <c r="CY277" s="686"/>
      <c r="CZ277" s="686"/>
      <c r="DA277" s="701"/>
      <c r="DB277" s="1145">
        <v>0</v>
      </c>
      <c r="DC277" s="1146">
        <v>0</v>
      </c>
      <c r="DD277" s="1658">
        <f>DB277+DC277*DK$303</f>
        <v>0</v>
      </c>
      <c r="DE277" s="1146">
        <v>1</v>
      </c>
      <c r="DF277" s="1146">
        <v>0</v>
      </c>
      <c r="DG277" s="1658">
        <f>DE277+DF277*DK$303</f>
        <v>1</v>
      </c>
      <c r="DH277" s="261"/>
      <c r="DI277" s="224"/>
      <c r="DJ277" s="686"/>
      <c r="DK277" s="224"/>
      <c r="DL277" s="224"/>
      <c r="DM277" s="701"/>
      <c r="DN277" s="261"/>
      <c r="DO277" s="224"/>
      <c r="DP277" s="686"/>
      <c r="DQ277" s="224"/>
      <c r="DR277" s="224"/>
      <c r="DS277" s="701"/>
      <c r="DT277" s="261"/>
      <c r="DU277" s="224"/>
      <c r="DV277" s="686"/>
      <c r="DW277" s="224"/>
      <c r="DX277" s="224"/>
      <c r="DY277" s="701"/>
      <c r="DZ277" s="261"/>
      <c r="EA277" s="224"/>
      <c r="EB277" s="686"/>
      <c r="EC277" s="224"/>
      <c r="ED277" s="224"/>
      <c r="EE277" s="701"/>
      <c r="EF277" s="196">
        <f t="shared" si="412"/>
        <v>39</v>
      </c>
      <c r="EG277" s="224"/>
      <c r="EH277" s="579">
        <f t="shared" si="295"/>
        <v>39</v>
      </c>
      <c r="EI277" s="602">
        <f t="shared" si="413"/>
        <v>13.4</v>
      </c>
      <c r="EJ277" s="602">
        <f t="shared" si="414"/>
        <v>0</v>
      </c>
      <c r="EK277" s="579">
        <f t="shared" si="296"/>
        <v>39</v>
      </c>
      <c r="EL277" s="602">
        <f t="shared" si="351"/>
        <v>32.166666666666664</v>
      </c>
      <c r="EM277" s="602">
        <f t="shared" si="352"/>
        <v>0</v>
      </c>
      <c r="EN277" s="579">
        <f t="shared" si="297"/>
        <v>39</v>
      </c>
      <c r="EO277" s="602">
        <f t="shared" si="377"/>
        <v>0.88888888888888884</v>
      </c>
      <c r="EP277" s="602">
        <f t="shared" si="378"/>
        <v>0</v>
      </c>
      <c r="EQ277" s="580"/>
      <c r="ER277" s="580"/>
      <c r="ES277" s="519"/>
      <c r="ET277" s="519"/>
      <c r="EU277" s="580"/>
      <c r="EV277" s="580"/>
      <c r="EW277" s="580"/>
      <c r="EX277" s="580"/>
      <c r="EY277" s="580"/>
      <c r="EZ277" s="580"/>
      <c r="FA277" s="580"/>
      <c r="FB277" s="580"/>
      <c r="FC277" s="580"/>
      <c r="FD277" s="580"/>
      <c r="FE277" s="580"/>
      <c r="FF277" s="580"/>
      <c r="FG277" s="580"/>
      <c r="FH277" s="580"/>
    </row>
    <row r="278" spans="1:164" x14ac:dyDescent="0.2">
      <c r="A278" s="159">
        <v>40</v>
      </c>
      <c r="B278" s="261"/>
      <c r="C278" s="262"/>
      <c r="D278" s="264"/>
      <c r="E278" s="265"/>
      <c r="F278" s="263">
        <f>F219*F161</f>
        <v>49</v>
      </c>
      <c r="G278" s="263">
        <f>F219*G161</f>
        <v>0</v>
      </c>
      <c r="H278" s="261"/>
      <c r="I278" s="262"/>
      <c r="J278" s="270">
        <f>J219*J160</f>
        <v>60</v>
      </c>
      <c r="K278" s="270">
        <f>J219*K160</f>
        <v>0</v>
      </c>
      <c r="L278" s="261"/>
      <c r="M278" s="262"/>
      <c r="N278" s="270">
        <f>N219*N160</f>
        <v>15</v>
      </c>
      <c r="O278" s="270">
        <f>N219*O160</f>
        <v>0</v>
      </c>
      <c r="P278" s="261"/>
      <c r="Q278" s="262"/>
      <c r="R278" s="263">
        <f>R219*R161</f>
        <v>29</v>
      </c>
      <c r="S278" s="263">
        <f>R219*S161</f>
        <v>0</v>
      </c>
      <c r="T278" s="264"/>
      <c r="U278" s="265"/>
      <c r="V278" s="263"/>
      <c r="W278" s="263"/>
      <c r="X278" s="261"/>
      <c r="Y278" s="262"/>
      <c r="Z278" s="263"/>
      <c r="AA278" s="263"/>
      <c r="AB278" s="261"/>
      <c r="AC278" s="262"/>
      <c r="AD278" s="263">
        <f t="shared" si="420"/>
        <v>10</v>
      </c>
      <c r="AE278" s="265">
        <f t="shared" si="421"/>
        <v>0</v>
      </c>
      <c r="AF278" s="268">
        <f>AF219*AH161</f>
        <v>5</v>
      </c>
      <c r="AG278" s="269">
        <f>AF219*AI161</f>
        <v>0</v>
      </c>
      <c r="AH278" s="273">
        <f>AH219*AH161</f>
        <v>1</v>
      </c>
      <c r="AI278" s="288">
        <f>AH219*AI161</f>
        <v>0</v>
      </c>
      <c r="AJ278" s="268">
        <f>AJ219*AH161</f>
        <v>1</v>
      </c>
      <c r="AK278" s="269">
        <f>AJ219*AI161</f>
        <v>0</v>
      </c>
      <c r="AL278" s="263">
        <f t="shared" si="437"/>
        <v>0</v>
      </c>
      <c r="AM278" s="263">
        <f t="shared" si="438"/>
        <v>0</v>
      </c>
      <c r="AN278" s="264">
        <f t="shared" si="430"/>
        <v>0</v>
      </c>
      <c r="AO278" s="265">
        <f t="shared" si="431"/>
        <v>0</v>
      </c>
      <c r="AP278" s="185">
        <f>AP219*AP161</f>
        <v>0</v>
      </c>
      <c r="AQ278" s="185">
        <f>AP219*AQ161</f>
        <v>0</v>
      </c>
      <c r="AR278" s="261">
        <f t="shared" si="432"/>
        <v>0</v>
      </c>
      <c r="AS278" s="262">
        <f t="shared" si="433"/>
        <v>0</v>
      </c>
      <c r="AT278" s="263">
        <f t="shared" si="404"/>
        <v>1</v>
      </c>
      <c r="AU278" s="263">
        <f t="shared" si="405"/>
        <v>0</v>
      </c>
      <c r="AV278" s="261">
        <f t="shared" si="402"/>
        <v>0</v>
      </c>
      <c r="AW278" s="262">
        <f t="shared" si="403"/>
        <v>0</v>
      </c>
      <c r="AX278" s="185">
        <f>AX219*AX161</f>
        <v>0</v>
      </c>
      <c r="AY278" s="185">
        <f>AX219*AY161</f>
        <v>0</v>
      </c>
      <c r="AZ278" s="261"/>
      <c r="BA278" s="262"/>
      <c r="BB278" s="274">
        <f>BB219*BB160</f>
        <v>3</v>
      </c>
      <c r="BC278" s="269">
        <f>BB219*BC160</f>
        <v>0</v>
      </c>
      <c r="BD278" s="261"/>
      <c r="BE278" s="262"/>
      <c r="BF278" s="225">
        <f>BH278</f>
        <v>2</v>
      </c>
      <c r="BG278" s="220">
        <v>0</v>
      </c>
      <c r="BH278" s="684">
        <f>BF219*AVERAGE(BB161,AZ161,AX161,AV161,AT161)</f>
        <v>2</v>
      </c>
      <c r="BI278" s="220">
        <f>BK278</f>
        <v>0</v>
      </c>
      <c r="BJ278" s="220">
        <v>0</v>
      </c>
      <c r="BK278" s="684">
        <f>BF219*AVERAGE(BC161,BA161,AY161,AW161,AU161)</f>
        <v>0</v>
      </c>
      <c r="BL278" s="261"/>
      <c r="BM278" s="224"/>
      <c r="BN278" s="686"/>
      <c r="BO278" s="224"/>
      <c r="BP278" s="224"/>
      <c r="BQ278" s="701"/>
      <c r="BR278" s="274">
        <f>BR160*$BR219+IF(SUM($BR101:$BT101)&gt;0, BT160*$BR219*(BR101/SUM($BR101:$BS101)),0)</f>
        <v>1</v>
      </c>
      <c r="BS278" s="268">
        <f>BS160*$BR219+IF(SUM($BR101:$BT101)&gt;0, BT160*$BR219*(BS101/SUM($BR101:$BS101)),0)</f>
        <v>0</v>
      </c>
      <c r="BT278" s="940">
        <f t="shared" ref="BT278" si="446">BR278+BS278*CA$303</f>
        <v>1</v>
      </c>
      <c r="BU278" s="268">
        <f>BU160*$BR219+IF(SUM($BU101:$BW101)&gt;0, BW160*$BR219*(BU101/SUM($BU101:$BV101)))</f>
        <v>0</v>
      </c>
      <c r="BV278" s="268">
        <f>BV160*$BR219+IF(SUM($BU101:$BW101)&gt;0, BW160*$BR219*(BV101/SUM($BU101:$BV101)))</f>
        <v>0</v>
      </c>
      <c r="BW278" s="944">
        <f t="shared" ref="BW278" si="447">BU278+BV278*CA$303</f>
        <v>0</v>
      </c>
      <c r="BX278" s="573">
        <f>BX163*$BX219+IF(SUM($BX104:$BZ104)&gt;0, BZ163*$BX219*(BX104/SUM($BX104:$BY104)),0)</f>
        <v>0</v>
      </c>
      <c r="BY278" s="667">
        <f>BY163*$BX219+IF(SUM($BX104:$BZ104)&gt;0, BZ163*$BX219*(BY104/SUM($BX104:$BY104)),0)</f>
        <v>0</v>
      </c>
      <c r="BZ278" s="684">
        <f t="shared" ref="BZ278" si="448">BX278+BY278*CG$303</f>
        <v>0</v>
      </c>
      <c r="CA278" s="667">
        <f>CA163*$BX219+IF(SUM($CA104:$CC104)&gt;0, CC163*$BX219*(CA104/SUM($CA104:$CB104)))</f>
        <v>1</v>
      </c>
      <c r="CB278" s="667">
        <f>CB163*$BX219+IF(SUM($CA104:$CC104)&gt;0, CC163*$BX219*(CB104/SUM($CA104:$CB104)))</f>
        <v>0</v>
      </c>
      <c r="CC278" s="979">
        <f>CA278+CB278*CG$303</f>
        <v>1</v>
      </c>
      <c r="CD278" s="261"/>
      <c r="CE278" s="224"/>
      <c r="CF278" s="686"/>
      <c r="CG278" s="224"/>
      <c r="CH278" s="224"/>
      <c r="CI278" s="701"/>
      <c r="CJ278" s="261"/>
      <c r="CK278" s="224"/>
      <c r="CL278" s="686"/>
      <c r="CM278" s="224"/>
      <c r="CN278" s="224"/>
      <c r="CO278" s="701"/>
      <c r="CP278" s="261">
        <v>3</v>
      </c>
      <c r="CQ278" s="224">
        <v>0</v>
      </c>
      <c r="CR278" s="687">
        <f>CP278+CQ278*CY$303</f>
        <v>3</v>
      </c>
      <c r="CS278" s="224">
        <v>0</v>
      </c>
      <c r="CT278" s="224">
        <v>0</v>
      </c>
      <c r="CU278" s="697">
        <f>CS278+CT278*CY$303</f>
        <v>0</v>
      </c>
      <c r="CV278" s="686"/>
      <c r="CW278" s="686"/>
      <c r="CX278" s="686"/>
      <c r="CY278" s="686"/>
      <c r="CZ278" s="686"/>
      <c r="DA278" s="701"/>
      <c r="DB278" s="224"/>
      <c r="DC278" s="224"/>
      <c r="DD278" s="686"/>
      <c r="DE278" s="224"/>
      <c r="DF278" s="224"/>
      <c r="DG278" s="701"/>
      <c r="DH278" s="224"/>
      <c r="DI278" s="224"/>
      <c r="DJ278" s="686"/>
      <c r="DK278" s="224"/>
      <c r="DL278" s="224"/>
      <c r="DM278" s="701"/>
      <c r="DN278" s="1669">
        <v>0</v>
      </c>
      <c r="DO278" s="1669">
        <v>0</v>
      </c>
      <c r="DP278" s="687">
        <f>DN278+DO278*DW$303</f>
        <v>0</v>
      </c>
      <c r="DQ278" s="1669">
        <v>3</v>
      </c>
      <c r="DR278" s="1669">
        <v>0</v>
      </c>
      <c r="DS278" s="1685">
        <f>DQ278+DR278*DW$303</f>
        <v>3</v>
      </c>
      <c r="DT278" s="668"/>
      <c r="DU278" s="668"/>
      <c r="DV278" s="685"/>
      <c r="DW278" s="668"/>
      <c r="DX278" s="668"/>
      <c r="DY278" s="701"/>
      <c r="DZ278" s="668"/>
      <c r="EA278" s="668"/>
      <c r="EB278" s="685"/>
      <c r="EC278" s="668"/>
      <c r="ED278" s="668"/>
      <c r="EE278" s="701"/>
      <c r="EF278" s="196">
        <f t="shared" si="412"/>
        <v>40</v>
      </c>
      <c r="EG278" s="224"/>
      <c r="EH278" s="579">
        <f t="shared" si="295"/>
        <v>40</v>
      </c>
      <c r="EI278" s="602">
        <f t="shared" si="413"/>
        <v>10.875</v>
      </c>
      <c r="EJ278" s="602">
        <f t="shared" si="414"/>
        <v>0</v>
      </c>
      <c r="EK278" s="579">
        <f t="shared" si="296"/>
        <v>40</v>
      </c>
      <c r="EL278" s="602">
        <f t="shared" si="351"/>
        <v>24.142857142857142</v>
      </c>
      <c r="EM278" s="602">
        <f t="shared" si="352"/>
        <v>0</v>
      </c>
      <c r="EN278" s="579">
        <f t="shared" si="297"/>
        <v>40</v>
      </c>
      <c r="EO278" s="602">
        <f t="shared" si="377"/>
        <v>0.55555555555555558</v>
      </c>
      <c r="EP278" s="602">
        <f t="shared" si="378"/>
        <v>0</v>
      </c>
      <c r="EQ278" s="580"/>
      <c r="ER278" s="580"/>
      <c r="ES278" s="519"/>
      <c r="ET278" s="519"/>
      <c r="EU278" s="580"/>
      <c r="EV278" s="580"/>
      <c r="EW278" s="580"/>
      <c r="EX278" s="580"/>
      <c r="EY278" s="580"/>
      <c r="EZ278" s="580"/>
      <c r="FA278" s="580"/>
      <c r="FB278" s="580"/>
      <c r="FC278" s="580"/>
      <c r="FD278" s="580"/>
      <c r="FE278" s="580"/>
      <c r="FF278" s="580"/>
      <c r="FG278" s="580"/>
      <c r="FH278" s="580"/>
    </row>
    <row r="279" spans="1:164" x14ac:dyDescent="0.2">
      <c r="A279" s="159">
        <v>41</v>
      </c>
      <c r="B279" s="261"/>
      <c r="C279" s="262"/>
      <c r="D279" s="264"/>
      <c r="E279" s="265"/>
      <c r="F279" s="270">
        <f>F220*F161</f>
        <v>32</v>
      </c>
      <c r="G279" s="270">
        <f>F220*G161</f>
        <v>0</v>
      </c>
      <c r="H279" s="261"/>
      <c r="I279" s="262"/>
      <c r="J279" s="263"/>
      <c r="K279" s="263"/>
      <c r="L279" s="261"/>
      <c r="M279" s="262"/>
      <c r="N279" s="270">
        <f>N220*N160</f>
        <v>4</v>
      </c>
      <c r="O279" s="270">
        <f>N220*O160</f>
        <v>0</v>
      </c>
      <c r="P279" s="261"/>
      <c r="Q279" s="262"/>
      <c r="R279" s="263"/>
      <c r="S279" s="263"/>
      <c r="T279" s="261"/>
      <c r="U279" s="262"/>
      <c r="V279" s="185"/>
      <c r="W279" s="185"/>
      <c r="X279" s="261"/>
      <c r="Y279" s="262"/>
      <c r="Z279" s="185"/>
      <c r="AA279" s="185"/>
      <c r="AB279" s="261"/>
      <c r="AC279" s="262"/>
      <c r="AD279" s="263">
        <f t="shared" si="420"/>
        <v>0</v>
      </c>
      <c r="AE279" s="265">
        <f t="shared" si="421"/>
        <v>3</v>
      </c>
      <c r="AF279" s="224">
        <f>AF220*AF162</f>
        <v>0</v>
      </c>
      <c r="AG279" s="262">
        <f>AF220*AG162</f>
        <v>0</v>
      </c>
      <c r="AH279" s="273">
        <f>AH220*AH162</f>
        <v>0</v>
      </c>
      <c r="AI279" s="288">
        <f>AH220*AI162</f>
        <v>2</v>
      </c>
      <c r="AJ279" s="224">
        <f t="shared" ref="AJ279:AJ288" si="449">AJ220*AJ162</f>
        <v>0</v>
      </c>
      <c r="AK279" s="262">
        <f t="shared" ref="AK279:AK288" si="450">AJ220*AK162</f>
        <v>0</v>
      </c>
      <c r="AL279" s="263">
        <f t="shared" si="437"/>
        <v>0</v>
      </c>
      <c r="AM279" s="263">
        <f t="shared" si="438"/>
        <v>0</v>
      </c>
      <c r="AN279" s="261">
        <f t="shared" si="430"/>
        <v>0</v>
      </c>
      <c r="AO279" s="262">
        <f t="shared" si="431"/>
        <v>0</v>
      </c>
      <c r="AP279" s="185">
        <f>AP220*AP162</f>
        <v>0</v>
      </c>
      <c r="AQ279" s="185">
        <f>AP220*AQ162</f>
        <v>0</v>
      </c>
      <c r="AR279" s="261">
        <f t="shared" si="432"/>
        <v>0</v>
      </c>
      <c r="AS279" s="262">
        <f t="shared" si="433"/>
        <v>0</v>
      </c>
      <c r="AT279" s="185"/>
      <c r="AU279" s="185"/>
      <c r="AV279" s="261">
        <f t="shared" si="402"/>
        <v>0</v>
      </c>
      <c r="AW279" s="262">
        <f t="shared" si="403"/>
        <v>0</v>
      </c>
      <c r="AX279" s="185">
        <f>AX220*AX162</f>
        <v>0</v>
      </c>
      <c r="AY279" s="185">
        <f>AX220*AY162</f>
        <v>0</v>
      </c>
      <c r="AZ279" s="261"/>
      <c r="BA279" s="262"/>
      <c r="BB279" s="261">
        <f t="shared" si="434"/>
        <v>0</v>
      </c>
      <c r="BC279" s="262">
        <f>BB220*BC162</f>
        <v>0</v>
      </c>
      <c r="BD279" s="261"/>
      <c r="BE279" s="262"/>
      <c r="BF279" s="225">
        <f>AVERAGE(BF278/SUM(BF278:BG278),BF280/SUM(BF280:BG280))*BH162*BF220</f>
        <v>3</v>
      </c>
      <c r="BG279" s="220">
        <f>AVERAGE(BG278/SUM(BF278:BG278),BG280/SUM(BF280:BG280))*BH162*BF220</f>
        <v>0</v>
      </c>
      <c r="BH279" s="690">
        <f t="shared" ref="BH279" si="451">BF279+BG279*0.0661</f>
        <v>3</v>
      </c>
      <c r="BI279" s="227">
        <f>BI162*$BF220+IF(SUM($BI103:$BK103)&gt;0,BK162*$BF220*(BI103/SUM($BI103:$BJ103)))</f>
        <v>0</v>
      </c>
      <c r="BJ279" s="227">
        <f>BJ162*$BF220+IF(SUM($BI103:$BK103)&gt;0,BK162*$BF220*(BJ103/SUM($BI103:$BJ103)))</f>
        <v>0</v>
      </c>
      <c r="BK279" s="711">
        <f>BI279+BJ279*BO$303</f>
        <v>0</v>
      </c>
      <c r="BL279" s="261"/>
      <c r="BM279" s="224"/>
      <c r="BN279" s="686"/>
      <c r="BO279" s="224"/>
      <c r="BP279" s="224"/>
      <c r="BQ279" s="701"/>
      <c r="BR279" s="274">
        <f>BR160*$BR220+IF(SUM($BR101:$BT101)&gt;0, BT160*$BR220*(BR101/SUM($BR101:$BS101)),0)</f>
        <v>3</v>
      </c>
      <c r="BS279" s="268">
        <f>BS160*$BR220+IF(SUM($BR101:$BT101)&gt;0, BT160*$BR220*(BS101/SUM($BR101:$BS101)),0)</f>
        <v>0</v>
      </c>
      <c r="BT279" s="940">
        <f t="shared" ref="BT279" si="452">BR279+BS279*CA$303</f>
        <v>3</v>
      </c>
      <c r="BU279" s="268">
        <f>BU160*$BR220+IF(SUM($BU101:$BW101)&gt;0, BW160*$BR220*(BU101/SUM($BU101:$BV101)))</f>
        <v>0</v>
      </c>
      <c r="BV279" s="268">
        <f>BV160*$BR220+IF(SUM($BU101:$BW101)&gt;0, BW160*$BR220*(BV101/SUM($BU101:$BV101)))</f>
        <v>0</v>
      </c>
      <c r="BW279" s="944">
        <f t="shared" ref="BW279" si="453">BU279+BV279*CA$303</f>
        <v>0</v>
      </c>
      <c r="BX279" s="261"/>
      <c r="BY279" s="224"/>
      <c r="BZ279" s="686"/>
      <c r="CA279" s="224"/>
      <c r="CB279" s="224"/>
      <c r="CC279" s="701"/>
      <c r="CD279" s="261"/>
      <c r="CE279" s="224"/>
      <c r="CF279" s="686"/>
      <c r="CG279" s="224"/>
      <c r="CH279" s="224"/>
      <c r="CI279" s="701"/>
      <c r="CJ279" s="261"/>
      <c r="CK279" s="224"/>
      <c r="CL279" s="686"/>
      <c r="CM279" s="224"/>
      <c r="CN279" s="224"/>
      <c r="CO279" s="701"/>
      <c r="CP279" s="261">
        <v>1</v>
      </c>
      <c r="CQ279" s="224">
        <v>0</v>
      </c>
      <c r="CR279" s="687">
        <f>CP279+CQ279*CY$303</f>
        <v>1</v>
      </c>
      <c r="CS279" s="224">
        <v>4</v>
      </c>
      <c r="CT279" s="224">
        <v>0</v>
      </c>
      <c r="CU279" s="697">
        <f>CS279+CT279*CY$303</f>
        <v>4</v>
      </c>
      <c r="CV279" s="224">
        <v>0</v>
      </c>
      <c r="CW279" s="224">
        <v>0</v>
      </c>
      <c r="CX279" s="687">
        <f>CV279+CW279*DE$303</f>
        <v>0</v>
      </c>
      <c r="CY279" s="224">
        <v>2</v>
      </c>
      <c r="CZ279" s="224">
        <v>0</v>
      </c>
      <c r="DA279" s="697">
        <f>CY279+CZ279*DE$303</f>
        <v>2</v>
      </c>
      <c r="DB279" s="1146">
        <v>0</v>
      </c>
      <c r="DC279" s="1146">
        <v>0</v>
      </c>
      <c r="DD279" s="1658">
        <f>DB279+DC279*DK$303</f>
        <v>0</v>
      </c>
      <c r="DE279" s="1146">
        <v>4</v>
      </c>
      <c r="DF279" s="1146">
        <v>0</v>
      </c>
      <c r="DG279" s="1685">
        <f>DE279+DF279*DK$303</f>
        <v>4</v>
      </c>
      <c r="DH279" s="224"/>
      <c r="DI279" s="224"/>
      <c r="DJ279" s="686"/>
      <c r="DK279" s="224"/>
      <c r="DL279" s="224"/>
      <c r="DM279" s="701"/>
      <c r="DN279" s="668"/>
      <c r="DO279" s="668"/>
      <c r="DP279" s="685"/>
      <c r="DQ279" s="668"/>
      <c r="DR279" s="668"/>
      <c r="DS279" s="701"/>
      <c r="DT279" s="668"/>
      <c r="DU279" s="668"/>
      <c r="DV279" s="685"/>
      <c r="DW279" s="668"/>
      <c r="DX279" s="668"/>
      <c r="DY279" s="701"/>
      <c r="DZ279" s="668"/>
      <c r="EA279" s="668"/>
      <c r="EB279" s="685"/>
      <c r="EC279" s="668"/>
      <c r="ED279" s="668"/>
      <c r="EE279" s="701"/>
      <c r="EF279" s="196">
        <f t="shared" si="412"/>
        <v>41</v>
      </c>
      <c r="EG279" s="224"/>
      <c r="EH279" s="579">
        <f t="shared" si="295"/>
        <v>41</v>
      </c>
      <c r="EI279" s="602">
        <f t="shared" si="413"/>
        <v>2.7692307692307692</v>
      </c>
      <c r="EJ279" s="602">
        <f t="shared" si="414"/>
        <v>0.35714285714285715</v>
      </c>
      <c r="EK279" s="579">
        <f t="shared" si="296"/>
        <v>41</v>
      </c>
      <c r="EL279" s="602">
        <f t="shared" si="351"/>
        <v>7.2</v>
      </c>
      <c r="EM279" s="602">
        <f t="shared" si="352"/>
        <v>1</v>
      </c>
      <c r="EN279" s="579">
        <f t="shared" si="297"/>
        <v>41</v>
      </c>
      <c r="EO279" s="602">
        <f t="shared" si="377"/>
        <v>0</v>
      </c>
      <c r="EP279" s="602">
        <f t="shared" si="378"/>
        <v>0</v>
      </c>
      <c r="EQ279" s="580"/>
      <c r="ER279" s="580"/>
      <c r="ES279" s="519"/>
      <c r="ET279" s="519"/>
      <c r="EU279" s="580"/>
      <c r="EV279" s="580"/>
      <c r="EW279" s="580"/>
      <c r="EX279" s="580"/>
      <c r="EY279" s="580"/>
      <c r="EZ279" s="580"/>
      <c r="FA279" s="580"/>
      <c r="FB279" s="580"/>
      <c r="FC279" s="580"/>
      <c r="FD279" s="580"/>
      <c r="FE279" s="580"/>
      <c r="FF279" s="580"/>
      <c r="FG279" s="580"/>
      <c r="FH279" s="580"/>
    </row>
    <row r="280" spans="1:164" x14ac:dyDescent="0.2">
      <c r="A280" s="159">
        <v>42</v>
      </c>
      <c r="B280" s="261"/>
      <c r="C280" s="262"/>
      <c r="D280" s="264"/>
      <c r="E280" s="265"/>
      <c r="F280" s="270">
        <f>F221*F164</f>
        <v>16</v>
      </c>
      <c r="G280" s="270">
        <f>F221*G164</f>
        <v>0</v>
      </c>
      <c r="H280" s="261"/>
      <c r="I280" s="262"/>
      <c r="J280" s="185"/>
      <c r="K280" s="185"/>
      <c r="L280" s="261"/>
      <c r="M280" s="262"/>
      <c r="N280" s="270">
        <f>N221*N160</f>
        <v>1</v>
      </c>
      <c r="O280" s="270">
        <f>N221*O160</f>
        <v>0</v>
      </c>
      <c r="P280" s="261"/>
      <c r="Q280" s="262"/>
      <c r="R280" s="263"/>
      <c r="S280" s="263"/>
      <c r="T280" s="261"/>
      <c r="U280" s="262"/>
      <c r="V280" s="185"/>
      <c r="W280" s="185"/>
      <c r="X280" s="261"/>
      <c r="Y280" s="262"/>
      <c r="Z280" s="185"/>
      <c r="AA280" s="185"/>
      <c r="AB280" s="261"/>
      <c r="AC280" s="262"/>
      <c r="AD280" s="263">
        <f t="shared" si="420"/>
        <v>0.5</v>
      </c>
      <c r="AE280" s="265">
        <f t="shared" si="421"/>
        <v>0.5</v>
      </c>
      <c r="AF280" s="268">
        <f>AF221*AH163</f>
        <v>3.333333333333333</v>
      </c>
      <c r="AG280" s="269">
        <f>AF221*AI163</f>
        <v>1.6666666666666665</v>
      </c>
      <c r="AH280" s="273">
        <f>AH221*AH163</f>
        <v>0.66666666666666663</v>
      </c>
      <c r="AI280" s="288">
        <f>AH221*AI163</f>
        <v>0.33333333333333331</v>
      </c>
      <c r="AJ280" s="224">
        <f t="shared" si="449"/>
        <v>0</v>
      </c>
      <c r="AK280" s="262">
        <f t="shared" si="450"/>
        <v>0</v>
      </c>
      <c r="AL280" s="263">
        <f t="shared" si="437"/>
        <v>0</v>
      </c>
      <c r="AM280" s="263">
        <f t="shared" si="438"/>
        <v>0</v>
      </c>
      <c r="AN280" s="264">
        <f t="shared" si="430"/>
        <v>0</v>
      </c>
      <c r="AO280" s="265">
        <f t="shared" si="431"/>
        <v>0</v>
      </c>
      <c r="AP280" s="263">
        <f>AP221*AP163</f>
        <v>0</v>
      </c>
      <c r="AQ280" s="263">
        <f>AP221*AQ163</f>
        <v>0</v>
      </c>
      <c r="AR280" s="261">
        <f t="shared" si="432"/>
        <v>0</v>
      </c>
      <c r="AS280" s="262">
        <f t="shared" si="433"/>
        <v>0</v>
      </c>
      <c r="AT280" s="263">
        <f t="shared" si="404"/>
        <v>0</v>
      </c>
      <c r="AU280" s="263">
        <f t="shared" si="405"/>
        <v>0</v>
      </c>
      <c r="AV280" s="274">
        <f>AV221*AT163</f>
        <v>0.83333333333333337</v>
      </c>
      <c r="AW280" s="269">
        <f>AV221*AU163</f>
        <v>0.16666666666666666</v>
      </c>
      <c r="AX280" s="185"/>
      <c r="AY280" s="185"/>
      <c r="AZ280" s="261"/>
      <c r="BA280" s="262"/>
      <c r="BB280" s="264">
        <f t="shared" si="434"/>
        <v>1</v>
      </c>
      <c r="BC280" s="265">
        <f>BB221*BC163</f>
        <v>0</v>
      </c>
      <c r="BD280" s="261"/>
      <c r="BE280" s="262"/>
      <c r="BF280" s="274">
        <f>BH280</f>
        <v>3.666666666666667</v>
      </c>
      <c r="BG280" s="220">
        <v>0</v>
      </c>
      <c r="BH280" s="684">
        <f>BF221*AVERAGE(BB163,AZ163,AX163,AV163,AT163)</f>
        <v>3.666666666666667</v>
      </c>
      <c r="BI280" s="268">
        <f>BK280</f>
        <v>0.33333333333333331</v>
      </c>
      <c r="BJ280" s="220">
        <v>0</v>
      </c>
      <c r="BK280" s="684">
        <f>BF221*AVERAGE(BC163,BA163,AY163,AW163,AU163)</f>
        <v>0.33333333333333331</v>
      </c>
      <c r="BL280" s="261"/>
      <c r="BM280" s="224"/>
      <c r="BN280" s="686"/>
      <c r="BO280" s="224"/>
      <c r="BP280" s="224"/>
      <c r="BQ280" s="701"/>
      <c r="BR280" s="274">
        <f>BR160*$BR221+IF(SUM($BR101:$BT101)&gt;0, BT160*$BR221*(BR101/SUM($BR101:$BS101)),0)</f>
        <v>2</v>
      </c>
      <c r="BS280" s="268">
        <f>BS160*$BR221+IF(SUM($BR101:$BT101)&gt;0, BT160*$BR221*(BS101/SUM($BR101:$BS101)),0)</f>
        <v>0</v>
      </c>
      <c r="BT280" s="940">
        <f t="shared" ref="BT280" si="454">BR280+BS280*CA$303</f>
        <v>2</v>
      </c>
      <c r="BU280" s="268">
        <f>BU160*$BR221+IF(SUM($BU101:$BW101)&gt;0, BW160*$BR221*(BU101/SUM($BU101:$BV101)))</f>
        <v>0</v>
      </c>
      <c r="BV280" s="268">
        <f>BV160*$BR221+IF(SUM($BU101:$BW101)&gt;0, BW160*$BR221*(BV101/SUM($BU101:$BV101)))</f>
        <v>0</v>
      </c>
      <c r="BW280" s="944">
        <f t="shared" ref="BW280" si="455">BU280+BV280*CA$303</f>
        <v>0</v>
      </c>
      <c r="BX280" s="576">
        <f t="shared" ref="BX280" si="456">BX163*$BX221+IF(SUM($BX104:$BZ104)&gt;0, BZ163*$BX221*(BX104/SUM($BX104:$BY104)),0)</f>
        <v>0</v>
      </c>
      <c r="BY280" s="670">
        <f t="shared" ref="BY280" si="457">BY163*$BX221+IF(SUM($BX104:$BZ104)&gt;0, BZ163*$BX221*(BY104/SUM($BX104:$BY104)),0)</f>
        <v>0</v>
      </c>
      <c r="BZ280" s="687">
        <f t="shared" ref="BZ280" si="458">BX280+BY280*CG$303</f>
        <v>0</v>
      </c>
      <c r="CA280" s="670">
        <f t="shared" ref="CA280" si="459">CA163*$BX221+IF(SUM($CA104:$CC104)&gt;0, CC163*$BX221*(CA104/SUM($CA104:$CB104)))</f>
        <v>1</v>
      </c>
      <c r="CB280" s="670">
        <f t="shared" ref="CB280" si="460">CB163*$BX221+IF(SUM($CA104:$CC104)&gt;0, CC163*$BX221*(CB104/SUM($CA104:$CB104)))</f>
        <v>0</v>
      </c>
      <c r="CC280" s="697">
        <f>CA280+CB280*CG$303</f>
        <v>1</v>
      </c>
      <c r="CD280" s="261"/>
      <c r="CE280" s="224"/>
      <c r="CF280" s="686"/>
      <c r="CG280" s="224"/>
      <c r="CH280" s="224"/>
      <c r="CI280" s="701"/>
      <c r="CJ280" s="261"/>
      <c r="CK280" s="224"/>
      <c r="CL280" s="686"/>
      <c r="CM280" s="224"/>
      <c r="CN280" s="224"/>
      <c r="CO280" s="701"/>
      <c r="CP280" s="261"/>
      <c r="CQ280" s="224"/>
      <c r="CR280" s="686"/>
      <c r="CS280" s="224"/>
      <c r="CT280" s="224"/>
      <c r="CU280" s="701"/>
      <c r="CV280" s="1565"/>
      <c r="CW280" s="686"/>
      <c r="CX280" s="686"/>
      <c r="CY280" s="686"/>
      <c r="CZ280" s="686"/>
      <c r="DA280" s="701"/>
      <c r="DB280" s="1145">
        <v>0</v>
      </c>
      <c r="DC280" s="1146">
        <v>0</v>
      </c>
      <c r="DD280" s="1658">
        <f>DB280+DC280*DK$303</f>
        <v>0</v>
      </c>
      <c r="DE280" s="1146">
        <v>1</v>
      </c>
      <c r="DF280" s="1146">
        <v>0</v>
      </c>
      <c r="DG280" s="1658">
        <f>DE280+DF280*DK$303</f>
        <v>1</v>
      </c>
      <c r="DH280" s="261"/>
      <c r="DI280" s="224"/>
      <c r="DJ280" s="686"/>
      <c r="DK280" s="224"/>
      <c r="DL280" s="224"/>
      <c r="DM280" s="701"/>
      <c r="DN280" s="1670">
        <v>0</v>
      </c>
      <c r="DO280" s="1669">
        <v>0</v>
      </c>
      <c r="DP280" s="687">
        <f>DN280+DO280*DW$303</f>
        <v>0</v>
      </c>
      <c r="DQ280" s="1669">
        <v>5</v>
      </c>
      <c r="DR280" s="1669">
        <v>0</v>
      </c>
      <c r="DS280" s="1658">
        <f>DQ280+DR280*DW$303</f>
        <v>5</v>
      </c>
      <c r="DT280" s="566"/>
      <c r="DU280" s="668"/>
      <c r="DV280" s="685"/>
      <c r="DW280" s="668"/>
      <c r="DX280" s="668"/>
      <c r="DY280" s="701"/>
      <c r="DZ280" s="566"/>
      <c r="EA280" s="668"/>
      <c r="EB280" s="685"/>
      <c r="EC280" s="668"/>
      <c r="ED280" s="668"/>
      <c r="EE280" s="701"/>
      <c r="EF280" s="196">
        <f t="shared" si="412"/>
        <v>42</v>
      </c>
      <c r="EG280" s="224"/>
      <c r="EH280" s="579">
        <f t="shared" si="295"/>
        <v>42</v>
      </c>
      <c r="EI280" s="602">
        <f t="shared" si="413"/>
        <v>1.7948717948717947</v>
      </c>
      <c r="EJ280" s="602">
        <f t="shared" si="414"/>
        <v>0.19047619047619047</v>
      </c>
      <c r="EK280" s="579">
        <f t="shared" si="296"/>
        <v>42</v>
      </c>
      <c r="EL280" s="602">
        <f t="shared" si="351"/>
        <v>4.3</v>
      </c>
      <c r="EM280" s="602">
        <f t="shared" si="352"/>
        <v>0.5</v>
      </c>
      <c r="EN280" s="579">
        <f t="shared" si="297"/>
        <v>42</v>
      </c>
      <c r="EO280" s="602">
        <f t="shared" si="377"/>
        <v>0.22916666666666669</v>
      </c>
      <c r="EP280" s="602">
        <f t="shared" si="378"/>
        <v>2.0833333333333332E-2</v>
      </c>
      <c r="EQ280" s="580"/>
      <c r="ER280" s="580"/>
      <c r="ES280" s="519"/>
      <c r="ET280" s="519"/>
      <c r="EU280" s="580"/>
      <c r="EV280" s="580"/>
      <c r="EW280" s="580"/>
      <c r="EX280" s="580"/>
      <c r="EY280" s="580"/>
      <c r="EZ280" s="580"/>
      <c r="FA280" s="580"/>
      <c r="FB280" s="580"/>
      <c r="FC280" s="580"/>
      <c r="FD280" s="580"/>
      <c r="FE280" s="580"/>
      <c r="FF280" s="580"/>
      <c r="FG280" s="580"/>
      <c r="FH280" s="580"/>
    </row>
    <row r="281" spans="1:164" x14ac:dyDescent="0.2">
      <c r="A281" s="159">
        <v>43</v>
      </c>
      <c r="B281" s="261"/>
      <c r="C281" s="262"/>
      <c r="D281" s="264"/>
      <c r="E281" s="265"/>
      <c r="F281" s="263">
        <f>F222*F164</f>
        <v>25</v>
      </c>
      <c r="G281" s="263">
        <f>F222*G164</f>
        <v>0</v>
      </c>
      <c r="H281" s="261"/>
      <c r="I281" s="262"/>
      <c r="J281" s="270">
        <f>J222*J162</f>
        <v>0.5</v>
      </c>
      <c r="K281" s="270">
        <f>J222*K162</f>
        <v>0.5</v>
      </c>
      <c r="L281" s="261"/>
      <c r="M281" s="262"/>
      <c r="N281" s="270">
        <f>N222*F164</f>
        <v>3</v>
      </c>
      <c r="O281" s="270">
        <f>N222*G164</f>
        <v>0</v>
      </c>
      <c r="P281" s="261"/>
      <c r="Q281" s="262"/>
      <c r="R281" s="263"/>
      <c r="S281" s="263"/>
      <c r="T281" s="264"/>
      <c r="U281" s="265"/>
      <c r="V281" s="263"/>
      <c r="W281" s="263"/>
      <c r="X281" s="261"/>
      <c r="Y281" s="262"/>
      <c r="Z281" s="263">
        <f>Z222*Z164</f>
        <v>0.66666666666666663</v>
      </c>
      <c r="AA281" s="263">
        <f>Z222*AA164</f>
        <v>0.33333333333333331</v>
      </c>
      <c r="AB281" s="261"/>
      <c r="AC281" s="262"/>
      <c r="AD281" s="263">
        <f t="shared" si="420"/>
        <v>0</v>
      </c>
      <c r="AE281" s="265">
        <f t="shared" si="421"/>
        <v>0</v>
      </c>
      <c r="AF281" s="268">
        <f>AF222*AD164</f>
        <v>0</v>
      </c>
      <c r="AG281" s="269">
        <f>AF222*AE164</f>
        <v>1</v>
      </c>
      <c r="AH281" s="224">
        <f>AH222*AH164</f>
        <v>0</v>
      </c>
      <c r="AI281" s="275">
        <f>AH222*AI164</f>
        <v>0</v>
      </c>
      <c r="AJ281" s="224">
        <f t="shared" si="449"/>
        <v>0</v>
      </c>
      <c r="AK281" s="262">
        <f t="shared" si="450"/>
        <v>0</v>
      </c>
      <c r="AL281" s="185">
        <f t="shared" si="437"/>
        <v>0</v>
      </c>
      <c r="AM281" s="185">
        <f t="shared" si="438"/>
        <v>0</v>
      </c>
      <c r="AN281" s="261">
        <f t="shared" si="430"/>
        <v>0</v>
      </c>
      <c r="AO281" s="262">
        <f t="shared" si="431"/>
        <v>0</v>
      </c>
      <c r="AP281" s="185"/>
      <c r="AQ281" s="185"/>
      <c r="AR281" s="261">
        <f t="shared" si="432"/>
        <v>0</v>
      </c>
      <c r="AS281" s="262">
        <f t="shared" si="433"/>
        <v>0</v>
      </c>
      <c r="AT281" s="263">
        <f t="shared" si="404"/>
        <v>0</v>
      </c>
      <c r="AU281" s="263">
        <f t="shared" si="405"/>
        <v>0</v>
      </c>
      <c r="AV281" s="261">
        <f>AV222*AV164</f>
        <v>0</v>
      </c>
      <c r="AW281" s="262">
        <f>AV222*AW164</f>
        <v>0</v>
      </c>
      <c r="AX281" s="185"/>
      <c r="AY281" s="185"/>
      <c r="AZ281" s="264">
        <f t="shared" si="395"/>
        <v>3.2</v>
      </c>
      <c r="BA281" s="265">
        <f t="shared" si="396"/>
        <v>0.8</v>
      </c>
      <c r="BB281" s="261">
        <f t="shared" si="434"/>
        <v>0</v>
      </c>
      <c r="BC281" s="262">
        <f>BB222*BC164</f>
        <v>0</v>
      </c>
      <c r="BD281" s="261"/>
      <c r="BE281" s="262"/>
      <c r="BF281" s="211"/>
      <c r="BG281" s="196"/>
      <c r="BH281" s="691"/>
      <c r="BI281" s="196"/>
      <c r="BJ281" s="196"/>
      <c r="BK281" s="691"/>
      <c r="BL281" s="261"/>
      <c r="BM281" s="224"/>
      <c r="BN281" s="686"/>
      <c r="BO281" s="224"/>
      <c r="BP281" s="224"/>
      <c r="BQ281" s="701"/>
      <c r="BR281" s="261"/>
      <c r="BS281" s="224"/>
      <c r="BT281" s="686"/>
      <c r="BU281" s="224"/>
      <c r="BV281" s="224"/>
      <c r="BW281" s="701"/>
      <c r="BX281" s="261"/>
      <c r="BY281" s="224"/>
      <c r="BZ281" s="686"/>
      <c r="CA281" s="224"/>
      <c r="CB281" s="224"/>
      <c r="CC281" s="701"/>
      <c r="CD281" s="261"/>
      <c r="CE281" s="224"/>
      <c r="CF281" s="686"/>
      <c r="CG281" s="224"/>
      <c r="CH281" s="224"/>
      <c r="CI281" s="701"/>
      <c r="CJ281" s="261"/>
      <c r="CK281" s="224"/>
      <c r="CL281" s="686"/>
      <c r="CM281" s="224"/>
      <c r="CN281" s="224"/>
      <c r="CO281" s="701"/>
      <c r="CP281" s="261"/>
      <c r="CQ281" s="224"/>
      <c r="CR281" s="686"/>
      <c r="CS281" s="224"/>
      <c r="CT281" s="224"/>
      <c r="CU281" s="701"/>
      <c r="CV281" s="1565"/>
      <c r="CW281" s="686"/>
      <c r="CX281" s="686"/>
      <c r="CY281" s="686"/>
      <c r="CZ281" s="686"/>
      <c r="DA281" s="701"/>
      <c r="DB281" s="261"/>
      <c r="DC281" s="224"/>
      <c r="DD281" s="686"/>
      <c r="DE281" s="686"/>
      <c r="DF281" s="686"/>
      <c r="DG281" s="701"/>
      <c r="DH281" s="261"/>
      <c r="DI281" s="224"/>
      <c r="DJ281" s="686"/>
      <c r="DK281" s="224"/>
      <c r="DL281" s="224"/>
      <c r="DM281" s="701"/>
      <c r="DN281" s="261"/>
      <c r="DO281" s="224"/>
      <c r="DP281" s="686"/>
      <c r="DQ281" s="224"/>
      <c r="DR281" s="224"/>
      <c r="DS281" s="701"/>
      <c r="DT281" s="261"/>
      <c r="DU281" s="224"/>
      <c r="DV281" s="686"/>
      <c r="DW281" s="224"/>
      <c r="DX281" s="224"/>
      <c r="DY281" s="701"/>
      <c r="DZ281" s="261"/>
      <c r="EA281" s="224"/>
      <c r="EB281" s="686"/>
      <c r="EC281" s="224"/>
      <c r="ED281" s="224"/>
      <c r="EE281" s="701"/>
      <c r="EF281" s="196">
        <f t="shared" si="412"/>
        <v>43</v>
      </c>
      <c r="EG281" s="224"/>
      <c r="EH281" s="579">
        <f t="shared" si="295"/>
        <v>43</v>
      </c>
      <c r="EI281" s="602">
        <f t="shared" si="413"/>
        <v>2.157777777777778</v>
      </c>
      <c r="EJ281" s="602">
        <f t="shared" si="414"/>
        <v>0.16458333333333333</v>
      </c>
      <c r="EK281" s="579">
        <f t="shared" si="296"/>
        <v>43</v>
      </c>
      <c r="EL281" s="602">
        <f t="shared" si="351"/>
        <v>4.166666666666667</v>
      </c>
      <c r="EM281" s="602">
        <f t="shared" si="352"/>
        <v>0.26190476190476192</v>
      </c>
      <c r="EN281" s="579">
        <f t="shared" si="297"/>
        <v>43</v>
      </c>
      <c r="EO281" s="602">
        <f t="shared" si="377"/>
        <v>0.4</v>
      </c>
      <c r="EP281" s="602">
        <f t="shared" si="378"/>
        <v>0.1</v>
      </c>
      <c r="EQ281" s="580"/>
      <c r="ER281" s="580"/>
      <c r="ES281" s="519"/>
      <c r="ET281" s="519"/>
      <c r="EU281" s="580"/>
      <c r="EV281" s="580"/>
      <c r="EW281" s="580"/>
      <c r="EX281" s="580"/>
      <c r="EY281" s="580"/>
      <c r="EZ281" s="580"/>
      <c r="FA281" s="580"/>
      <c r="FB281" s="580"/>
      <c r="FC281" s="580"/>
      <c r="FD281" s="580"/>
      <c r="FE281" s="580"/>
      <c r="FF281" s="580"/>
      <c r="FG281" s="580"/>
      <c r="FH281" s="580"/>
    </row>
    <row r="282" spans="1:164" x14ac:dyDescent="0.2">
      <c r="A282" s="169">
        <v>44</v>
      </c>
      <c r="B282" s="177"/>
      <c r="C282" s="280"/>
      <c r="D282" s="289">
        <f>D223*D165</f>
        <v>5</v>
      </c>
      <c r="E282" s="290">
        <f>D223*E165</f>
        <v>0</v>
      </c>
      <c r="F282" s="291">
        <f>F223*F165</f>
        <v>18</v>
      </c>
      <c r="G282" s="291">
        <f>F223*G165</f>
        <v>0</v>
      </c>
      <c r="H282" s="177"/>
      <c r="I282" s="280"/>
      <c r="J282" s="281">
        <f>J223*J165</f>
        <v>0</v>
      </c>
      <c r="K282" s="281">
        <f>J223*K165</f>
        <v>0</v>
      </c>
      <c r="L282" s="177">
        <f>L223*L165</f>
        <v>0</v>
      </c>
      <c r="M282" s="280">
        <f>L223*M165</f>
        <v>0</v>
      </c>
      <c r="N282" s="292">
        <f>N223*F165</f>
        <v>8</v>
      </c>
      <c r="O282" s="292">
        <f>N223*G165</f>
        <v>0</v>
      </c>
      <c r="P282" s="293">
        <f>P223*F165</f>
        <v>2</v>
      </c>
      <c r="Q282" s="294">
        <f>P223*G165</f>
        <v>0</v>
      </c>
      <c r="R282" s="292">
        <f>R223*R164</f>
        <v>5</v>
      </c>
      <c r="S282" s="292">
        <f>R223*S164</f>
        <v>0</v>
      </c>
      <c r="T282" s="289"/>
      <c r="U282" s="290"/>
      <c r="V282" s="292">
        <f>V223*V164</f>
        <v>3</v>
      </c>
      <c r="W282" s="292">
        <f>V223*W164</f>
        <v>0</v>
      </c>
      <c r="X282" s="177"/>
      <c r="Y282" s="280"/>
      <c r="Z282" s="281">
        <f>Z223*Z165</f>
        <v>0</v>
      </c>
      <c r="AA282" s="281">
        <f>Z223*AA165</f>
        <v>0</v>
      </c>
      <c r="AB282" s="177">
        <f t="shared" si="428"/>
        <v>0</v>
      </c>
      <c r="AC282" s="280">
        <f t="shared" si="429"/>
        <v>0</v>
      </c>
      <c r="AD282" s="292">
        <f>AD223*AD164</f>
        <v>0</v>
      </c>
      <c r="AE282" s="294">
        <f>AD223*AE164</f>
        <v>1</v>
      </c>
      <c r="AF282" s="281">
        <f t="shared" ref="AF282:AF289" si="461">AF223*AF165</f>
        <v>0</v>
      </c>
      <c r="AG282" s="280">
        <f t="shared" ref="AG282:AG289" si="462">AF223*AG165</f>
        <v>0</v>
      </c>
      <c r="AH282" s="292">
        <f>AH223*AH163</f>
        <v>0.66666666666666663</v>
      </c>
      <c r="AI282" s="295">
        <f>AH223*AI163</f>
        <v>0.33333333333333331</v>
      </c>
      <c r="AJ282" s="283"/>
      <c r="AK282" s="280"/>
      <c r="AL282" s="291">
        <f t="shared" si="437"/>
        <v>0</v>
      </c>
      <c r="AM282" s="291">
        <f t="shared" si="438"/>
        <v>0</v>
      </c>
      <c r="AN282" s="177">
        <f t="shared" si="430"/>
        <v>0</v>
      </c>
      <c r="AO282" s="280">
        <f t="shared" si="431"/>
        <v>0</v>
      </c>
      <c r="AP282" s="281"/>
      <c r="AQ282" s="281"/>
      <c r="AR282" s="177">
        <f t="shared" si="432"/>
        <v>0</v>
      </c>
      <c r="AS282" s="280">
        <f t="shared" si="433"/>
        <v>0</v>
      </c>
      <c r="AT282" s="292">
        <f>AT223*AT164</f>
        <v>3</v>
      </c>
      <c r="AU282" s="292">
        <f>AT223*AU164</f>
        <v>0</v>
      </c>
      <c r="AV282" s="177">
        <f>AV223*AV165</f>
        <v>0</v>
      </c>
      <c r="AW282" s="280">
        <f>AV223*AW165</f>
        <v>0</v>
      </c>
      <c r="AX282" s="292">
        <f>AX223*AX169</f>
        <v>3</v>
      </c>
      <c r="AY282" s="292">
        <f>AX223*AY169</f>
        <v>0</v>
      </c>
      <c r="AZ282" s="177"/>
      <c r="BA282" s="280"/>
      <c r="BB282" s="177"/>
      <c r="BC282" s="280"/>
      <c r="BD282" s="177"/>
      <c r="BE282" s="280"/>
      <c r="BF282" s="235"/>
      <c r="BG282" s="237"/>
      <c r="BH282" s="692"/>
      <c r="BI282" s="237"/>
      <c r="BJ282" s="237"/>
      <c r="BK282" s="692"/>
      <c r="BL282" s="177"/>
      <c r="BM282" s="281"/>
      <c r="BN282" s="688"/>
      <c r="BO282" s="281"/>
      <c r="BP282" s="281"/>
      <c r="BQ282" s="702"/>
      <c r="BR282" s="177"/>
      <c r="BS282" s="281"/>
      <c r="BT282" s="688"/>
      <c r="BU282" s="281"/>
      <c r="BV282" s="281"/>
      <c r="BW282" s="702"/>
      <c r="BX282" s="177"/>
      <c r="BY282" s="281"/>
      <c r="BZ282" s="688"/>
      <c r="CA282" s="281"/>
      <c r="CB282" s="281"/>
      <c r="CC282" s="702"/>
      <c r="CD282" s="177"/>
      <c r="CE282" s="281"/>
      <c r="CF282" s="688"/>
      <c r="CG282" s="281"/>
      <c r="CH282" s="281"/>
      <c r="CI282" s="702"/>
      <c r="CJ282" s="177"/>
      <c r="CK282" s="281"/>
      <c r="CL282" s="688"/>
      <c r="CM282" s="281"/>
      <c r="CN282" s="281"/>
      <c r="CO282" s="702"/>
      <c r="CP282" s="177"/>
      <c r="CQ282" s="281"/>
      <c r="CR282" s="688"/>
      <c r="CS282" s="281"/>
      <c r="CT282" s="281"/>
      <c r="CU282" s="702"/>
      <c r="CV282" s="1566"/>
      <c r="CW282" s="688"/>
      <c r="CX282" s="688"/>
      <c r="CY282" s="688"/>
      <c r="CZ282" s="688"/>
      <c r="DA282" s="702"/>
      <c r="DB282" s="1566"/>
      <c r="DC282" s="688"/>
      <c r="DD282" s="688"/>
      <c r="DE282" s="688"/>
      <c r="DF282" s="688"/>
      <c r="DG282" s="702"/>
      <c r="DH282" s="177"/>
      <c r="DI282" s="281"/>
      <c r="DJ282" s="688"/>
      <c r="DK282" s="281"/>
      <c r="DL282" s="281"/>
      <c r="DM282" s="702"/>
      <c r="DN282" s="177"/>
      <c r="DO282" s="281"/>
      <c r="DP282" s="688"/>
      <c r="DQ282" s="281"/>
      <c r="DR282" s="281"/>
      <c r="DS282" s="702"/>
      <c r="DT282" s="177"/>
      <c r="DU282" s="281"/>
      <c r="DV282" s="688"/>
      <c r="DW282" s="281"/>
      <c r="DX282" s="281"/>
      <c r="DY282" s="702"/>
      <c r="DZ282" s="177"/>
      <c r="EA282" s="281"/>
      <c r="EB282" s="688"/>
      <c r="EC282" s="281"/>
      <c r="ED282" s="281"/>
      <c r="EE282" s="702"/>
      <c r="EF282" s="237">
        <f t="shared" si="412"/>
        <v>44</v>
      </c>
      <c r="EG282" s="224"/>
      <c r="EH282" s="579">
        <f t="shared" si="295"/>
        <v>44</v>
      </c>
      <c r="EI282" s="602">
        <f t="shared" si="413"/>
        <v>2.3703703703703702</v>
      </c>
      <c r="EJ282" s="602">
        <f t="shared" si="414"/>
        <v>6.6666666666666666E-2</v>
      </c>
      <c r="EK282" s="579">
        <f t="shared" si="296"/>
        <v>44</v>
      </c>
      <c r="EL282" s="602">
        <f t="shared" si="351"/>
        <v>3.2051282051282048</v>
      </c>
      <c r="EM282" s="602">
        <f t="shared" si="352"/>
        <v>0.10256410256410256</v>
      </c>
      <c r="EN282" s="579">
        <f t="shared" si="297"/>
        <v>44</v>
      </c>
      <c r="EO282" s="602">
        <f t="shared" si="377"/>
        <v>1</v>
      </c>
      <c r="EP282" s="602">
        <f t="shared" si="378"/>
        <v>0</v>
      </c>
      <c r="EQ282" s="580"/>
      <c r="ER282" s="580"/>
      <c r="ES282" s="519"/>
      <c r="ET282" s="519"/>
      <c r="EU282" s="580"/>
      <c r="EV282" s="580"/>
      <c r="EW282" s="580"/>
      <c r="EX282" s="580"/>
      <c r="EY282" s="580"/>
      <c r="EZ282" s="580"/>
      <c r="FA282" s="580"/>
      <c r="FB282" s="580"/>
      <c r="FC282" s="580"/>
      <c r="FD282" s="580"/>
      <c r="FE282" s="580"/>
      <c r="FF282" s="580"/>
      <c r="FG282" s="580"/>
      <c r="FH282" s="580"/>
    </row>
    <row r="283" spans="1:164" x14ac:dyDescent="0.2">
      <c r="A283" s="173">
        <v>45</v>
      </c>
      <c r="B283" s="261"/>
      <c r="C283" s="262"/>
      <c r="D283" s="264">
        <f>D224*D166</f>
        <v>2</v>
      </c>
      <c r="E283" s="265">
        <f>D224*E166</f>
        <v>1</v>
      </c>
      <c r="F283" s="268">
        <f>F224*F165</f>
        <v>6</v>
      </c>
      <c r="G283" s="268">
        <f>F224*G165</f>
        <v>0</v>
      </c>
      <c r="H283" s="261"/>
      <c r="I283" s="262"/>
      <c r="J283" s="268">
        <f>J224*D166</f>
        <v>0.66666666666666663</v>
      </c>
      <c r="K283" s="268">
        <f>J224*E166</f>
        <v>0.33333333333333331</v>
      </c>
      <c r="L283" s="261">
        <f>L224*L166</f>
        <v>0</v>
      </c>
      <c r="M283" s="262">
        <f>L224*M166</f>
        <v>0</v>
      </c>
      <c r="N283" s="224">
        <f>N224*N166</f>
        <v>0</v>
      </c>
      <c r="O283" s="224">
        <f>N224*O166</f>
        <v>0</v>
      </c>
      <c r="P283" s="261">
        <f>P224*P166</f>
        <v>0</v>
      </c>
      <c r="Q283" s="262">
        <f>P224*Q166</f>
        <v>0</v>
      </c>
      <c r="R283" s="268">
        <f>R224*R164</f>
        <v>1</v>
      </c>
      <c r="S283" s="268">
        <f>R224*S164</f>
        <v>0</v>
      </c>
      <c r="T283" s="261">
        <f>T224*T166</f>
        <v>0</v>
      </c>
      <c r="U283" s="262">
        <f>T224*U166</f>
        <v>0</v>
      </c>
      <c r="V283" s="273">
        <f>V224*V166</f>
        <v>0</v>
      </c>
      <c r="W283" s="273">
        <f>V224*W166</f>
        <v>0</v>
      </c>
      <c r="X283" s="261">
        <f>X224*X166</f>
        <v>0</v>
      </c>
      <c r="Y283" s="262">
        <f>X224*Y166</f>
        <v>0</v>
      </c>
      <c r="Z283" s="273">
        <f>Z224*Z166</f>
        <v>0</v>
      </c>
      <c r="AA283" s="273">
        <f>Z224*AA166</f>
        <v>0</v>
      </c>
      <c r="AB283" s="261">
        <f t="shared" si="428"/>
        <v>0</v>
      </c>
      <c r="AC283" s="262">
        <f t="shared" si="429"/>
        <v>0</v>
      </c>
      <c r="AD283" s="224">
        <f>AD224*AD166</f>
        <v>0</v>
      </c>
      <c r="AE283" s="262">
        <f>AD224*AE166</f>
        <v>0</v>
      </c>
      <c r="AF283" s="224">
        <f t="shared" si="461"/>
        <v>0</v>
      </c>
      <c r="AG283" s="262">
        <f t="shared" si="462"/>
        <v>0</v>
      </c>
      <c r="AH283" s="224">
        <f>AH224*AH166</f>
        <v>0</v>
      </c>
      <c r="AI283" s="275">
        <f>AH224*AI166</f>
        <v>0</v>
      </c>
      <c r="AJ283" s="273">
        <f t="shared" si="449"/>
        <v>1</v>
      </c>
      <c r="AK283" s="265">
        <f t="shared" si="450"/>
        <v>0</v>
      </c>
      <c r="AL283" s="224">
        <f t="shared" si="437"/>
        <v>0</v>
      </c>
      <c r="AM283" s="224">
        <f t="shared" si="438"/>
        <v>0</v>
      </c>
      <c r="AN283" s="261">
        <f t="shared" si="430"/>
        <v>0</v>
      </c>
      <c r="AO283" s="262">
        <f t="shared" si="431"/>
        <v>0</v>
      </c>
      <c r="AP283" s="224">
        <f>AP224*AP166</f>
        <v>0</v>
      </c>
      <c r="AQ283" s="224">
        <f>AP224*AQ166</f>
        <v>0</v>
      </c>
      <c r="AR283" s="261"/>
      <c r="AS283" s="262"/>
      <c r="AT283" s="273">
        <f>AT224*AT166</f>
        <v>2</v>
      </c>
      <c r="AU283" s="273">
        <f>AT224*AU166</f>
        <v>0</v>
      </c>
      <c r="AV283" s="274">
        <f>AV224*AV167</f>
        <v>3</v>
      </c>
      <c r="AW283" s="269">
        <f>AV224*AW167</f>
        <v>0</v>
      </c>
      <c r="AX283" s="224">
        <f t="shared" ref="AX283:AX291" si="463">AX224*AX166</f>
        <v>0</v>
      </c>
      <c r="AY283" s="224">
        <f t="shared" ref="AY283:AY291" si="464">AX224*AY166</f>
        <v>0</v>
      </c>
      <c r="AZ283" s="261"/>
      <c r="BA283" s="262"/>
      <c r="BB283" s="261"/>
      <c r="BC283" s="262"/>
      <c r="BD283" s="271"/>
      <c r="BE283" s="267"/>
      <c r="BF283" s="217"/>
      <c r="BG283" s="218"/>
      <c r="BH283" s="693"/>
      <c r="BI283" s="218"/>
      <c r="BJ283" s="218"/>
      <c r="BK283" s="693"/>
      <c r="BL283" s="271"/>
      <c r="BM283" s="266"/>
      <c r="BN283" s="686"/>
      <c r="BO283" s="224"/>
      <c r="BP283" s="224"/>
      <c r="BQ283" s="701"/>
      <c r="BR283" s="271"/>
      <c r="BS283" s="266"/>
      <c r="BT283" s="686"/>
      <c r="BU283" s="224"/>
      <c r="BV283" s="224"/>
      <c r="BW283" s="701"/>
      <c r="BX283" s="271"/>
      <c r="BY283" s="266"/>
      <c r="BZ283" s="686"/>
      <c r="CA283" s="224"/>
      <c r="CB283" s="224"/>
      <c r="CC283" s="701"/>
      <c r="CD283" s="271"/>
      <c r="CE283" s="266"/>
      <c r="CF283" s="686"/>
      <c r="CG283" s="224"/>
      <c r="CH283" s="224"/>
      <c r="CI283" s="701"/>
      <c r="CJ283" s="271"/>
      <c r="CK283" s="266"/>
      <c r="CL283" s="686"/>
      <c r="CM283" s="224"/>
      <c r="CN283" s="224"/>
      <c r="CO283" s="701"/>
      <c r="CP283" s="271"/>
      <c r="CQ283" s="266"/>
      <c r="CR283" s="686"/>
      <c r="CS283" s="224"/>
      <c r="CT283" s="224"/>
      <c r="CU283" s="701"/>
      <c r="CV283" s="1565"/>
      <c r="CW283" s="686"/>
      <c r="CX283" s="686"/>
      <c r="CY283" s="686"/>
      <c r="CZ283" s="686"/>
      <c r="DA283" s="701"/>
      <c r="DB283" s="1565"/>
      <c r="DC283" s="686"/>
      <c r="DD283" s="686"/>
      <c r="DE283" s="686"/>
      <c r="DF283" s="686"/>
      <c r="DG283" s="701"/>
      <c r="DH283" s="261"/>
      <c r="DI283" s="224"/>
      <c r="DJ283" s="686"/>
      <c r="DK283" s="224"/>
      <c r="DL283" s="224"/>
      <c r="DM283" s="701"/>
      <c r="DN283" s="261"/>
      <c r="DO283" s="224"/>
      <c r="DP283" s="686"/>
      <c r="DQ283" s="224"/>
      <c r="DR283" s="224"/>
      <c r="DS283" s="701"/>
      <c r="DT283" s="261"/>
      <c r="DU283" s="224"/>
      <c r="DV283" s="686"/>
      <c r="DW283" s="224"/>
      <c r="DX283" s="224"/>
      <c r="DY283" s="701"/>
      <c r="DZ283" s="261"/>
      <c r="EA283" s="224"/>
      <c r="EB283" s="686"/>
      <c r="EC283" s="224"/>
      <c r="ED283" s="224"/>
      <c r="EE283" s="701"/>
      <c r="EF283" s="196">
        <f t="shared" si="412"/>
        <v>45</v>
      </c>
      <c r="EG283" s="224"/>
      <c r="EH283" s="579">
        <f t="shared" si="295"/>
        <v>45</v>
      </c>
      <c r="EI283" s="602">
        <f t="shared" si="413"/>
        <v>0.65079365079365081</v>
      </c>
      <c r="EJ283" s="602">
        <f t="shared" si="414"/>
        <v>5.7971014492753617E-2</v>
      </c>
      <c r="EK283" s="579">
        <f t="shared" si="296"/>
        <v>45</v>
      </c>
      <c r="EL283" s="602">
        <f t="shared" si="351"/>
        <v>0.64444444444444438</v>
      </c>
      <c r="EM283" s="602">
        <f t="shared" si="352"/>
        <v>8.8888888888888878E-2</v>
      </c>
      <c r="EN283" s="579">
        <f t="shared" si="297"/>
        <v>45</v>
      </c>
      <c r="EO283" s="602">
        <f t="shared" si="377"/>
        <v>0.8571428571428571</v>
      </c>
      <c r="EP283" s="602">
        <f t="shared" si="378"/>
        <v>0</v>
      </c>
      <c r="EQ283" s="580"/>
      <c r="ER283" s="580"/>
      <c r="ES283" s="519"/>
      <c r="ET283" s="519"/>
      <c r="EU283" s="580"/>
      <c r="EV283" s="580"/>
      <c r="EW283" s="580"/>
      <c r="EX283" s="580"/>
      <c r="EY283" s="580"/>
      <c r="EZ283" s="580"/>
      <c r="FA283" s="580"/>
      <c r="FB283" s="580"/>
      <c r="FC283" s="580"/>
      <c r="FD283" s="580"/>
      <c r="FE283" s="580"/>
      <c r="FF283" s="580"/>
      <c r="FG283" s="580"/>
      <c r="FH283" s="580"/>
    </row>
    <row r="284" spans="1:164" x14ac:dyDescent="0.2">
      <c r="A284" s="173">
        <v>46</v>
      </c>
      <c r="B284" s="224"/>
      <c r="C284" s="262"/>
      <c r="D284" s="268">
        <f>D225*D166</f>
        <v>21.333333333333332</v>
      </c>
      <c r="E284" s="269">
        <f>D225*E166</f>
        <v>10.666666666666666</v>
      </c>
      <c r="F284" s="273">
        <f>F225*F167</f>
        <v>11</v>
      </c>
      <c r="G284" s="265">
        <f>F225*G167</f>
        <v>0</v>
      </c>
      <c r="H284" s="224">
        <f>H225*H167</f>
        <v>0</v>
      </c>
      <c r="I284" s="262">
        <f>H225*I167</f>
        <v>0</v>
      </c>
      <c r="J284" s="224">
        <f t="shared" ref="J284:J291" si="465">J225*J167</f>
        <v>0</v>
      </c>
      <c r="K284" s="262">
        <f t="shared" ref="K284:K291" si="466">J225*K167</f>
        <v>0</v>
      </c>
      <c r="L284" s="268">
        <f>L225*L170</f>
        <v>3.625</v>
      </c>
      <c r="M284" s="269">
        <f>L225*M170</f>
        <v>0.375</v>
      </c>
      <c r="N284" s="268">
        <f>N225*N170</f>
        <v>0.93333333333333335</v>
      </c>
      <c r="O284" s="269">
        <f>N225*O170</f>
        <v>6.6666666666666666E-2</v>
      </c>
      <c r="P284" s="268">
        <f>P225*F167</f>
        <v>4</v>
      </c>
      <c r="Q284" s="269">
        <f>P225*G167</f>
        <v>0</v>
      </c>
      <c r="R284" s="268">
        <f>R225*R164</f>
        <v>1</v>
      </c>
      <c r="S284" s="269">
        <f>R225*S164</f>
        <v>0</v>
      </c>
      <c r="T284" s="224">
        <f>T225*T167</f>
        <v>0</v>
      </c>
      <c r="U284" s="262">
        <f>T225*U167</f>
        <v>0</v>
      </c>
      <c r="V284" s="268">
        <f>V225*V166</f>
        <v>3</v>
      </c>
      <c r="W284" s="269">
        <f>V225*W166</f>
        <v>0</v>
      </c>
      <c r="X284" s="268">
        <f>X225*V168</f>
        <v>3</v>
      </c>
      <c r="Y284" s="269">
        <f>X225*W168</f>
        <v>0</v>
      </c>
      <c r="Z284" s="224">
        <f>Z225*Z167</f>
        <v>0</v>
      </c>
      <c r="AA284" s="262">
        <f>Z225*AA167</f>
        <v>0</v>
      </c>
      <c r="AB284" s="224">
        <f t="shared" si="428"/>
        <v>0</v>
      </c>
      <c r="AC284" s="262">
        <f t="shared" si="429"/>
        <v>0</v>
      </c>
      <c r="AD284" s="224">
        <f>AD225*AD167</f>
        <v>0</v>
      </c>
      <c r="AE284" s="262">
        <f>AD225*AE167</f>
        <v>0</v>
      </c>
      <c r="AF284" s="224">
        <f t="shared" si="461"/>
        <v>0</v>
      </c>
      <c r="AG284" s="262">
        <f t="shared" si="462"/>
        <v>0</v>
      </c>
      <c r="AH284" s="224">
        <f>AH225*AH167</f>
        <v>0</v>
      </c>
      <c r="AI284" s="275">
        <f>AH225*AI167</f>
        <v>0</v>
      </c>
      <c r="AJ284" s="224">
        <f t="shared" si="449"/>
        <v>0</v>
      </c>
      <c r="AK284" s="224">
        <f t="shared" si="450"/>
        <v>0</v>
      </c>
      <c r="AL284" s="224">
        <f t="shared" si="437"/>
        <v>0</v>
      </c>
      <c r="AM284" s="262">
        <f t="shared" si="438"/>
        <v>0</v>
      </c>
      <c r="AN284" s="224">
        <f t="shared" si="430"/>
        <v>0</v>
      </c>
      <c r="AO284" s="262">
        <f t="shared" si="431"/>
        <v>0</v>
      </c>
      <c r="AP284" s="224">
        <f>AP225*AP167</f>
        <v>0</v>
      </c>
      <c r="AQ284" s="262">
        <f>AP225*AQ167</f>
        <v>0</v>
      </c>
      <c r="AR284" s="224">
        <f t="shared" si="432"/>
        <v>0</v>
      </c>
      <c r="AS284" s="262">
        <f t="shared" si="433"/>
        <v>0</v>
      </c>
      <c r="AT284" s="224">
        <f>AT225*AT167</f>
        <v>0</v>
      </c>
      <c r="AU284" s="262">
        <f>AT225*AU167</f>
        <v>0</v>
      </c>
      <c r="AV284" s="296">
        <v>1</v>
      </c>
      <c r="AW284" s="277">
        <f>AV225*AW167</f>
        <v>0</v>
      </c>
      <c r="AX284" s="224"/>
      <c r="AY284" s="262"/>
      <c r="AZ284" s="224"/>
      <c r="BA284" s="262"/>
      <c r="BB284" s="224"/>
      <c r="BC284" s="262"/>
      <c r="BD284" s="261"/>
      <c r="BE284" s="262"/>
      <c r="BF284" s="211"/>
      <c r="BG284" s="196"/>
      <c r="BH284" s="691"/>
      <c r="BI284" s="196"/>
      <c r="BJ284" s="196"/>
      <c r="BK284" s="691"/>
      <c r="BL284" s="261"/>
      <c r="BM284" s="224"/>
      <c r="BN284" s="686"/>
      <c r="BO284" s="224"/>
      <c r="BP284" s="224"/>
      <c r="BQ284" s="701"/>
      <c r="BR284" s="261"/>
      <c r="BS284" s="224"/>
      <c r="BT284" s="686"/>
      <c r="BU284" s="224"/>
      <c r="BV284" s="224"/>
      <c r="BW284" s="701"/>
      <c r="BX284" s="261"/>
      <c r="BY284" s="224"/>
      <c r="BZ284" s="686"/>
      <c r="CA284" s="224"/>
      <c r="CB284" s="224"/>
      <c r="CC284" s="701"/>
      <c r="CD284" s="261"/>
      <c r="CE284" s="224"/>
      <c r="CF284" s="686"/>
      <c r="CG284" s="224"/>
      <c r="CH284" s="224"/>
      <c r="CI284" s="701"/>
      <c r="CJ284" s="261"/>
      <c r="CK284" s="224"/>
      <c r="CL284" s="686"/>
      <c r="CM284" s="224"/>
      <c r="CN284" s="224"/>
      <c r="CO284" s="701"/>
      <c r="CP284" s="261"/>
      <c r="CQ284" s="224"/>
      <c r="CR284" s="686"/>
      <c r="CS284" s="224"/>
      <c r="CT284" s="224"/>
      <c r="CU284" s="701"/>
      <c r="CV284" s="1565"/>
      <c r="CW284" s="686"/>
      <c r="CX284" s="686"/>
      <c r="CY284" s="686"/>
      <c r="CZ284" s="686"/>
      <c r="DA284" s="701"/>
      <c r="DB284" s="1565"/>
      <c r="DC284" s="686"/>
      <c r="DD284" s="686"/>
      <c r="DE284" s="686"/>
      <c r="DF284" s="686"/>
      <c r="DG284" s="701"/>
      <c r="DH284" s="261"/>
      <c r="DI284" s="224"/>
      <c r="DJ284" s="686"/>
      <c r="DK284" s="224"/>
      <c r="DL284" s="224"/>
      <c r="DM284" s="701"/>
      <c r="DN284" s="261"/>
      <c r="DO284" s="224"/>
      <c r="DP284" s="686"/>
      <c r="DQ284" s="224"/>
      <c r="DR284" s="224"/>
      <c r="DS284" s="701"/>
      <c r="DT284" s="261"/>
      <c r="DU284" s="224"/>
      <c r="DV284" s="686"/>
      <c r="DW284" s="224"/>
      <c r="DX284" s="224"/>
      <c r="DY284" s="701"/>
      <c r="DZ284" s="261"/>
      <c r="EA284" s="224"/>
      <c r="EB284" s="686"/>
      <c r="EC284" s="224"/>
      <c r="ED284" s="224"/>
      <c r="EE284" s="701"/>
      <c r="EF284" s="196">
        <f t="shared" si="412"/>
        <v>46</v>
      </c>
      <c r="EG284" s="224"/>
      <c r="EH284" s="579">
        <f t="shared" si="295"/>
        <v>46</v>
      </c>
      <c r="EI284" s="602">
        <f t="shared" si="413"/>
        <v>1.2526515151515152</v>
      </c>
      <c r="EJ284" s="602">
        <f t="shared" si="414"/>
        <v>0.46284722222222219</v>
      </c>
      <c r="EK284" s="579">
        <f t="shared" si="296"/>
        <v>46</v>
      </c>
      <c r="EL284" s="602">
        <f t="shared" si="351"/>
        <v>2.9932291666666662</v>
      </c>
      <c r="EM284" s="602">
        <f t="shared" si="352"/>
        <v>0.69427083333333328</v>
      </c>
      <c r="EN284" s="579">
        <f t="shared" si="297"/>
        <v>46</v>
      </c>
      <c r="EO284" s="602">
        <f t="shared" si="377"/>
        <v>0.14285714285714285</v>
      </c>
      <c r="EP284" s="602">
        <f t="shared" si="378"/>
        <v>0</v>
      </c>
      <c r="EQ284" s="580"/>
      <c r="ER284" s="580"/>
      <c r="ES284" s="519"/>
      <c r="ET284" s="519"/>
      <c r="EU284" s="580"/>
      <c r="EV284" s="580"/>
      <c r="EW284" s="580"/>
      <c r="EX284" s="580"/>
      <c r="EY284" s="580"/>
      <c r="EZ284" s="580"/>
      <c r="FA284" s="580"/>
      <c r="FB284" s="580"/>
      <c r="FC284" s="580"/>
      <c r="FD284" s="580"/>
      <c r="FE284" s="580"/>
      <c r="FF284" s="580"/>
      <c r="FG284" s="580"/>
      <c r="FH284" s="580"/>
    </row>
    <row r="285" spans="1:164" x14ac:dyDescent="0.2">
      <c r="A285" s="180">
        <v>47</v>
      </c>
      <c r="B285" s="261"/>
      <c r="C285" s="262"/>
      <c r="D285" s="274">
        <f>D226*D166</f>
        <v>43.333333333333329</v>
      </c>
      <c r="E285" s="269">
        <f>D226*E166</f>
        <v>21.666666666666664</v>
      </c>
      <c r="F285" s="270">
        <f>F226*F167</f>
        <v>36</v>
      </c>
      <c r="G285" s="270">
        <f>F226*G167</f>
        <v>0</v>
      </c>
      <c r="H285" s="274">
        <f>H226*F167</f>
        <v>13</v>
      </c>
      <c r="I285" s="269">
        <f>H226*G167</f>
        <v>0</v>
      </c>
      <c r="J285" s="185"/>
      <c r="K285" s="185"/>
      <c r="L285" s="261"/>
      <c r="M285" s="262"/>
      <c r="N285" s="270">
        <f>N226*N170</f>
        <v>11.2</v>
      </c>
      <c r="O285" s="270">
        <f>N226*O170</f>
        <v>0.8</v>
      </c>
      <c r="P285" s="274">
        <f>P226*V168</f>
        <v>3</v>
      </c>
      <c r="Q285" s="269">
        <f>P226*W168</f>
        <v>0</v>
      </c>
      <c r="R285" s="185"/>
      <c r="S285" s="185"/>
      <c r="T285" s="274">
        <f>T226*T171</f>
        <v>3</v>
      </c>
      <c r="U285" s="269">
        <f>T226*U171</f>
        <v>0</v>
      </c>
      <c r="V285" s="263">
        <f>V226*V168</f>
        <v>7</v>
      </c>
      <c r="W285" s="263">
        <f>V226*W168</f>
        <v>0</v>
      </c>
      <c r="X285" s="274">
        <f>X226*V168</f>
        <v>1</v>
      </c>
      <c r="Y285" s="269">
        <f>X226*W168</f>
        <v>0</v>
      </c>
      <c r="Z285" s="270">
        <f>Z226*V168</f>
        <v>2</v>
      </c>
      <c r="AA285" s="270">
        <f>Z226*W168</f>
        <v>0</v>
      </c>
      <c r="AB285" s="261"/>
      <c r="AC285" s="262"/>
      <c r="AD285" s="185">
        <f>AD226*AD168</f>
        <v>0</v>
      </c>
      <c r="AE285" s="262">
        <f>AD226*AE168</f>
        <v>0</v>
      </c>
      <c r="AF285" s="224"/>
      <c r="AG285" s="262"/>
      <c r="AH285" s="224"/>
      <c r="AI285" s="275"/>
      <c r="AJ285" s="224">
        <f t="shared" si="449"/>
        <v>0</v>
      </c>
      <c r="AK285" s="262">
        <f t="shared" si="450"/>
        <v>0</v>
      </c>
      <c r="AL285" s="276">
        <v>1</v>
      </c>
      <c r="AM285" s="276">
        <f>AL226*AM168</f>
        <v>0</v>
      </c>
      <c r="AN285" s="261">
        <f t="shared" si="430"/>
        <v>0</v>
      </c>
      <c r="AO285" s="262">
        <f t="shared" si="431"/>
        <v>0</v>
      </c>
      <c r="AP285" s="185"/>
      <c r="AQ285" s="185"/>
      <c r="AR285" s="274">
        <f>AR226*AR170</f>
        <v>1</v>
      </c>
      <c r="AS285" s="269">
        <f>AR226*AS170</f>
        <v>0</v>
      </c>
      <c r="AT285" s="185">
        <f>AT226*AT168</f>
        <v>0</v>
      </c>
      <c r="AU285" s="185">
        <f>AT226*AU168</f>
        <v>0</v>
      </c>
      <c r="AV285" s="261">
        <f>AV226*AV168</f>
        <v>0</v>
      </c>
      <c r="AW285" s="262">
        <f>AV226*AW168</f>
        <v>0</v>
      </c>
      <c r="AX285" s="185"/>
      <c r="AY285" s="185"/>
      <c r="AZ285" s="261"/>
      <c r="BA285" s="262"/>
      <c r="BB285" s="261"/>
      <c r="BC285" s="262"/>
      <c r="BD285" s="261"/>
      <c r="BE285" s="262"/>
      <c r="BF285" s="211"/>
      <c r="BG285" s="196"/>
      <c r="BH285" s="691"/>
      <c r="BI285" s="196"/>
      <c r="BJ285" s="196"/>
      <c r="BK285" s="691"/>
      <c r="BL285" s="261"/>
      <c r="BM285" s="224"/>
      <c r="BN285" s="686"/>
      <c r="BO285" s="224"/>
      <c r="BP285" s="224"/>
      <c r="BQ285" s="701"/>
      <c r="BR285" s="261"/>
      <c r="BS285" s="224"/>
      <c r="BT285" s="686"/>
      <c r="BU285" s="224"/>
      <c r="BV285" s="224"/>
      <c r="BW285" s="701"/>
      <c r="BX285" s="261"/>
      <c r="BY285" s="224"/>
      <c r="BZ285" s="686"/>
      <c r="CA285" s="224"/>
      <c r="CB285" s="224"/>
      <c r="CC285" s="701"/>
      <c r="CD285" s="261"/>
      <c r="CE285" s="224"/>
      <c r="CF285" s="686"/>
      <c r="CG285" s="224"/>
      <c r="CH285" s="224"/>
      <c r="CI285" s="701"/>
      <c r="CJ285" s="261">
        <v>1</v>
      </c>
      <c r="CK285" s="224">
        <v>0</v>
      </c>
      <c r="CL285" s="687">
        <f t="shared" ref="CL285" si="467">CJ285+CK285*CS$303</f>
        <v>1</v>
      </c>
      <c r="CM285" s="224">
        <v>0</v>
      </c>
      <c r="CN285" s="224">
        <v>0</v>
      </c>
      <c r="CO285" s="697">
        <f>CM285+CN285*CS$303</f>
        <v>0</v>
      </c>
      <c r="CP285" s="261"/>
      <c r="CQ285" s="224"/>
      <c r="CR285" s="686"/>
      <c r="CS285" s="224"/>
      <c r="CT285" s="224"/>
      <c r="CU285" s="701"/>
      <c r="CV285" s="1565"/>
      <c r="CW285" s="686"/>
      <c r="CX285" s="686"/>
      <c r="CY285" s="686"/>
      <c r="CZ285" s="686"/>
      <c r="DA285" s="701"/>
      <c r="DB285" s="1565"/>
      <c r="DC285" s="686"/>
      <c r="DD285" s="686"/>
      <c r="DE285" s="686"/>
      <c r="DF285" s="686"/>
      <c r="DG285" s="701"/>
      <c r="DH285" s="261"/>
      <c r="DI285" s="224"/>
      <c r="DJ285" s="686"/>
      <c r="DK285" s="224"/>
      <c r="DL285" s="224"/>
      <c r="DM285" s="701"/>
      <c r="DN285" s="261"/>
      <c r="DO285" s="224"/>
      <c r="DP285" s="686"/>
      <c r="DQ285" s="224"/>
      <c r="DR285" s="224"/>
      <c r="DS285" s="701"/>
      <c r="DT285" s="261"/>
      <c r="DU285" s="224"/>
      <c r="DV285" s="686"/>
      <c r="DW285" s="224"/>
      <c r="DX285" s="224"/>
      <c r="DY285" s="701"/>
      <c r="DZ285" s="261"/>
      <c r="EA285" s="224"/>
      <c r="EB285" s="686"/>
      <c r="EC285" s="224"/>
      <c r="ED285" s="224"/>
      <c r="EE285" s="701"/>
      <c r="EF285" s="196">
        <f t="shared" si="412"/>
        <v>47</v>
      </c>
      <c r="EG285" s="224"/>
      <c r="EH285" s="579">
        <f t="shared" si="295"/>
        <v>47</v>
      </c>
      <c r="EI285" s="602">
        <f t="shared" si="413"/>
        <v>5.2133333333333338</v>
      </c>
      <c r="EJ285" s="602">
        <f t="shared" si="414"/>
        <v>1.3215686274509804</v>
      </c>
      <c r="EK285" s="579">
        <f t="shared" si="296"/>
        <v>47</v>
      </c>
      <c r="EL285" s="602">
        <f t="shared" si="351"/>
        <v>11.953333333333333</v>
      </c>
      <c r="EM285" s="602">
        <f t="shared" si="352"/>
        <v>2.2466666666666666</v>
      </c>
      <c r="EN285" s="579">
        <f t="shared" si="297"/>
        <v>47</v>
      </c>
      <c r="EO285" s="602">
        <f t="shared" si="377"/>
        <v>0.33333333333333331</v>
      </c>
      <c r="EP285" s="602">
        <f t="shared" si="378"/>
        <v>0</v>
      </c>
      <c r="EQ285" s="580"/>
      <c r="ER285" s="580"/>
      <c r="ES285" s="519"/>
      <c r="ET285" s="519"/>
      <c r="EU285" s="580"/>
      <c r="EV285" s="580"/>
      <c r="EW285" s="580"/>
      <c r="EX285" s="580"/>
      <c r="EY285" s="580"/>
      <c r="EZ285" s="580"/>
      <c r="FA285" s="580"/>
      <c r="FB285" s="580"/>
      <c r="FC285" s="580"/>
      <c r="FD285" s="580"/>
      <c r="FE285" s="580"/>
      <c r="FF285" s="580"/>
      <c r="FG285" s="580"/>
      <c r="FH285" s="580"/>
    </row>
    <row r="286" spans="1:164" x14ac:dyDescent="0.2">
      <c r="A286" s="180">
        <v>48</v>
      </c>
      <c r="B286" s="261"/>
      <c r="C286" s="262"/>
      <c r="D286" s="274">
        <f>D227*D172</f>
        <v>121.5364238410596</v>
      </c>
      <c r="E286" s="269">
        <f>D227*E172</f>
        <v>2.4635761589403975</v>
      </c>
      <c r="F286" s="270">
        <f>F227*F171</f>
        <v>134.71666666666667</v>
      </c>
      <c r="G286" s="270">
        <f>F227*G171</f>
        <v>2.2833333333333332</v>
      </c>
      <c r="H286" s="261"/>
      <c r="I286" s="262"/>
      <c r="J286" s="185"/>
      <c r="K286" s="185"/>
      <c r="L286" s="261"/>
      <c r="M286" s="262"/>
      <c r="N286" s="185"/>
      <c r="O286" s="185"/>
      <c r="P286" s="274">
        <f>P227*P172</f>
        <v>0.98</v>
      </c>
      <c r="Q286" s="269">
        <f>P227*Q172</f>
        <v>0.02</v>
      </c>
      <c r="R286" s="185"/>
      <c r="S286" s="185"/>
      <c r="T286" s="274">
        <f>T227*T171</f>
        <v>3</v>
      </c>
      <c r="U286" s="269">
        <f>T227*U171</f>
        <v>0</v>
      </c>
      <c r="V286" s="270">
        <f>V227*V168</f>
        <v>3</v>
      </c>
      <c r="W286" s="270">
        <f>V227*W168</f>
        <v>0</v>
      </c>
      <c r="X286" s="261"/>
      <c r="Y286" s="262"/>
      <c r="Z286" s="185">
        <f>Z227*Z169</f>
        <v>0</v>
      </c>
      <c r="AA286" s="185">
        <f t="shared" ref="AA286:AA291" si="468">Z227*AA169</f>
        <v>0</v>
      </c>
      <c r="AB286" s="261"/>
      <c r="AC286" s="262"/>
      <c r="AD286" s="185"/>
      <c r="AE286" s="262"/>
      <c r="AF286" s="224">
        <f t="shared" si="461"/>
        <v>0</v>
      </c>
      <c r="AG286" s="262">
        <f t="shared" si="462"/>
        <v>0</v>
      </c>
      <c r="AH286" s="224"/>
      <c r="AI286" s="275"/>
      <c r="AJ286" s="224">
        <f t="shared" si="449"/>
        <v>0</v>
      </c>
      <c r="AK286" s="262">
        <f t="shared" si="450"/>
        <v>0</v>
      </c>
      <c r="AL286" s="185">
        <f>AL227*AL169</f>
        <v>0</v>
      </c>
      <c r="AM286" s="185">
        <f t="shared" si="438"/>
        <v>0</v>
      </c>
      <c r="AN286" s="274">
        <f>AN227*AN171</f>
        <v>5</v>
      </c>
      <c r="AO286" s="269">
        <f>AN227*AO171</f>
        <v>0</v>
      </c>
      <c r="AP286" s="185"/>
      <c r="AQ286" s="185"/>
      <c r="AR286" s="274">
        <f>AR227*AR170</f>
        <v>3</v>
      </c>
      <c r="AS286" s="269">
        <f>AR227*AS170</f>
        <v>0</v>
      </c>
      <c r="AT286" s="270">
        <f>AT227*AT170</f>
        <v>36</v>
      </c>
      <c r="AU286" s="270">
        <f>AT227*AU170</f>
        <v>0</v>
      </c>
      <c r="AV286" s="261">
        <f>AV227*AV169</f>
        <v>0</v>
      </c>
      <c r="AW286" s="262">
        <f>AV227*AW169</f>
        <v>0</v>
      </c>
      <c r="AX286" s="263">
        <f t="shared" si="463"/>
        <v>2</v>
      </c>
      <c r="AY286" s="263">
        <f t="shared" si="464"/>
        <v>0</v>
      </c>
      <c r="AZ286" s="261"/>
      <c r="BA286" s="262"/>
      <c r="BB286" s="261"/>
      <c r="BC286" s="262"/>
      <c r="BD286" s="261"/>
      <c r="BE286" s="262"/>
      <c r="BF286" s="211"/>
      <c r="BG286" s="196"/>
      <c r="BH286" s="691"/>
      <c r="BI286" s="196"/>
      <c r="BJ286" s="196"/>
      <c r="BK286" s="691"/>
      <c r="BL286" s="261"/>
      <c r="BM286" s="224"/>
      <c r="BN286" s="686"/>
      <c r="BO286" s="224"/>
      <c r="BP286" s="224"/>
      <c r="BQ286" s="701"/>
      <c r="BR286" s="261"/>
      <c r="BS286" s="224"/>
      <c r="BT286" s="686"/>
      <c r="BU286" s="224"/>
      <c r="BV286" s="224"/>
      <c r="BW286" s="701"/>
      <c r="BX286" s="261"/>
      <c r="BY286" s="224"/>
      <c r="BZ286" s="686"/>
      <c r="CA286" s="224"/>
      <c r="CB286" s="224"/>
      <c r="CC286" s="701"/>
      <c r="CD286" s="261"/>
      <c r="CE286" s="224"/>
      <c r="CF286" s="686"/>
      <c r="CG286" s="224"/>
      <c r="CH286" s="224"/>
      <c r="CI286" s="701"/>
      <c r="CJ286" s="261"/>
      <c r="CK286" s="224"/>
      <c r="CL286" s="686"/>
      <c r="CM286" s="224"/>
      <c r="CN286" s="224"/>
      <c r="CO286" s="701"/>
      <c r="CP286" s="261"/>
      <c r="CQ286" s="224"/>
      <c r="CR286" s="686"/>
      <c r="CS286" s="224"/>
      <c r="CT286" s="224"/>
      <c r="CU286" s="701"/>
      <c r="CV286" s="1565"/>
      <c r="CW286" s="686"/>
      <c r="CX286" s="686"/>
      <c r="CY286" s="686"/>
      <c r="CZ286" s="686"/>
      <c r="DA286" s="701"/>
      <c r="DB286" s="1565"/>
      <c r="DC286" s="686"/>
      <c r="DD286" s="686"/>
      <c r="DE286" s="686"/>
      <c r="DF286" s="686"/>
      <c r="DG286" s="701"/>
      <c r="DH286" s="261"/>
      <c r="DI286" s="224"/>
      <c r="DJ286" s="686"/>
      <c r="DK286" s="224"/>
      <c r="DL286" s="224"/>
      <c r="DM286" s="701"/>
      <c r="DN286" s="261"/>
      <c r="DO286" s="224"/>
      <c r="DP286" s="686"/>
      <c r="DQ286" s="224"/>
      <c r="DR286" s="224"/>
      <c r="DS286" s="701"/>
      <c r="DT286" s="261"/>
      <c r="DU286" s="224"/>
      <c r="DV286" s="686"/>
      <c r="DW286" s="224"/>
      <c r="DX286" s="224"/>
      <c r="DY286" s="701"/>
      <c r="DZ286" s="261"/>
      <c r="EA286" s="224"/>
      <c r="EB286" s="686"/>
      <c r="EC286" s="224"/>
      <c r="ED286" s="224"/>
      <c r="EE286" s="701"/>
      <c r="EF286" s="196">
        <f t="shared" si="412"/>
        <v>48</v>
      </c>
      <c r="EG286" s="224"/>
      <c r="EH286" s="579">
        <f t="shared" si="295"/>
        <v>48</v>
      </c>
      <c r="EI286" s="602">
        <f t="shared" si="413"/>
        <v>14.438205128205128</v>
      </c>
      <c r="EJ286" s="602">
        <f t="shared" si="414"/>
        <v>0.31779396615158201</v>
      </c>
      <c r="EK286" s="579">
        <f t="shared" si="296"/>
        <v>48</v>
      </c>
      <c r="EL286" s="602">
        <f t="shared" si="351"/>
        <v>37.604727215389467</v>
      </c>
      <c r="EM286" s="602">
        <f t="shared" si="352"/>
        <v>0.68098707032481864</v>
      </c>
      <c r="EN286" s="579">
        <f t="shared" si="297"/>
        <v>48</v>
      </c>
      <c r="EO286" s="602">
        <f t="shared" si="377"/>
        <v>6.5714285714285712</v>
      </c>
      <c r="EP286" s="602">
        <f t="shared" si="378"/>
        <v>0</v>
      </c>
      <c r="EQ286" s="580"/>
      <c r="ER286" s="580"/>
      <c r="ES286" s="519"/>
      <c r="ET286" s="519"/>
      <c r="EU286" s="580"/>
      <c r="EV286" s="580"/>
      <c r="EW286" s="580"/>
      <c r="EX286" s="580"/>
      <c r="EY286" s="580"/>
      <c r="EZ286" s="580"/>
      <c r="FA286" s="580"/>
      <c r="FB286" s="580"/>
      <c r="FC286" s="580"/>
      <c r="FD286" s="580"/>
      <c r="FE286" s="580"/>
      <c r="FF286" s="580"/>
      <c r="FG286" s="580"/>
      <c r="FH286" s="580"/>
    </row>
    <row r="287" spans="1:164" x14ac:dyDescent="0.2">
      <c r="A287" s="180">
        <v>49</v>
      </c>
      <c r="B287" s="264">
        <f>B228*B170</f>
        <v>0</v>
      </c>
      <c r="C287" s="265">
        <f>B228*C170</f>
        <v>0</v>
      </c>
      <c r="D287" s="274">
        <f>D228*D172</f>
        <v>76.450331125827816</v>
      </c>
      <c r="E287" s="269">
        <f>D228*E172</f>
        <v>1.5496688741721856</v>
      </c>
      <c r="F287" s="270">
        <f>F228*F171</f>
        <v>13.766666666666666</v>
      </c>
      <c r="G287" s="270">
        <f>F228*G171</f>
        <v>0.23333333333333334</v>
      </c>
      <c r="H287" s="261"/>
      <c r="I287" s="262"/>
      <c r="J287" s="185"/>
      <c r="K287" s="185"/>
      <c r="L287" s="264">
        <f>L228*L170</f>
        <v>27.1875</v>
      </c>
      <c r="M287" s="265">
        <f>L228*M170</f>
        <v>2.8125</v>
      </c>
      <c r="N287" s="263">
        <f>N228*N170</f>
        <v>70</v>
      </c>
      <c r="O287" s="263">
        <f>N228*O170</f>
        <v>5</v>
      </c>
      <c r="P287" s="274">
        <f>P228*P172</f>
        <v>10.78</v>
      </c>
      <c r="Q287" s="269">
        <f>P228*Q172</f>
        <v>0.22</v>
      </c>
      <c r="R287" s="185"/>
      <c r="S287" s="185"/>
      <c r="T287" s="274">
        <f>T228*T171</f>
        <v>7</v>
      </c>
      <c r="U287" s="269">
        <f>T228*U171</f>
        <v>0</v>
      </c>
      <c r="V287" s="185"/>
      <c r="W287" s="185"/>
      <c r="X287" s="261"/>
      <c r="Y287" s="262"/>
      <c r="Z287" s="185">
        <f>Z228*Z170</f>
        <v>0</v>
      </c>
      <c r="AA287" s="185">
        <f t="shared" si="468"/>
        <v>0</v>
      </c>
      <c r="AB287" s="261"/>
      <c r="AC287" s="262"/>
      <c r="AD287" s="185">
        <f>AD228*AD170</f>
        <v>0</v>
      </c>
      <c r="AE287" s="262">
        <f>AD228*AE170</f>
        <v>0</v>
      </c>
      <c r="AF287" s="224">
        <f t="shared" si="461"/>
        <v>0</v>
      </c>
      <c r="AG287" s="262">
        <f t="shared" si="462"/>
        <v>0</v>
      </c>
      <c r="AH287" s="224"/>
      <c r="AI287" s="275"/>
      <c r="AJ287" s="273">
        <f t="shared" si="449"/>
        <v>37</v>
      </c>
      <c r="AK287" s="265">
        <f t="shared" si="450"/>
        <v>3</v>
      </c>
      <c r="AL287" s="270">
        <f>AL228*AL172</f>
        <v>4</v>
      </c>
      <c r="AM287" s="270">
        <f>AL228*AM172</f>
        <v>5</v>
      </c>
      <c r="AN287" s="274">
        <f>AN228*AN171</f>
        <v>32</v>
      </c>
      <c r="AO287" s="269">
        <f>AN228*AO171</f>
        <v>0</v>
      </c>
      <c r="AP287" s="185">
        <f>AP228*AP170</f>
        <v>0</v>
      </c>
      <c r="AQ287" s="185">
        <f>AP228*AQ170</f>
        <v>0</v>
      </c>
      <c r="AR287" s="264">
        <f>AR228*AR170</f>
        <v>12</v>
      </c>
      <c r="AS287" s="265">
        <f>AR228*AS170</f>
        <v>0</v>
      </c>
      <c r="AT287" s="263">
        <f>AT228*AT170</f>
        <v>4</v>
      </c>
      <c r="AU287" s="263">
        <f>AT228*AU170</f>
        <v>0</v>
      </c>
      <c r="AV287" s="261"/>
      <c r="AW287" s="262"/>
      <c r="AX287" s="263">
        <f t="shared" si="463"/>
        <v>1</v>
      </c>
      <c r="AY287" s="263">
        <f t="shared" si="464"/>
        <v>0</v>
      </c>
      <c r="AZ287" s="261"/>
      <c r="BA287" s="262"/>
      <c r="BB287" s="261"/>
      <c r="BC287" s="262"/>
      <c r="BD287" s="261"/>
      <c r="BE287" s="262"/>
      <c r="BF287" s="211"/>
      <c r="BG287" s="196"/>
      <c r="BH287" s="691"/>
      <c r="BI287" s="196"/>
      <c r="BJ287" s="196"/>
      <c r="BK287" s="698"/>
      <c r="BL287" s="261"/>
      <c r="BM287" s="224"/>
      <c r="BN287" s="686"/>
      <c r="BO287" s="224"/>
      <c r="BP287" s="224"/>
      <c r="BQ287" s="701"/>
      <c r="BR287" s="261"/>
      <c r="BS287" s="224"/>
      <c r="BT287" s="686"/>
      <c r="BU287" s="224"/>
      <c r="BV287" s="224"/>
      <c r="BW287" s="701"/>
      <c r="BX287" s="576">
        <f t="shared" ref="BX287:BX288" si="469">BX170*$BX228+IF(SUM($BX111:$BZ111)&gt;0, BZ170*$BX228*(BX111/SUM($BX111:$BY111)),0)</f>
        <v>1</v>
      </c>
      <c r="BY287" s="670">
        <f t="shared" ref="BY287:BY288" si="470">BY170*$BX228+IF(SUM($BX111:$BZ111)&gt;0, BZ170*$BX228*(BY111/SUM($BX111:$BY111)),0)</f>
        <v>0</v>
      </c>
      <c r="BZ287" s="687">
        <f t="shared" ref="BZ287:BZ288" si="471">BX287+BY287*CG$303</f>
        <v>1</v>
      </c>
      <c r="CA287" s="670">
        <f t="shared" ref="CA287:CA288" si="472">CA170*$BX228+IF(SUM($CA111:$CC111)&gt;0, CC170*$BX228*(CA111/SUM($CA111:$CB111)))</f>
        <v>0</v>
      </c>
      <c r="CB287" s="670">
        <f t="shared" ref="CB287:CB288" si="473">CB170*$BX228+IF(SUM($CA111:$CC111)&gt;0, CC170*$BX228*(CB111/SUM($CA111:$CB111)))</f>
        <v>0</v>
      </c>
      <c r="CC287" s="697">
        <f>CA287+CB287*CG$303</f>
        <v>0</v>
      </c>
      <c r="CD287" s="261"/>
      <c r="CE287" s="224"/>
      <c r="CF287" s="686"/>
      <c r="CG287" s="224"/>
      <c r="CH287" s="224"/>
      <c r="CI287" s="701"/>
      <c r="CJ287" s="261"/>
      <c r="CK287" s="224"/>
      <c r="CL287" s="686"/>
      <c r="CM287" s="224"/>
      <c r="CN287" s="224"/>
      <c r="CO287" s="701"/>
      <c r="CP287" s="261"/>
      <c r="CQ287" s="224"/>
      <c r="CR287" s="686"/>
      <c r="CS287" s="224"/>
      <c r="CT287" s="224"/>
      <c r="CU287" s="701"/>
      <c r="CV287" s="1565"/>
      <c r="CW287" s="686"/>
      <c r="CX287" s="686"/>
      <c r="CY287" s="686"/>
      <c r="CZ287" s="686"/>
      <c r="DA287" s="701"/>
      <c r="DB287" s="1565"/>
      <c r="DC287" s="686"/>
      <c r="DD287" s="686"/>
      <c r="DE287" s="686"/>
      <c r="DF287" s="686"/>
      <c r="DG287" s="701"/>
      <c r="DH287" s="261"/>
      <c r="DI287" s="224"/>
      <c r="DJ287" s="686"/>
      <c r="DK287" s="224"/>
      <c r="DL287" s="224"/>
      <c r="DM287" s="701"/>
      <c r="DN287" s="261"/>
      <c r="DO287" s="224"/>
      <c r="DP287" s="686"/>
      <c r="DQ287" s="224"/>
      <c r="DR287" s="224"/>
      <c r="DS287" s="701"/>
      <c r="DT287" s="261"/>
      <c r="DU287" s="224"/>
      <c r="DV287" s="686"/>
      <c r="DW287" s="224"/>
      <c r="DX287" s="224"/>
      <c r="DY287" s="701"/>
      <c r="DZ287" s="261"/>
      <c r="EA287" s="224"/>
      <c r="EB287" s="686"/>
      <c r="EC287" s="224"/>
      <c r="ED287" s="224"/>
      <c r="EE287" s="701"/>
      <c r="EF287" s="196">
        <f t="shared" si="412"/>
        <v>49</v>
      </c>
      <c r="EG287" s="224"/>
      <c r="EH287" s="579">
        <f t="shared" si="295"/>
        <v>49</v>
      </c>
      <c r="EI287" s="602">
        <f t="shared" si="413"/>
        <v>14.582277777777779</v>
      </c>
      <c r="EJ287" s="602">
        <f t="shared" si="414"/>
        <v>1.0479707180885598</v>
      </c>
      <c r="EK287" s="579">
        <f t="shared" si="296"/>
        <v>49</v>
      </c>
      <c r="EL287" s="602">
        <f t="shared" si="351"/>
        <v>22.798277532499387</v>
      </c>
      <c r="EM287" s="602">
        <f t="shared" si="352"/>
        <v>1.0906113563895021</v>
      </c>
      <c r="EN287" s="579">
        <f t="shared" si="297"/>
        <v>49</v>
      </c>
      <c r="EO287" s="602">
        <f t="shared" si="377"/>
        <v>12.857142857142858</v>
      </c>
      <c r="EP287" s="602">
        <f t="shared" si="378"/>
        <v>1.1428571428571428</v>
      </c>
      <c r="EQ287" s="580"/>
      <c r="ER287" s="580"/>
      <c r="ES287" s="519"/>
      <c r="ET287" s="519"/>
      <c r="EU287" s="580"/>
      <c r="EV287" s="580"/>
      <c r="EW287" s="580"/>
      <c r="EX287" s="580"/>
      <c r="EY287" s="580"/>
      <c r="EZ287" s="580"/>
      <c r="FA287" s="580"/>
      <c r="FB287" s="580"/>
      <c r="FC287" s="580"/>
      <c r="FD287" s="580"/>
      <c r="FE287" s="580"/>
      <c r="FF287" s="580"/>
      <c r="FG287" s="580"/>
      <c r="FH287" s="580"/>
    </row>
    <row r="288" spans="1:164" x14ac:dyDescent="0.2">
      <c r="A288" s="180">
        <v>50</v>
      </c>
      <c r="B288" s="261">
        <f>B229*B171</f>
        <v>0</v>
      </c>
      <c r="C288" s="262">
        <f>B229*C171</f>
        <v>0</v>
      </c>
      <c r="D288" s="261"/>
      <c r="E288" s="262"/>
      <c r="F288" s="263">
        <f>F229*F171</f>
        <v>198.63333333333333</v>
      </c>
      <c r="G288" s="263">
        <f>F229*G171</f>
        <v>3.3666666666666667</v>
      </c>
      <c r="H288" s="274">
        <f>H229*H172</f>
        <v>230.44444444444443</v>
      </c>
      <c r="I288" s="269">
        <f>H229*I172</f>
        <v>13.555555555555555</v>
      </c>
      <c r="J288" s="263">
        <f t="shared" si="465"/>
        <v>244.99065420560748</v>
      </c>
      <c r="K288" s="263">
        <f t="shared" si="466"/>
        <v>12.009345794392523</v>
      </c>
      <c r="L288" s="264">
        <f>L229*L171</f>
        <v>215.18110236220471</v>
      </c>
      <c r="M288" s="265">
        <f>L229*M171</f>
        <v>8.8188976377952759</v>
      </c>
      <c r="N288" s="263">
        <f>N229*N171</f>
        <v>263.2</v>
      </c>
      <c r="O288" s="263">
        <f>N229*O171</f>
        <v>18.8</v>
      </c>
      <c r="P288" s="274">
        <f>P229*P172</f>
        <v>94.08</v>
      </c>
      <c r="Q288" s="269">
        <f>P229*Q172</f>
        <v>1.92</v>
      </c>
      <c r="R288" s="263">
        <f>R229*R171</f>
        <v>18</v>
      </c>
      <c r="S288" s="263">
        <f>R229*S171</f>
        <v>0</v>
      </c>
      <c r="T288" s="264">
        <f>T229*T171</f>
        <v>35</v>
      </c>
      <c r="U288" s="265">
        <f>T229*U171</f>
        <v>0</v>
      </c>
      <c r="V288" s="185"/>
      <c r="W288" s="185"/>
      <c r="X288" s="264">
        <f>X229*X171</f>
        <v>37</v>
      </c>
      <c r="Y288" s="265">
        <f>X229*Y171</f>
        <v>0</v>
      </c>
      <c r="Z288" s="276">
        <v>10</v>
      </c>
      <c r="AA288" s="276">
        <f t="shared" si="468"/>
        <v>0</v>
      </c>
      <c r="AB288" s="261">
        <f t="shared" si="428"/>
        <v>0</v>
      </c>
      <c r="AC288" s="262">
        <f t="shared" si="429"/>
        <v>0</v>
      </c>
      <c r="AD288" s="270">
        <f>AD229*X171</f>
        <v>7</v>
      </c>
      <c r="AE288" s="269">
        <f>AD229*Y171</f>
        <v>0</v>
      </c>
      <c r="AF288" s="224">
        <f t="shared" si="461"/>
        <v>0</v>
      </c>
      <c r="AG288" s="262">
        <f t="shared" si="462"/>
        <v>0</v>
      </c>
      <c r="AH288" s="268">
        <f>AH229*X171</f>
        <v>35</v>
      </c>
      <c r="AI288" s="272">
        <f>AH229*Y171</f>
        <v>0</v>
      </c>
      <c r="AJ288" s="273">
        <f t="shared" si="449"/>
        <v>75</v>
      </c>
      <c r="AK288" s="265">
        <f t="shared" si="450"/>
        <v>0</v>
      </c>
      <c r="AL288" s="270">
        <f>AL229*AL172</f>
        <v>7.1111111111111107</v>
      </c>
      <c r="AM288" s="270">
        <f>AL229*AM172</f>
        <v>8.8888888888888893</v>
      </c>
      <c r="AN288" s="264">
        <f>AN229*AN171</f>
        <v>71</v>
      </c>
      <c r="AO288" s="265">
        <f>AN229*AO171</f>
        <v>0</v>
      </c>
      <c r="AP288" s="263">
        <f>AP229*AP171</f>
        <v>24</v>
      </c>
      <c r="AQ288" s="263">
        <f>AP229*AQ171</f>
        <v>0</v>
      </c>
      <c r="AR288" s="264">
        <f>AR229*AR171</f>
        <v>6</v>
      </c>
      <c r="AS288" s="265">
        <f>AR229*AS171</f>
        <v>0</v>
      </c>
      <c r="AT288" s="263">
        <f>AT229*AT171</f>
        <v>45</v>
      </c>
      <c r="AU288" s="263">
        <f>AT229*AU171</f>
        <v>0</v>
      </c>
      <c r="AV288" s="264">
        <f>AV229*AV171</f>
        <v>54</v>
      </c>
      <c r="AW288" s="265">
        <f>AV229*AW171</f>
        <v>0</v>
      </c>
      <c r="AX288" s="270">
        <f>AX229*AX172</f>
        <v>15</v>
      </c>
      <c r="AY288" s="270">
        <f>AX229*AY172</f>
        <v>0</v>
      </c>
      <c r="AZ288" s="264">
        <f t="shared" si="395"/>
        <v>15</v>
      </c>
      <c r="BA288" s="265">
        <f t="shared" si="396"/>
        <v>2</v>
      </c>
      <c r="BB288" s="274">
        <f>BB229*AZ171</f>
        <v>75.882352941176464</v>
      </c>
      <c r="BC288" s="269">
        <f>BB229*BA171</f>
        <v>10.117647058823529</v>
      </c>
      <c r="BD288" s="274">
        <f>BD229*BD172</f>
        <v>26</v>
      </c>
      <c r="BE288" s="269">
        <f>BD229*BE172</f>
        <v>0</v>
      </c>
      <c r="BF288" s="576">
        <f>BF171*$BF229+IF(SUM($BF112:$BH112)&gt;0,BH171*$BF229*(BF112/SUM($BF112:$BG112)))</f>
        <v>11.272727272727273</v>
      </c>
      <c r="BG288" s="670">
        <f>BG171*$BF229+IF(SUM($BF112:$BH112)&gt;0,BH171*$BF229*(BG112/SUM($BF112:$BG112)))</f>
        <v>0</v>
      </c>
      <c r="BH288" s="683">
        <f t="shared" ref="BH288:BH290" si="474">BF288+BG288*BO$303</f>
        <v>11.272727272727273</v>
      </c>
      <c r="BI288" s="670">
        <f>BI171*$BF229+IF(SUM($BI112:$BK112)&gt;0,BK171*$BF229*(BI112/SUM($BI112:$BJ112)))</f>
        <v>19.72727272727273</v>
      </c>
      <c r="BJ288" s="670">
        <f>BJ171*$BF229+IF(SUM($BI112:$BK112)&gt;0,BK171*$BF229*(BJ112/SUM($BI112:$BJ112)))</f>
        <v>0</v>
      </c>
      <c r="BK288" s="687">
        <f>BI288+BJ288*BO$303</f>
        <v>19.72727272727273</v>
      </c>
      <c r="BL288" s="573">
        <f>BL170*$BL229+IF(SUM($BL111:$BN111)&gt;0, BN170*$BL229*(BL111/SUM($BL111:$BM111)),0)</f>
        <v>8</v>
      </c>
      <c r="BM288" s="667">
        <f>BM170*$BL229+IF(SUM($BL111:$BN111)&gt;0, BN170*$BL229*(BM111/SUM($BL111:$BM111)),0)</f>
        <v>0</v>
      </c>
      <c r="BN288" s="684">
        <f>BL288+BM288*BU$303</f>
        <v>8</v>
      </c>
      <c r="BO288" s="667">
        <f>BO170*$BL229+IF(SUM($BO111:$BP111)&gt;0, BQ170*$BL229*(BO111/SUM($BO111:$BP111)))</f>
        <v>0</v>
      </c>
      <c r="BP288" s="667">
        <f>BP170*$BL229+IF(SUM($BO111:$BQ111)&gt;0, BQ170*$BL229*(BP111/SUM($BO111:$BP111)))</f>
        <v>0</v>
      </c>
      <c r="BQ288" s="979">
        <f>BO288+BP288*BU$303</f>
        <v>0</v>
      </c>
      <c r="BR288" s="264">
        <f t="shared" ref="BR288" si="475">BR171*$BR229+IF(SUM($BR112:$BT112)&gt;0, BT171*$BR229*(BR112/SUM($BR112:$BS112)),0)</f>
        <v>10</v>
      </c>
      <c r="BS288" s="273">
        <f t="shared" ref="BS288" si="476">BS171*$BR229+IF(SUM($BR112:$BT112)&gt;0, BT171*$BR229*(BS112/SUM($BR112:$BS112)),0)</f>
        <v>0</v>
      </c>
      <c r="BT288" s="941">
        <f t="shared" ref="BT288" si="477">BR288+BS288*CA$303</f>
        <v>10</v>
      </c>
      <c r="BU288" s="273">
        <f t="shared" ref="BU288" si="478">BU171*$BR229+IF(SUM($BU112:$BW112)&gt;0, BW171*$BR229*(BU112/SUM($BU112:$BV112)))</f>
        <v>0</v>
      </c>
      <c r="BV288" s="273">
        <f t="shared" ref="BV288" si="479">BV171*$BR229+IF(SUM($BU112:$BW112)&gt;0, BW171*$BR229*(BV112/SUM($BU112:$BV112)))</f>
        <v>0</v>
      </c>
      <c r="BW288" s="945">
        <f t="shared" ref="BW288" si="480">BU288+BV288*CA$303</f>
        <v>0</v>
      </c>
      <c r="BX288" s="576">
        <f t="shared" si="469"/>
        <v>1</v>
      </c>
      <c r="BY288" s="670">
        <f t="shared" si="470"/>
        <v>0</v>
      </c>
      <c r="BZ288" s="687">
        <f t="shared" si="471"/>
        <v>1</v>
      </c>
      <c r="CA288" s="670">
        <f t="shared" si="472"/>
        <v>0</v>
      </c>
      <c r="CB288" s="670">
        <f t="shared" si="473"/>
        <v>0</v>
      </c>
      <c r="CC288" s="697">
        <f>CA288+CB288*CG$303</f>
        <v>0</v>
      </c>
      <c r="CD288" s="261"/>
      <c r="CE288" s="224"/>
      <c r="CF288" s="686"/>
      <c r="CG288" s="224"/>
      <c r="CH288" s="224"/>
      <c r="CI288" s="701"/>
      <c r="CJ288" s="261"/>
      <c r="CK288" s="224"/>
      <c r="CL288" s="686"/>
      <c r="CM288" s="224"/>
      <c r="CN288" s="224"/>
      <c r="CO288" s="701"/>
      <c r="CP288" s="261"/>
      <c r="CQ288" s="224"/>
      <c r="CR288" s="686"/>
      <c r="CS288" s="224"/>
      <c r="CT288" s="224"/>
      <c r="CU288" s="701"/>
      <c r="CV288" s="1565"/>
      <c r="CW288" s="686"/>
      <c r="CX288" s="686"/>
      <c r="CY288" s="686"/>
      <c r="CZ288" s="686"/>
      <c r="DA288" s="701"/>
      <c r="DB288" s="1565"/>
      <c r="DC288" s="686"/>
      <c r="DD288" s="686"/>
      <c r="DE288" s="686"/>
      <c r="DF288" s="686"/>
      <c r="DG288" s="701"/>
      <c r="DH288" s="261"/>
      <c r="DI288" s="224"/>
      <c r="DJ288" s="686"/>
      <c r="DK288" s="224"/>
      <c r="DL288" s="224"/>
      <c r="DM288" s="701"/>
      <c r="DN288" s="261"/>
      <c r="DO288" s="224"/>
      <c r="DP288" s="686"/>
      <c r="DQ288" s="224"/>
      <c r="DR288" s="224"/>
      <c r="DS288" s="701"/>
      <c r="DT288" s="261"/>
      <c r="DU288" s="224"/>
      <c r="DV288" s="686"/>
      <c r="DW288" s="224"/>
      <c r="DX288" s="224"/>
      <c r="DY288" s="701"/>
      <c r="DZ288" s="261"/>
      <c r="EA288" s="224"/>
      <c r="EB288" s="686"/>
      <c r="EC288" s="224"/>
      <c r="ED288" s="224"/>
      <c r="EE288" s="701"/>
      <c r="EF288" s="196">
        <f t="shared" si="412"/>
        <v>50</v>
      </c>
      <c r="EG288" s="224"/>
      <c r="EH288" s="579">
        <f t="shared" si="295"/>
        <v>50</v>
      </c>
      <c r="EI288" s="602">
        <f t="shared" si="413"/>
        <v>72.100919935915101</v>
      </c>
      <c r="EJ288" s="602">
        <f t="shared" si="414"/>
        <v>3.056807753927786</v>
      </c>
      <c r="EK288" s="579">
        <f t="shared" si="296"/>
        <v>50</v>
      </c>
      <c r="EL288" s="602">
        <f t="shared" si="351"/>
        <v>99.180681024684986</v>
      </c>
      <c r="EM288" s="602">
        <f t="shared" si="352"/>
        <v>4.1764618324578588</v>
      </c>
      <c r="EN288" s="579">
        <f t="shared" si="297"/>
        <v>50</v>
      </c>
      <c r="EO288" s="602">
        <f t="shared" si="377"/>
        <v>37.635769459298871</v>
      </c>
      <c r="EP288" s="602">
        <f t="shared" si="378"/>
        <v>1.9096850861556744</v>
      </c>
      <c r="EQ288" s="580"/>
      <c r="ER288" s="580"/>
      <c r="ES288" s="519"/>
      <c r="ET288" s="519"/>
      <c r="EU288" s="580"/>
      <c r="EV288" s="580"/>
      <c r="EW288" s="580"/>
      <c r="EX288" s="580"/>
      <c r="EY288" s="580"/>
      <c r="EZ288" s="580"/>
      <c r="FA288" s="580"/>
      <c r="FB288" s="580"/>
      <c r="FC288" s="580"/>
      <c r="FD288" s="580"/>
      <c r="FE288" s="580"/>
      <c r="FF288" s="580"/>
      <c r="FG288" s="580"/>
      <c r="FH288" s="580"/>
    </row>
    <row r="289" spans="1:164" x14ac:dyDescent="0.2">
      <c r="A289" s="180">
        <v>51</v>
      </c>
      <c r="B289" s="264">
        <f>B230*B172</f>
        <v>0</v>
      </c>
      <c r="C289" s="265">
        <f>B230*C172</f>
        <v>0</v>
      </c>
      <c r="D289" s="264">
        <f>D230*D172</f>
        <v>450.86092715231791</v>
      </c>
      <c r="E289" s="265">
        <f>D230*E172</f>
        <v>9.1390728476821188</v>
      </c>
      <c r="F289" s="263">
        <f>F230*F172</f>
        <v>267.93103448275861</v>
      </c>
      <c r="G289" s="263">
        <f>F230*G172</f>
        <v>28.068965517241377</v>
      </c>
      <c r="H289" s="264">
        <f>H230*H172</f>
        <v>131.27777777777777</v>
      </c>
      <c r="I289" s="265">
        <f>H230*I172</f>
        <v>7.7222222222222214</v>
      </c>
      <c r="J289" s="263">
        <f t="shared" si="465"/>
        <v>429.33333333333331</v>
      </c>
      <c r="K289" s="263">
        <f t="shared" si="466"/>
        <v>11.666666666666666</v>
      </c>
      <c r="L289" s="264">
        <f>L230*L172</f>
        <v>599.65979381443299</v>
      </c>
      <c r="M289" s="265">
        <f>L230*M172</f>
        <v>21.340206185567013</v>
      </c>
      <c r="N289" s="263">
        <f>N230*N172</f>
        <v>226.40816326530611</v>
      </c>
      <c r="O289" s="263">
        <f>N230*O172</f>
        <v>31.591836734693878</v>
      </c>
      <c r="P289" s="264">
        <f>P230*P172</f>
        <v>618.38</v>
      </c>
      <c r="Q289" s="265">
        <f>P230*Q172</f>
        <v>12.620000000000001</v>
      </c>
      <c r="R289" s="263">
        <f>R230*R172</f>
        <v>181</v>
      </c>
      <c r="S289" s="263">
        <f>R230*S172</f>
        <v>0</v>
      </c>
      <c r="T289" s="264">
        <f>T230*T172</f>
        <v>53</v>
      </c>
      <c r="U289" s="265">
        <f>T230*U172</f>
        <v>0</v>
      </c>
      <c r="V289" s="263">
        <f>V230*V172</f>
        <v>289.45714285714286</v>
      </c>
      <c r="W289" s="263">
        <f>V230*W172</f>
        <v>17.542857142857141</v>
      </c>
      <c r="X289" s="264">
        <f>X230*X172</f>
        <v>252</v>
      </c>
      <c r="Y289" s="265">
        <f>X230*Y172</f>
        <v>0</v>
      </c>
      <c r="Z289" s="185">
        <f>Z230*Z172</f>
        <v>0</v>
      </c>
      <c r="AA289" s="185">
        <f t="shared" si="468"/>
        <v>0</v>
      </c>
      <c r="AB289" s="264">
        <f t="shared" si="428"/>
        <v>0.5</v>
      </c>
      <c r="AC289" s="265">
        <f t="shared" si="429"/>
        <v>0.5</v>
      </c>
      <c r="AD289" s="270">
        <f>AD230*V172</f>
        <v>26.4</v>
      </c>
      <c r="AE289" s="269">
        <f>AD230*W172</f>
        <v>1.5999999999999999</v>
      </c>
      <c r="AF289" s="224">
        <f t="shared" si="461"/>
        <v>0</v>
      </c>
      <c r="AG289" s="262">
        <f t="shared" si="462"/>
        <v>0</v>
      </c>
      <c r="AH289" s="268">
        <f>AH230*V172</f>
        <v>5.6571428571428566</v>
      </c>
      <c r="AI289" s="272">
        <f>AH230*W172</f>
        <v>0.34285714285714286</v>
      </c>
      <c r="AJ289" s="268">
        <f>AJ230*AJ171</f>
        <v>65</v>
      </c>
      <c r="AK289" s="269">
        <f>AJ230*AK171</f>
        <v>0</v>
      </c>
      <c r="AL289" s="263">
        <f>AL230*AL172</f>
        <v>5.7777777777777777</v>
      </c>
      <c r="AM289" s="263">
        <f>AL230*AM172</f>
        <v>7.2222222222222223</v>
      </c>
      <c r="AN289" s="274">
        <f>AN230*AN171</f>
        <v>6</v>
      </c>
      <c r="AO289" s="269">
        <f>AN230*AO171</f>
        <v>0</v>
      </c>
      <c r="AP289" s="263">
        <f>AP230*AP172</f>
        <v>37.89473684210526</v>
      </c>
      <c r="AQ289" s="263">
        <f>AP230*AQ172</f>
        <v>2.1052631578947367</v>
      </c>
      <c r="AR289" s="274">
        <f>AR230*AR171</f>
        <v>2</v>
      </c>
      <c r="AS289" s="269">
        <f>AR230*AS171</f>
        <v>0</v>
      </c>
      <c r="AT289" s="263">
        <f>AT230*AT172</f>
        <v>177</v>
      </c>
      <c r="AU289" s="263">
        <f>AT230*AU172</f>
        <v>0</v>
      </c>
      <c r="AV289" s="274">
        <f>AV230*AV171</f>
        <v>175</v>
      </c>
      <c r="AW289" s="269">
        <f>AV230*AW171</f>
        <v>0</v>
      </c>
      <c r="AX289" s="263">
        <f t="shared" si="463"/>
        <v>11</v>
      </c>
      <c r="AY289" s="263">
        <f t="shared" si="464"/>
        <v>0</v>
      </c>
      <c r="AZ289" s="264">
        <f t="shared" si="395"/>
        <v>105.44999999999999</v>
      </c>
      <c r="BA289" s="265">
        <f t="shared" si="396"/>
        <v>5.5500000000000007</v>
      </c>
      <c r="BB289" s="274">
        <f>BB230*BB173</f>
        <v>49.166666666666671</v>
      </c>
      <c r="BC289" s="269">
        <f>BB230*BC173</f>
        <v>9.8333333333333321</v>
      </c>
      <c r="BD289" s="264">
        <f>BD230*BD172</f>
        <v>25</v>
      </c>
      <c r="BE289" s="265">
        <f>BD230*BE172</f>
        <v>0</v>
      </c>
      <c r="BF289" s="576">
        <f t="shared" ref="BF289:BF290" si="481">BF172*$BF230+IF(SUM($BF113:$BH113)&gt;0,BH172*$BF230*(BF113/SUM($BF113:$BG113)))</f>
        <v>55.846153846153854</v>
      </c>
      <c r="BG289" s="670">
        <f>BG172*$BF230+IF(SUM($BF113:$BH113)&gt;0,BH172*$BF230*(BG113/SUM($BF113:$BG113)))</f>
        <v>0</v>
      </c>
      <c r="BH289" s="687">
        <f t="shared" si="474"/>
        <v>55.846153846153854</v>
      </c>
      <c r="BI289" s="670">
        <f>BI172*$BF230+IF(SUM($BI113:$BK113)&gt;0,BK172*$BF230*(BI113/SUM($BI113:$BJ113)))</f>
        <v>10.153846153846155</v>
      </c>
      <c r="BJ289" s="670">
        <f>BJ172*$BF230+IF(SUM($BI113:$BK113)&gt;0,BK172*$BF230*(BJ113/SUM($BI113:$BJ113)))</f>
        <v>0</v>
      </c>
      <c r="BK289" s="687">
        <f t="shared" ref="BK289:BK290" si="482">BI289+BJ289*BO$303</f>
        <v>10.153846153846155</v>
      </c>
      <c r="BL289" s="576">
        <f>BL172*$BL230+IF(SUM($BL113:$BN113)&gt;0, BN172*$BL230*(BL113/SUM($BL113:$BM113)),0)</f>
        <v>6</v>
      </c>
      <c r="BM289" s="670">
        <f>BM172*$BL230+IF(SUM($BL113:$BN113)&gt;0, BN172*$BL230*(BM113/SUM($BL113:$BM113)),0)</f>
        <v>0</v>
      </c>
      <c r="BN289" s="687">
        <f>BL289+BM289*BU$303</f>
        <v>6</v>
      </c>
      <c r="BO289" s="670">
        <f t="shared" ref="BO289" si="483">BO172*$BL230+IF(SUM($BO113:$BP113)&gt;0, BQ172*$BL230*(BO113/SUM($BO113:$BP113)))</f>
        <v>0</v>
      </c>
      <c r="BP289" s="670">
        <f>BP172*$BL230+IF(SUM($BO113:$BQ113)&gt;0, BQ172*$BL230*(BP113/SUM($BO113:$BP113)))</f>
        <v>0</v>
      </c>
      <c r="BQ289" s="697">
        <f>BO289+BP289*BU$303</f>
        <v>0</v>
      </c>
      <c r="BR289" s="264">
        <f t="shared" ref="BR289:BR291" si="484">BR172*$BR230+IF(SUM($BR113:$BT113)&gt;0, BT172*$BR230*(BR113/SUM($BR113:$BS113)),0)</f>
        <v>7</v>
      </c>
      <c r="BS289" s="273">
        <f t="shared" ref="BS289:BS291" si="485">BS172*$BR230+IF(SUM($BR113:$BT113)&gt;0, BT172*$BR230*(BS113/SUM($BR113:$BS113)),0)</f>
        <v>0</v>
      </c>
      <c r="BT289" s="941">
        <f t="shared" ref="BT289:BT291" si="486">BR289+BS289*CA$303</f>
        <v>7</v>
      </c>
      <c r="BU289" s="273">
        <f t="shared" ref="BU289:BU291" si="487">BU172*$BR230+IF(SUM($BU113:$BW113)&gt;0, BW172*$BR230*(BU113/SUM($BU113:$BV113)))</f>
        <v>4</v>
      </c>
      <c r="BV289" s="273">
        <f t="shared" ref="BV289:BV291" si="488">BV172*$BR230+IF(SUM($BU113:$BW113)&gt;0, BW172*$BR230*(BV113/SUM($BU113:$BV113)))</f>
        <v>0</v>
      </c>
      <c r="BW289" s="945">
        <f t="shared" ref="BW289:BW291" si="489">BU289+BV289*CA$303</f>
        <v>4</v>
      </c>
      <c r="BX289" s="261"/>
      <c r="BY289" s="224"/>
      <c r="BZ289" s="686"/>
      <c r="CA289" s="224"/>
      <c r="CB289" s="224"/>
      <c r="CC289" s="701"/>
      <c r="CD289" s="261"/>
      <c r="CE289" s="224"/>
      <c r="CF289" s="686"/>
      <c r="CG289" s="224"/>
      <c r="CH289" s="224"/>
      <c r="CI289" s="701"/>
      <c r="CJ289" s="261"/>
      <c r="CK289" s="224"/>
      <c r="CL289" s="686"/>
      <c r="CM289" s="224"/>
      <c r="CN289" s="224"/>
      <c r="CO289" s="701"/>
      <c r="CP289" s="261"/>
      <c r="CQ289" s="224"/>
      <c r="CR289" s="686"/>
      <c r="CS289" s="224"/>
      <c r="CT289" s="224"/>
      <c r="CU289" s="701"/>
      <c r="CV289" s="1565"/>
      <c r="CW289" s="686"/>
      <c r="CX289" s="686"/>
      <c r="CY289" s="686"/>
      <c r="CZ289" s="686"/>
      <c r="DA289" s="701"/>
      <c r="DB289" s="1565"/>
      <c r="DC289" s="686"/>
      <c r="DD289" s="686"/>
      <c r="DE289" s="686"/>
      <c r="DF289" s="686"/>
      <c r="DG289" s="701"/>
      <c r="DH289" s="261"/>
      <c r="DI289" s="224"/>
      <c r="DJ289" s="686"/>
      <c r="DK289" s="224"/>
      <c r="DL289" s="224"/>
      <c r="DM289" s="701"/>
      <c r="DN289" s="261"/>
      <c r="DO289" s="224"/>
      <c r="DP289" s="686"/>
      <c r="DQ289" s="224"/>
      <c r="DR289" s="224"/>
      <c r="DS289" s="701"/>
      <c r="DT289" s="261"/>
      <c r="DU289" s="224"/>
      <c r="DV289" s="686"/>
      <c r="DW289" s="224"/>
      <c r="DX289" s="224"/>
      <c r="DY289" s="701"/>
      <c r="DZ289" s="261"/>
      <c r="EA289" s="224"/>
      <c r="EB289" s="686"/>
      <c r="EC289" s="224"/>
      <c r="ED289" s="224"/>
      <c r="EE289" s="701"/>
      <c r="EF289" s="196">
        <f t="shared" si="412"/>
        <v>51</v>
      </c>
      <c r="EG289" s="224"/>
      <c r="EH289" s="579">
        <f t="shared" si="295"/>
        <v>51</v>
      </c>
      <c r="EI289" s="602">
        <f t="shared" si="413"/>
        <v>143.85744498747863</v>
      </c>
      <c r="EJ289" s="602">
        <f t="shared" si="414"/>
        <v>5.9587679704727821</v>
      </c>
      <c r="EK289" s="579">
        <f t="shared" si="296"/>
        <v>51</v>
      </c>
      <c r="EL289" s="602">
        <f t="shared" si="351"/>
        <v>220.74158222126329</v>
      </c>
      <c r="EM289" s="602">
        <f t="shared" si="352"/>
        <v>8.8834177787367228</v>
      </c>
      <c r="EN289" s="579">
        <f t="shared" si="297"/>
        <v>51</v>
      </c>
      <c r="EO289" s="602">
        <f t="shared" si="377"/>
        <v>59.935380116959067</v>
      </c>
      <c r="EP289" s="602">
        <f t="shared" si="378"/>
        <v>2.2464380648591176</v>
      </c>
      <c r="EQ289" s="580"/>
      <c r="ER289" s="580"/>
      <c r="ES289" s="519"/>
      <c r="ET289" s="519"/>
      <c r="EU289" s="580"/>
      <c r="EV289" s="580"/>
      <c r="EW289" s="580"/>
      <c r="EX289" s="580"/>
      <c r="EY289" s="580"/>
      <c r="EZ289" s="580"/>
      <c r="FA289" s="580"/>
      <c r="FB289" s="580"/>
      <c r="FC289" s="580"/>
      <c r="FD289" s="580"/>
      <c r="FE289" s="580"/>
      <c r="FF289" s="580"/>
      <c r="FG289" s="580"/>
      <c r="FH289" s="580"/>
    </row>
    <row r="290" spans="1:164" x14ac:dyDescent="0.2">
      <c r="A290" s="180">
        <v>52</v>
      </c>
      <c r="B290" s="264">
        <f>B231*B173</f>
        <v>0</v>
      </c>
      <c r="C290" s="265">
        <f>B231*C173</f>
        <v>0</v>
      </c>
      <c r="D290" s="264">
        <f>D231*D173</f>
        <v>542.36111111111109</v>
      </c>
      <c r="E290" s="265">
        <f>D231*E173</f>
        <v>7.6388888888888884</v>
      </c>
      <c r="F290" s="263">
        <f>F231*F173</f>
        <v>688.07142857142856</v>
      </c>
      <c r="G290" s="263">
        <f>F231*G173</f>
        <v>52.928571428571423</v>
      </c>
      <c r="H290" s="264">
        <f>H231*H173</f>
        <v>861.84347826086957</v>
      </c>
      <c r="I290" s="265">
        <f>H231*I173</f>
        <v>91.15652173913044</v>
      </c>
      <c r="J290" s="263">
        <f t="shared" si="465"/>
        <v>705.54404145077717</v>
      </c>
      <c r="K290" s="263">
        <f t="shared" si="466"/>
        <v>59.4559585492228</v>
      </c>
      <c r="L290" s="264">
        <f>L231*L173</f>
        <v>691.55737704918033</v>
      </c>
      <c r="M290" s="265">
        <f>L231*M173</f>
        <v>75.442622950819668</v>
      </c>
      <c r="N290" s="263">
        <f>N231*N173</f>
        <v>219.08474576271186</v>
      </c>
      <c r="O290" s="263">
        <f>N231*O173</f>
        <v>61.915254237288131</v>
      </c>
      <c r="P290" s="264">
        <f>P231*P173</f>
        <v>86</v>
      </c>
      <c r="Q290" s="265">
        <f>P231*Q173</f>
        <v>0</v>
      </c>
      <c r="R290" s="263">
        <f>R231*R173</f>
        <v>249.13636363636365</v>
      </c>
      <c r="S290" s="263">
        <f>R231*S173</f>
        <v>11.863636363636363</v>
      </c>
      <c r="T290" s="261">
        <f>T231*T173</f>
        <v>0</v>
      </c>
      <c r="U290" s="262">
        <f>T231*U173</f>
        <v>0</v>
      </c>
      <c r="V290" s="263">
        <f>V231*V173</f>
        <v>68.269230769230774</v>
      </c>
      <c r="W290" s="263">
        <f>V231*W173</f>
        <v>2.7307692307692308</v>
      </c>
      <c r="X290" s="274">
        <f>X231*X172</f>
        <v>220</v>
      </c>
      <c r="Y290" s="269">
        <f>X231*Y172</f>
        <v>0</v>
      </c>
      <c r="Z290" s="185">
        <f>Z231*Z173</f>
        <v>0</v>
      </c>
      <c r="AA290" s="185">
        <f t="shared" si="468"/>
        <v>0</v>
      </c>
      <c r="AB290" s="274">
        <f>AB231*AB172</f>
        <v>3.5</v>
      </c>
      <c r="AC290" s="269">
        <f>AB231*AC172</f>
        <v>3.5</v>
      </c>
      <c r="AD290" s="270">
        <f>AD231*V173</f>
        <v>19.23076923076923</v>
      </c>
      <c r="AE290" s="269">
        <f>AD231*W173</f>
        <v>0.76923076923076927</v>
      </c>
      <c r="AF290" s="268">
        <f>AF231*V173</f>
        <v>49.03846153846154</v>
      </c>
      <c r="AG290" s="269">
        <f>AF231*W173</f>
        <v>1.9615384615384617</v>
      </c>
      <c r="AH290" s="268">
        <f>AH231*V173</f>
        <v>15.384615384615385</v>
      </c>
      <c r="AI290" s="272">
        <f>AH231*W173</f>
        <v>0.61538461538461542</v>
      </c>
      <c r="AJ290" s="224">
        <f>AJ231*AJ173</f>
        <v>0</v>
      </c>
      <c r="AK290" s="262">
        <f>AJ231*AK173</f>
        <v>0</v>
      </c>
      <c r="AL290" s="185">
        <f>AL231*AL173</f>
        <v>0</v>
      </c>
      <c r="AM290" s="185">
        <f>AL231*AM173</f>
        <v>0</v>
      </c>
      <c r="AN290" s="261">
        <f>AN231*AN173</f>
        <v>0</v>
      </c>
      <c r="AO290" s="262">
        <f>AN231*AO173</f>
        <v>0</v>
      </c>
      <c r="AP290" s="263">
        <f>AP231*AP173</f>
        <v>76.53125</v>
      </c>
      <c r="AQ290" s="263">
        <f>AP231*AQ173</f>
        <v>2.46875</v>
      </c>
      <c r="AR290" s="261">
        <f>AR231*AR173</f>
        <v>0</v>
      </c>
      <c r="AS290" s="262">
        <f>AR231*AS173</f>
        <v>0</v>
      </c>
      <c r="AT290" s="263">
        <f>AT231*AT173</f>
        <v>82</v>
      </c>
      <c r="AU290" s="263">
        <f>AT231*AU173</f>
        <v>0</v>
      </c>
      <c r="AV290" s="274">
        <f>AV231*AV171</f>
        <v>84</v>
      </c>
      <c r="AW290" s="269">
        <f>AV231*AW171</f>
        <v>0</v>
      </c>
      <c r="AX290" s="263">
        <f t="shared" si="463"/>
        <v>44.707317073170728</v>
      </c>
      <c r="AY290" s="263">
        <f t="shared" si="464"/>
        <v>2.2926829268292686</v>
      </c>
      <c r="AZ290" s="264">
        <f t="shared" si="395"/>
        <v>60.061538461538461</v>
      </c>
      <c r="BA290" s="265">
        <f t="shared" si="396"/>
        <v>3.9384615384615387</v>
      </c>
      <c r="BB290" s="264">
        <f>BB231*BB173</f>
        <v>25.833333333333336</v>
      </c>
      <c r="BC290" s="265">
        <f>BB231*BC173</f>
        <v>5.1666666666666661</v>
      </c>
      <c r="BD290" s="264">
        <f>BD231*BD173</f>
        <v>54</v>
      </c>
      <c r="BE290" s="265">
        <f>BD231*BE173</f>
        <v>0</v>
      </c>
      <c r="BF290" s="576">
        <f t="shared" si="481"/>
        <v>38.94736842105263</v>
      </c>
      <c r="BG290" s="670">
        <f>BG173*$BF231+IF(SUM($BF114:$BH114)&gt;0,BH173*$BF231*(BG114/SUM($BF114:$BG114)))</f>
        <v>0</v>
      </c>
      <c r="BH290" s="687">
        <f t="shared" si="474"/>
        <v>38.94736842105263</v>
      </c>
      <c r="BI290" s="670">
        <f>BI173*$BF231+IF(SUM($BI114:$BK114)&gt;0,BK173*$BF231*(BI114/SUM($BI114:$BJ114)))</f>
        <v>1.0526315789473684</v>
      </c>
      <c r="BJ290" s="670">
        <f>BJ173*$BF231+IF(SUM($BI114:$BK114)&gt;0,BK173*$BF231*(BJ114/SUM($BI114:$BJ114)))</f>
        <v>0</v>
      </c>
      <c r="BK290" s="687">
        <f t="shared" si="482"/>
        <v>1.0526315789473684</v>
      </c>
      <c r="BL290" s="261"/>
      <c r="BM290" s="224"/>
      <c r="BN290" s="686"/>
      <c r="BO290" s="224"/>
      <c r="BP290" s="224"/>
      <c r="BQ290" s="701"/>
      <c r="BR290" s="264">
        <f t="shared" si="484"/>
        <v>14</v>
      </c>
      <c r="BS290" s="273">
        <f t="shared" si="485"/>
        <v>0</v>
      </c>
      <c r="BT290" s="941">
        <f t="shared" si="486"/>
        <v>14</v>
      </c>
      <c r="BU290" s="273">
        <f t="shared" si="487"/>
        <v>1</v>
      </c>
      <c r="BV290" s="273">
        <f t="shared" si="488"/>
        <v>0</v>
      </c>
      <c r="BW290" s="945">
        <f t="shared" si="489"/>
        <v>1</v>
      </c>
      <c r="BX290" s="261"/>
      <c r="BY290" s="224"/>
      <c r="BZ290" s="686"/>
      <c r="CA290" s="224"/>
      <c r="CB290" s="224"/>
      <c r="CC290" s="701"/>
      <c r="CD290" s="261"/>
      <c r="CE290" s="224"/>
      <c r="CF290" s="686"/>
      <c r="CG290" s="224"/>
      <c r="CH290" s="224"/>
      <c r="CI290" s="701"/>
      <c r="CJ290" s="261"/>
      <c r="CK290" s="224"/>
      <c r="CL290" s="686"/>
      <c r="CM290" s="224"/>
      <c r="CN290" s="224"/>
      <c r="CO290" s="701"/>
      <c r="CP290" s="261"/>
      <c r="CQ290" s="224"/>
      <c r="CR290" s="686"/>
      <c r="CS290" s="224"/>
      <c r="CT290" s="224"/>
      <c r="CU290" s="701"/>
      <c r="CV290" s="1565"/>
      <c r="CW290" s="686"/>
      <c r="CX290" s="686"/>
      <c r="CY290" s="686"/>
      <c r="CZ290" s="686"/>
      <c r="DA290" s="701"/>
      <c r="DB290" s="1565"/>
      <c r="DC290" s="686"/>
      <c r="DD290" s="686"/>
      <c r="DE290" s="686"/>
      <c r="DF290" s="686"/>
      <c r="DG290" s="701"/>
      <c r="DH290" s="261"/>
      <c r="DI290" s="224"/>
      <c r="DJ290" s="686"/>
      <c r="DK290" s="224"/>
      <c r="DL290" s="224"/>
      <c r="DM290" s="701"/>
      <c r="DN290" s="261"/>
      <c r="DO290" s="224"/>
      <c r="DP290" s="686"/>
      <c r="DQ290" s="224"/>
      <c r="DR290" s="224"/>
      <c r="DS290" s="701"/>
      <c r="DT290" s="261"/>
      <c r="DU290" s="224"/>
      <c r="DV290" s="686"/>
      <c r="DW290" s="224"/>
      <c r="DX290" s="224"/>
      <c r="DY290" s="701"/>
      <c r="DZ290" s="261"/>
      <c r="EA290" s="224"/>
      <c r="EB290" s="686"/>
      <c r="EC290" s="224"/>
      <c r="ED290" s="224"/>
      <c r="EE290" s="701"/>
      <c r="EF290" s="196">
        <f t="shared" si="412"/>
        <v>52</v>
      </c>
      <c r="EG290" s="224"/>
      <c r="EH290" s="579">
        <f t="shared" si="295"/>
        <v>52</v>
      </c>
      <c r="EI290" s="602">
        <f t="shared" si="413"/>
        <v>165.53053655855575</v>
      </c>
      <c r="EJ290" s="602">
        <f t="shared" si="414"/>
        <v>13.708747798801369</v>
      </c>
      <c r="EK290" s="579">
        <f t="shared" si="296"/>
        <v>52</v>
      </c>
      <c r="EL290" s="602">
        <f t="shared" si="351"/>
        <v>276.18885142284495</v>
      </c>
      <c r="EM290" s="602">
        <f t="shared" si="352"/>
        <v>23.123648577155052</v>
      </c>
      <c r="EN290" s="579">
        <f t="shared" si="297"/>
        <v>52</v>
      </c>
      <c r="EO290" s="602">
        <f t="shared" si="377"/>
        <v>38.830312624367501</v>
      </c>
      <c r="EP290" s="602">
        <f t="shared" si="378"/>
        <v>1.2605964665415885</v>
      </c>
      <c r="EQ290" s="580"/>
      <c r="ER290" s="580"/>
      <c r="ES290" s="519"/>
      <c r="ET290" s="519"/>
      <c r="EU290" s="580"/>
      <c r="EV290" s="580"/>
      <c r="EW290" s="580"/>
      <c r="EX290" s="580"/>
      <c r="EY290" s="580"/>
      <c r="EZ290" s="580"/>
      <c r="FA290" s="580"/>
      <c r="FB290" s="580"/>
      <c r="FC290" s="580"/>
      <c r="FD290" s="580"/>
      <c r="FE290" s="580"/>
      <c r="FF290" s="580"/>
      <c r="FG290" s="580"/>
      <c r="FH290" s="580"/>
    </row>
    <row r="291" spans="1:164" x14ac:dyDescent="0.2">
      <c r="A291" s="187">
        <v>53</v>
      </c>
      <c r="B291" s="261"/>
      <c r="C291" s="262"/>
      <c r="D291" s="264">
        <f>D232*D174</f>
        <v>1554.8648648648648</v>
      </c>
      <c r="E291" s="265">
        <f>D232*E174</f>
        <v>14.135135135135135</v>
      </c>
      <c r="F291" s="263">
        <f>F232*F174</f>
        <v>144.05882352941177</v>
      </c>
      <c r="G291" s="263">
        <f>F232*G174</f>
        <v>13.941176470588236</v>
      </c>
      <c r="H291" s="264">
        <f>H232*H174</f>
        <v>1271.112540192926</v>
      </c>
      <c r="I291" s="265">
        <f>H232*I174</f>
        <v>150.88745980707395</v>
      </c>
      <c r="J291" s="263">
        <f t="shared" si="465"/>
        <v>723.39473684210532</v>
      </c>
      <c r="K291" s="263">
        <f t="shared" si="466"/>
        <v>109.60526315789473</v>
      </c>
      <c r="L291" s="261">
        <f>L232*L174</f>
        <v>0</v>
      </c>
      <c r="M291" s="262">
        <f>L232*M174</f>
        <v>0</v>
      </c>
      <c r="N291" s="263">
        <f>N232*N174</f>
        <v>35.26</v>
      </c>
      <c r="O291" s="263">
        <f>N232*O174</f>
        <v>5.74</v>
      </c>
      <c r="P291" s="274">
        <f>P232*P173</f>
        <v>82</v>
      </c>
      <c r="Q291" s="269">
        <f>P232*Q173</f>
        <v>0</v>
      </c>
      <c r="R291" s="270">
        <f>R232*R173</f>
        <v>60.13636363636364</v>
      </c>
      <c r="S291" s="270">
        <f>R232*S173</f>
        <v>2.8636363636363638</v>
      </c>
      <c r="T291" s="264">
        <f>T232*T174</f>
        <v>27</v>
      </c>
      <c r="U291" s="265">
        <f>T232*U174</f>
        <v>0</v>
      </c>
      <c r="V291" s="263">
        <f>V232*V174</f>
        <v>16.5</v>
      </c>
      <c r="W291" s="263">
        <f>V232*W174</f>
        <v>1.5</v>
      </c>
      <c r="X291" s="261">
        <f>X232*X174</f>
        <v>0</v>
      </c>
      <c r="Y291" s="262">
        <f>X232*Y174</f>
        <v>0</v>
      </c>
      <c r="Z291" s="185">
        <f>Z232*Z174</f>
        <v>0</v>
      </c>
      <c r="AA291" s="185">
        <f t="shared" si="468"/>
        <v>0</v>
      </c>
      <c r="AB291" s="261">
        <f>AB232*AB174</f>
        <v>0</v>
      </c>
      <c r="AC291" s="262">
        <f>AB232*AC174</f>
        <v>0</v>
      </c>
      <c r="AD291" s="185">
        <f>AD232*AD174</f>
        <v>0</v>
      </c>
      <c r="AE291" s="262">
        <f>AD232*AE174</f>
        <v>0</v>
      </c>
      <c r="AF291" s="268">
        <f>AF232*V174</f>
        <v>6.4166666666666661</v>
      </c>
      <c r="AG291" s="294">
        <f>AF232*W174</f>
        <v>0.58333333333333326</v>
      </c>
      <c r="AH291" s="292">
        <f>AH232*V174</f>
        <v>12.833333333333332</v>
      </c>
      <c r="AI291" s="295">
        <f>AH232*W174</f>
        <v>1.1666666666666665</v>
      </c>
      <c r="AJ291" s="224">
        <f>AJ232*AJ174</f>
        <v>0</v>
      </c>
      <c r="AK291" s="262">
        <f>AJ232*AK174</f>
        <v>0</v>
      </c>
      <c r="AL291" s="270">
        <f>AL232*AL172</f>
        <v>2.2222222222222223</v>
      </c>
      <c r="AM291" s="270">
        <f>AL232*AM172</f>
        <v>2.7777777777777777</v>
      </c>
      <c r="AN291" s="261">
        <f>AN232*AN174</f>
        <v>0</v>
      </c>
      <c r="AO291" s="262">
        <f>AN232*AO174</f>
        <v>0</v>
      </c>
      <c r="AP291" s="263">
        <f>AP232*AP174</f>
        <v>127.05882352941177</v>
      </c>
      <c r="AQ291" s="263">
        <f>AP232*AQ174</f>
        <v>7.9411764705882355</v>
      </c>
      <c r="AR291" s="261">
        <f>AR232*AR174</f>
        <v>0</v>
      </c>
      <c r="AS291" s="262">
        <f>AR232*AS174</f>
        <v>0</v>
      </c>
      <c r="AT291" s="263">
        <f>AT232*AT174</f>
        <v>0</v>
      </c>
      <c r="AU291" s="263">
        <f>AT232*AU174</f>
        <v>0</v>
      </c>
      <c r="AV291" s="274">
        <f>AV232*AV171</f>
        <v>15</v>
      </c>
      <c r="AW291" s="269">
        <f>AV232*AW171</f>
        <v>0</v>
      </c>
      <c r="AX291" s="263">
        <f t="shared" si="463"/>
        <v>96.645161290322577</v>
      </c>
      <c r="AY291" s="263">
        <f t="shared" si="464"/>
        <v>10.35483870967742</v>
      </c>
      <c r="AZ291" s="264">
        <f t="shared" si="395"/>
        <v>41.4</v>
      </c>
      <c r="BA291" s="265">
        <f t="shared" si="396"/>
        <v>4.6000000000000005</v>
      </c>
      <c r="BB291" s="293">
        <f>BB232*BB173</f>
        <v>28.333333333333336</v>
      </c>
      <c r="BC291" s="294">
        <f>BB232*BC173</f>
        <v>5.6666666666666661</v>
      </c>
      <c r="BD291" s="177"/>
      <c r="BE291" s="280"/>
      <c r="BF291" s="211"/>
      <c r="BG291" s="196"/>
      <c r="BH291" s="691"/>
      <c r="BI291" s="196"/>
      <c r="BJ291" s="196"/>
      <c r="BK291" s="691"/>
      <c r="BL291" s="261"/>
      <c r="BM291" s="224"/>
      <c r="BN291" s="686"/>
      <c r="BO291" s="224"/>
      <c r="BP291" s="224"/>
      <c r="BQ291" s="701"/>
      <c r="BR291" s="264">
        <f t="shared" si="484"/>
        <v>9</v>
      </c>
      <c r="BS291" s="273">
        <f t="shared" si="485"/>
        <v>1</v>
      </c>
      <c r="BT291" s="941">
        <f t="shared" si="486"/>
        <v>9.0868000000000002</v>
      </c>
      <c r="BU291" s="273">
        <f t="shared" si="487"/>
        <v>0</v>
      </c>
      <c r="BV291" s="273">
        <f t="shared" si="488"/>
        <v>0</v>
      </c>
      <c r="BW291" s="945">
        <f t="shared" si="489"/>
        <v>0</v>
      </c>
      <c r="BX291" s="261"/>
      <c r="BY291" s="224"/>
      <c r="BZ291" s="686"/>
      <c r="CA291" s="224"/>
      <c r="CB291" s="224"/>
      <c r="CC291" s="701"/>
      <c r="CD291" s="261"/>
      <c r="CE291" s="224"/>
      <c r="CF291" s="686"/>
      <c r="CG291" s="224"/>
      <c r="CH291" s="224"/>
      <c r="CI291" s="701"/>
      <c r="CJ291" s="261"/>
      <c r="CK291" s="224"/>
      <c r="CL291" s="686"/>
      <c r="CM291" s="224"/>
      <c r="CN291" s="224"/>
      <c r="CO291" s="701"/>
      <c r="CP291" s="261"/>
      <c r="CQ291" s="224"/>
      <c r="CR291" s="686"/>
      <c r="CS291" s="224"/>
      <c r="CT291" s="224"/>
      <c r="CU291" s="701"/>
      <c r="CV291" s="1565"/>
      <c r="CW291" s="686"/>
      <c r="CX291" s="686"/>
      <c r="CY291" s="686"/>
      <c r="CZ291" s="686"/>
      <c r="DA291" s="701"/>
      <c r="DB291" s="1565"/>
      <c r="DC291" s="686"/>
      <c r="DD291" s="686"/>
      <c r="DE291" s="686"/>
      <c r="DF291" s="686"/>
      <c r="DG291" s="701"/>
      <c r="DH291" s="261"/>
      <c r="DI291" s="224"/>
      <c r="DJ291" s="686"/>
      <c r="DK291" s="224"/>
      <c r="DL291" s="224"/>
      <c r="DM291" s="701"/>
      <c r="DN291" s="261"/>
      <c r="DO291" s="224"/>
      <c r="DP291" s="686"/>
      <c r="DQ291" s="224"/>
      <c r="DR291" s="224"/>
      <c r="DS291" s="701"/>
      <c r="DT291" s="261"/>
      <c r="DU291" s="224"/>
      <c r="DV291" s="686"/>
      <c r="DW291" s="224"/>
      <c r="DX291" s="224"/>
      <c r="DY291" s="701"/>
      <c r="DZ291" s="261"/>
      <c r="EA291" s="224"/>
      <c r="EB291" s="686"/>
      <c r="EC291" s="224"/>
      <c r="ED291" s="224"/>
      <c r="EE291" s="701"/>
      <c r="EF291" s="196">
        <f t="shared" si="412"/>
        <v>53</v>
      </c>
      <c r="EG291" s="224"/>
      <c r="EH291" s="579">
        <f t="shared" si="295"/>
        <v>53</v>
      </c>
      <c r="EI291" s="602">
        <f t="shared" si="413"/>
        <v>107.57488018304386</v>
      </c>
      <c r="EJ291" s="602">
        <f t="shared" si="414"/>
        <v>12.287523354038466</v>
      </c>
      <c r="EK291" s="579">
        <f t="shared" si="296"/>
        <v>53</v>
      </c>
      <c r="EL291" s="602">
        <f t="shared" si="351"/>
        <v>245.84858306660448</v>
      </c>
      <c r="EM291" s="602">
        <f t="shared" si="352"/>
        <v>18.776416933395527</v>
      </c>
      <c r="EN291" s="579">
        <f t="shared" si="297"/>
        <v>53</v>
      </c>
      <c r="EO291" s="602">
        <f t="shared" si="377"/>
        <v>31.065954037528986</v>
      </c>
      <c r="EP291" s="602">
        <f t="shared" si="378"/>
        <v>3.13404596247101</v>
      </c>
      <c r="EQ291" s="580"/>
      <c r="ER291" s="580"/>
      <c r="ES291" s="519"/>
      <c r="ET291" s="519"/>
      <c r="EU291" s="580"/>
      <c r="EV291" s="580"/>
      <c r="EW291" s="580"/>
      <c r="EX291" s="580"/>
      <c r="EY291" s="580"/>
      <c r="EZ291" s="580"/>
      <c r="FA291" s="580"/>
      <c r="FB291" s="580"/>
      <c r="FC291" s="580"/>
      <c r="FD291" s="580"/>
      <c r="FE291" s="580"/>
      <c r="FF291" s="580"/>
      <c r="FG291" s="580"/>
      <c r="FH291" s="580"/>
    </row>
    <row r="292" spans="1:164" x14ac:dyDescent="0.2">
      <c r="A292" s="297" t="s">
        <v>129</v>
      </c>
      <c r="B292" s="254">
        <f>SUM(B239:B291)</f>
        <v>0</v>
      </c>
      <c r="C292" s="255">
        <f t="shared" ref="C292:BN292" si="490">SUM(C239:C291)</f>
        <v>0</v>
      </c>
      <c r="D292" s="256">
        <f t="shared" si="490"/>
        <v>3087.7403247618477</v>
      </c>
      <c r="E292" s="255">
        <f t="shared" si="490"/>
        <v>158.25967523815203</v>
      </c>
      <c r="F292" s="256">
        <f t="shared" si="490"/>
        <v>3489.7227919599427</v>
      </c>
      <c r="G292" s="255">
        <f t="shared" si="490"/>
        <v>497.27720804005702</v>
      </c>
      <c r="H292" s="256">
        <f t="shared" si="490"/>
        <v>4858.3233582127732</v>
      </c>
      <c r="I292" s="255">
        <f t="shared" si="490"/>
        <v>824.67664178722612</v>
      </c>
      <c r="J292" s="256">
        <f t="shared" si="490"/>
        <v>3848.9330370969092</v>
      </c>
      <c r="K292" s="255">
        <f t="shared" si="490"/>
        <v>805.06696290309048</v>
      </c>
      <c r="L292" s="256">
        <f t="shared" si="490"/>
        <v>2571.2985838288805</v>
      </c>
      <c r="M292" s="255">
        <f t="shared" si="490"/>
        <v>715.78444617111961</v>
      </c>
      <c r="N292" s="256">
        <f t="shared" si="490"/>
        <v>2457.9786499444663</v>
      </c>
      <c r="O292" s="255">
        <f t="shared" si="490"/>
        <v>396.02135005553396</v>
      </c>
      <c r="P292" s="256">
        <f t="shared" si="490"/>
        <v>1727.863171502911</v>
      </c>
      <c r="Q292" s="255">
        <f t="shared" si="490"/>
        <v>460.13682849708897</v>
      </c>
      <c r="R292" s="256">
        <f t="shared" si="490"/>
        <v>1905.5301502419152</v>
      </c>
      <c r="S292" s="255">
        <f t="shared" si="490"/>
        <v>102.46984975808505</v>
      </c>
      <c r="T292" s="256">
        <f t="shared" si="490"/>
        <v>337.1869918699187</v>
      </c>
      <c r="U292" s="255">
        <f t="shared" si="490"/>
        <v>47.8130081300813</v>
      </c>
      <c r="V292" s="256">
        <f t="shared" si="490"/>
        <v>456.74903053602742</v>
      </c>
      <c r="W292" s="255">
        <f t="shared" si="490"/>
        <v>72.250969463972552</v>
      </c>
      <c r="X292" s="256">
        <f t="shared" si="490"/>
        <v>1146.2841269841269</v>
      </c>
      <c r="Y292" s="255">
        <f t="shared" si="490"/>
        <v>303.215873015873</v>
      </c>
      <c r="Z292" s="256">
        <f t="shared" si="490"/>
        <v>479.48901098901104</v>
      </c>
      <c r="AA292" s="256">
        <f t="shared" si="490"/>
        <v>19.510989010989011</v>
      </c>
      <c r="AB292" s="256">
        <f t="shared" si="490"/>
        <v>89.525000000000006</v>
      </c>
      <c r="AC292" s="255">
        <f t="shared" si="490"/>
        <v>68.474999999999994</v>
      </c>
      <c r="AD292" s="256">
        <f t="shared" si="490"/>
        <v>95.130769230769232</v>
      </c>
      <c r="AE292" s="255">
        <f t="shared" si="490"/>
        <v>54.869230769230768</v>
      </c>
      <c r="AF292" s="256">
        <f t="shared" si="490"/>
        <v>199.61181139122314</v>
      </c>
      <c r="AG292" s="255">
        <f t="shared" si="490"/>
        <v>92.388188608776844</v>
      </c>
      <c r="AH292" s="298">
        <f t="shared" si="490"/>
        <v>193.27806393812591</v>
      </c>
      <c r="AI292" s="299">
        <f t="shared" si="490"/>
        <v>49.721936061874139</v>
      </c>
      <c r="AJ292" s="258">
        <f t="shared" si="490"/>
        <v>179</v>
      </c>
      <c r="AK292" s="259">
        <f t="shared" si="490"/>
        <v>40</v>
      </c>
      <c r="AL292" s="258">
        <f t="shared" si="490"/>
        <v>30.195868945868945</v>
      </c>
      <c r="AM292" s="259">
        <f t="shared" si="490"/>
        <v>126.80413105413106</v>
      </c>
      <c r="AN292" s="258">
        <f t="shared" si="490"/>
        <v>118.45238095238095</v>
      </c>
      <c r="AO292" s="259">
        <f t="shared" si="490"/>
        <v>18.547619047619047</v>
      </c>
      <c r="AP292" s="258">
        <f t="shared" si="490"/>
        <v>277.06375773993807</v>
      </c>
      <c r="AQ292" s="259">
        <f t="shared" si="490"/>
        <v>210.93624226006193</v>
      </c>
      <c r="AR292" s="258">
        <f t="shared" si="490"/>
        <v>244.39392551892556</v>
      </c>
      <c r="AS292" s="259">
        <f t="shared" si="490"/>
        <v>184.60607448107447</v>
      </c>
      <c r="AT292" s="258">
        <f t="shared" si="490"/>
        <v>426.80201137604791</v>
      </c>
      <c r="AU292" s="259">
        <f t="shared" si="490"/>
        <v>285.19798862395209</v>
      </c>
      <c r="AV292" s="258">
        <f t="shared" si="490"/>
        <v>855.92835775335777</v>
      </c>
      <c r="AW292" s="259">
        <f t="shared" si="490"/>
        <v>431.07164224664228</v>
      </c>
      <c r="AX292" s="258">
        <f t="shared" si="490"/>
        <v>214.57914503015996</v>
      </c>
      <c r="AY292" s="259">
        <f t="shared" si="490"/>
        <v>320.86655496984008</v>
      </c>
      <c r="AZ292" s="258">
        <f t="shared" si="490"/>
        <v>264.66153846153844</v>
      </c>
      <c r="BA292" s="259">
        <f t="shared" si="490"/>
        <v>117.62146153846155</v>
      </c>
      <c r="BB292" s="258">
        <f t="shared" si="490"/>
        <v>262.30961340001591</v>
      </c>
      <c r="BC292" s="259">
        <f t="shared" si="490"/>
        <v>136.66758199998412</v>
      </c>
      <c r="BD292" s="258">
        <f t="shared" si="490"/>
        <v>116.42966153846154</v>
      </c>
      <c r="BE292" s="259">
        <f t="shared" si="490"/>
        <v>145.68037846153845</v>
      </c>
      <c r="BF292" s="260">
        <f t="shared" si="490"/>
        <v>215.83575270962271</v>
      </c>
      <c r="BG292" s="258">
        <f t="shared" si="490"/>
        <v>2</v>
      </c>
      <c r="BH292" s="694">
        <f t="shared" si="490"/>
        <v>216.00875270962271</v>
      </c>
      <c r="BI292" s="258">
        <f t="shared" si="490"/>
        <v>178.61960443323446</v>
      </c>
      <c r="BJ292" s="258">
        <f t="shared" si="490"/>
        <v>130.54464285714286</v>
      </c>
      <c r="BK292" s="695">
        <f t="shared" si="490"/>
        <v>187.38849104037732</v>
      </c>
      <c r="BL292" s="260">
        <f t="shared" si="490"/>
        <v>77.71290579695652</v>
      </c>
      <c r="BM292" s="258">
        <f t="shared" si="490"/>
        <v>4.1048005409060178</v>
      </c>
      <c r="BN292" s="694">
        <f t="shared" si="490"/>
        <v>78.069471043744898</v>
      </c>
      <c r="BO292" s="258">
        <f t="shared" ref="BO292:BW292" si="491">SUM(BO239:BO291)</f>
        <v>125.77676524852484</v>
      </c>
      <c r="BP292" s="258">
        <f t="shared" si="491"/>
        <v>118.94552841361264</v>
      </c>
      <c r="BQ292" s="695">
        <f t="shared" si="491"/>
        <v>136.06930345630232</v>
      </c>
      <c r="BR292" s="260">
        <f t="shared" si="491"/>
        <v>81.555114942528732</v>
      </c>
      <c r="BS292" s="258">
        <f t="shared" si="491"/>
        <v>14.623965517241379</v>
      </c>
      <c r="BT292" s="694">
        <f t="shared" si="491"/>
        <v>82.839623908045965</v>
      </c>
      <c r="BU292" s="258">
        <f t="shared" si="491"/>
        <v>203.54484448252063</v>
      </c>
      <c r="BV292" s="258">
        <f t="shared" si="491"/>
        <v>94.951075057709247</v>
      </c>
      <c r="BW292" s="695">
        <f t="shared" si="491"/>
        <v>211.8945390875991</v>
      </c>
      <c r="BX292" s="260">
        <f t="shared" ref="BX292:CC292" si="492">SUM(BX239:BX291)</f>
        <v>52.916806722689074</v>
      </c>
      <c r="BY292" s="258">
        <f t="shared" si="492"/>
        <v>11</v>
      </c>
      <c r="BZ292" s="694">
        <f t="shared" si="492"/>
        <v>53.880106722689071</v>
      </c>
      <c r="CA292" s="258">
        <f t="shared" si="492"/>
        <v>77.488193277310927</v>
      </c>
      <c r="CB292" s="258">
        <f t="shared" si="492"/>
        <v>37.840000000000003</v>
      </c>
      <c r="CC292" s="695">
        <f t="shared" si="492"/>
        <v>80.780355277310946</v>
      </c>
      <c r="CD292" s="260">
        <f t="shared" ref="CD292:CI292" si="493">SUM(CD239:CD291)</f>
        <v>6.7</v>
      </c>
      <c r="CE292" s="258">
        <f t="shared" si="493"/>
        <v>0</v>
      </c>
      <c r="CF292" s="694">
        <f t="shared" si="493"/>
        <v>0</v>
      </c>
      <c r="CG292" s="258">
        <f t="shared" si="493"/>
        <v>27.529999999999998</v>
      </c>
      <c r="CH292" s="258">
        <f t="shared" si="493"/>
        <v>15.154999999999999</v>
      </c>
      <c r="CI292" s="695">
        <f t="shared" si="493"/>
        <v>28.8698175</v>
      </c>
      <c r="CJ292" s="260">
        <f t="shared" ref="CJ292:CO292" si="494">SUM(CJ239:CJ291)</f>
        <v>1</v>
      </c>
      <c r="CK292" s="258">
        <f t="shared" si="494"/>
        <v>0</v>
      </c>
      <c r="CL292" s="694">
        <f t="shared" si="494"/>
        <v>1</v>
      </c>
      <c r="CM292" s="258">
        <f t="shared" si="494"/>
        <v>4.6000000000000005</v>
      </c>
      <c r="CN292" s="258">
        <f t="shared" si="494"/>
        <v>21.1</v>
      </c>
      <c r="CO292" s="695">
        <f t="shared" si="494"/>
        <v>6.4525800000000002</v>
      </c>
      <c r="CP292" s="260">
        <f t="shared" ref="CP292:DA292" si="495">SUM(CP239:CP291)</f>
        <v>16.933333333333334</v>
      </c>
      <c r="CQ292" s="258">
        <f t="shared" si="495"/>
        <v>0</v>
      </c>
      <c r="CR292" s="694">
        <f t="shared" si="495"/>
        <v>16.933333333333334</v>
      </c>
      <c r="CS292" s="258">
        <f t="shared" si="495"/>
        <v>47.63333333333334</v>
      </c>
      <c r="CT292" s="258">
        <f t="shared" si="495"/>
        <v>34.433333333333337</v>
      </c>
      <c r="CU292" s="695">
        <f t="shared" si="495"/>
        <v>50.627346666666668</v>
      </c>
      <c r="CV292" s="260">
        <f t="shared" si="495"/>
        <v>4.8999999999999995</v>
      </c>
      <c r="CW292" s="258">
        <f t="shared" si="495"/>
        <v>3.7</v>
      </c>
      <c r="CX292" s="694">
        <f t="shared" si="495"/>
        <v>5.2159799999999992</v>
      </c>
      <c r="CY292" s="258">
        <f t="shared" si="495"/>
        <v>129.10000000000002</v>
      </c>
      <c r="CZ292" s="258">
        <f t="shared" si="495"/>
        <v>167.39999999999998</v>
      </c>
      <c r="DA292" s="695">
        <f t="shared" si="495"/>
        <v>144.04036000000002</v>
      </c>
      <c r="DB292" s="260">
        <f t="shared" ref="DB292:DG292" si="496">SUM(DB239:DB291)</f>
        <v>1</v>
      </c>
      <c r="DC292" s="258">
        <f t="shared" si="496"/>
        <v>0</v>
      </c>
      <c r="DD292" s="694">
        <f t="shared" si="496"/>
        <v>1</v>
      </c>
      <c r="DE292" s="258">
        <f t="shared" si="496"/>
        <v>43.9</v>
      </c>
      <c r="DF292" s="258">
        <f t="shared" si="496"/>
        <v>63.1</v>
      </c>
      <c r="DG292" s="695">
        <f t="shared" si="496"/>
        <v>49.288740000000004</v>
      </c>
      <c r="DH292" s="260">
        <f t="shared" ref="DH292:DM292" si="497">SUM(DH239:DH291)</f>
        <v>0</v>
      </c>
      <c r="DI292" s="258">
        <f t="shared" si="497"/>
        <v>0</v>
      </c>
      <c r="DJ292" s="694">
        <f t="shared" si="497"/>
        <v>0</v>
      </c>
      <c r="DK292" s="258">
        <f t="shared" si="497"/>
        <v>103.1</v>
      </c>
      <c r="DL292" s="258">
        <f t="shared" si="497"/>
        <v>52.9</v>
      </c>
      <c r="DM292" s="695">
        <f t="shared" si="497"/>
        <v>107.61766</v>
      </c>
      <c r="DN292" s="260">
        <f t="shared" ref="DN292:DS292" si="498">SUM(DN239:DN291)</f>
        <v>3.5</v>
      </c>
      <c r="DO292" s="258">
        <f t="shared" si="498"/>
        <v>0</v>
      </c>
      <c r="DP292" s="694">
        <f t="shared" si="498"/>
        <v>3.5</v>
      </c>
      <c r="DQ292" s="258">
        <f t="shared" si="498"/>
        <v>121.5</v>
      </c>
      <c r="DR292" s="258">
        <f t="shared" si="498"/>
        <v>82.1</v>
      </c>
      <c r="DS292" s="695">
        <f t="shared" si="498"/>
        <v>128.15010000000001</v>
      </c>
      <c r="DT292" s="260">
        <f t="shared" ref="DT292:DY292" si="499">SUM(DT239:DT291)</f>
        <v>0</v>
      </c>
      <c r="DU292" s="258">
        <f t="shared" si="499"/>
        <v>0</v>
      </c>
      <c r="DV292" s="694">
        <f t="shared" si="499"/>
        <v>0</v>
      </c>
      <c r="DW292" s="258">
        <f t="shared" si="499"/>
        <v>109.53479204453717</v>
      </c>
      <c r="DX292" s="258">
        <f t="shared" si="499"/>
        <v>95.46520795546283</v>
      </c>
      <c r="DY292" s="695">
        <f t="shared" si="499"/>
        <v>117.80207905348027</v>
      </c>
      <c r="DZ292" s="260">
        <f t="shared" ref="DZ292:EE292" si="500">SUM(DZ239:DZ291)</f>
        <v>0</v>
      </c>
      <c r="EA292" s="258">
        <f t="shared" si="500"/>
        <v>0</v>
      </c>
      <c r="EB292" s="694">
        <f t="shared" si="500"/>
        <v>0</v>
      </c>
      <c r="EC292" s="258">
        <f t="shared" si="500"/>
        <v>0</v>
      </c>
      <c r="ED292" s="258">
        <f t="shared" si="500"/>
        <v>0</v>
      </c>
      <c r="EE292" s="695">
        <f t="shared" si="500"/>
        <v>0</v>
      </c>
      <c r="EF292" s="224"/>
      <c r="EG292" s="224"/>
      <c r="EH292" s="579" t="s">
        <v>130</v>
      </c>
      <c r="EI292" s="602">
        <f>SUM(EI239:EI291)</f>
        <v>1161.0792740643601</v>
      </c>
      <c r="EJ292" s="602">
        <f t="shared" ref="EJ292:EP292" si="501">SUM(EJ239:EJ291)</f>
        <v>363.8827640759115</v>
      </c>
      <c r="EK292" s="602"/>
      <c r="EL292" s="602">
        <f t="shared" si="501"/>
        <v>1942.0608677251053</v>
      </c>
      <c r="EM292" s="602">
        <f t="shared" si="501"/>
        <v>471.16999707897992</v>
      </c>
      <c r="EN292" s="602"/>
      <c r="EO292" s="602" t="e">
        <f t="shared" si="501"/>
        <v>#DIV/0!</v>
      </c>
      <c r="EP292" s="602" t="e">
        <f t="shared" si="501"/>
        <v>#DIV/0!</v>
      </c>
      <c r="EQ292" s="580"/>
      <c r="ER292" s="580"/>
      <c r="ES292" s="519"/>
      <c r="ET292" s="519"/>
      <c r="EU292" s="580"/>
      <c r="EV292" s="580"/>
      <c r="EW292" s="580"/>
      <c r="EX292" s="580"/>
      <c r="EY292" s="580"/>
      <c r="EZ292" s="580"/>
      <c r="FA292" s="580"/>
      <c r="FB292" s="580"/>
      <c r="FC292" s="580"/>
      <c r="FD292" s="580"/>
      <c r="FE292" s="580"/>
      <c r="FF292" s="580"/>
      <c r="FG292" s="580"/>
      <c r="FH292" s="580"/>
    </row>
    <row r="293" spans="1:164" x14ac:dyDescent="0.2">
      <c r="A293" s="297" t="s">
        <v>131</v>
      </c>
      <c r="B293" s="493">
        <f>SUM(B292:C292)</f>
        <v>0</v>
      </c>
      <c r="C293" s="493"/>
      <c r="D293" s="493">
        <f>SUM(D292:E292)</f>
        <v>3245.9999999999995</v>
      </c>
      <c r="E293" s="493"/>
      <c r="F293" s="493">
        <f>SUM(F292:G292)</f>
        <v>3986.9999999999995</v>
      </c>
      <c r="G293" s="493"/>
      <c r="H293" s="493">
        <f>SUM(H292:I292)</f>
        <v>5682.9999999999991</v>
      </c>
      <c r="I293" s="493"/>
      <c r="J293" s="493">
        <f>SUM(J292:K292)</f>
        <v>4654</v>
      </c>
      <c r="K293" s="493"/>
      <c r="L293" s="493">
        <f>SUM(L292:M292)</f>
        <v>3287.0830300000002</v>
      </c>
      <c r="M293" s="493"/>
      <c r="N293" s="493">
        <f>SUM(N292:O292)</f>
        <v>2854</v>
      </c>
      <c r="O293" s="493"/>
      <c r="P293" s="493">
        <f>SUM(P292:Q292)</f>
        <v>2188</v>
      </c>
      <c r="Q293" s="493"/>
      <c r="R293" s="493">
        <f>SUM(R292:S292)</f>
        <v>2008.0000000000002</v>
      </c>
      <c r="S293" s="493"/>
      <c r="T293" s="493">
        <f>SUM(T292:U292)</f>
        <v>385</v>
      </c>
      <c r="U293" s="493"/>
      <c r="V293" s="493">
        <f>SUM(V292:W292)</f>
        <v>529</v>
      </c>
      <c r="W293" s="493"/>
      <c r="X293" s="493">
        <f>SUM(X292:Y292)</f>
        <v>1449.5</v>
      </c>
      <c r="Y293" s="493"/>
      <c r="Z293" s="3">
        <f>SUM(Z292:AA292)</f>
        <v>499.00000000000006</v>
      </c>
      <c r="AA293" s="493"/>
      <c r="AB293" s="3">
        <f>SUM(AB292:AC292)</f>
        <v>158</v>
      </c>
      <c r="AC293" s="493"/>
      <c r="AD293" s="3">
        <f>SUM(AD292:AE292)</f>
        <v>150</v>
      </c>
      <c r="AE293" s="491"/>
      <c r="AF293" s="300">
        <f>SUM(AF292:AG292)</f>
        <v>292</v>
      </c>
      <c r="AG293" s="491"/>
      <c r="AH293" s="3">
        <f>SUM(AH292:AI292)</f>
        <v>243.00000000000006</v>
      </c>
      <c r="AI293" s="275"/>
      <c r="AJ293" s="135">
        <f>SUM(AJ292:AK292)</f>
        <v>219</v>
      </c>
      <c r="AK293" s="135"/>
      <c r="AL293" s="135">
        <f>SUM(AL292:AM292)</f>
        <v>157</v>
      </c>
      <c r="AM293" s="135"/>
      <c r="AN293" s="135">
        <f>SUM(AN292:AO292)</f>
        <v>137</v>
      </c>
      <c r="AO293" s="135"/>
      <c r="AP293" s="495">
        <f>SUM(AP292:AQ292)</f>
        <v>488</v>
      </c>
      <c r="AQ293" s="135"/>
      <c r="AR293" s="135">
        <f>SUM(AR292:AS292)</f>
        <v>429</v>
      </c>
      <c r="AS293" s="135"/>
      <c r="AT293" s="135">
        <f>SUM(AT292:AU292)</f>
        <v>712</v>
      </c>
      <c r="AU293" s="135"/>
      <c r="AV293" s="135">
        <f>SUM(AV292:AW292)</f>
        <v>1287</v>
      </c>
      <c r="AW293" s="135"/>
      <c r="AX293" s="495">
        <f>SUM(AX292:AY292)</f>
        <v>535.44569999999999</v>
      </c>
      <c r="AY293" s="135"/>
      <c r="AZ293" s="135">
        <f>SUM(AZ292:BA292)</f>
        <v>382.28300000000002</v>
      </c>
      <c r="BA293" s="135"/>
      <c r="BB293" s="135">
        <f>SUM(BB292:BC292)</f>
        <v>398.97719540000003</v>
      </c>
      <c r="BC293" s="135"/>
      <c r="BD293" s="135">
        <f>SUM(BD292:BE292)</f>
        <v>262.11004000000003</v>
      </c>
      <c r="BE293" s="135"/>
      <c r="BF293" s="224">
        <f>SUM(BF292:BG292, BI292:BJ292)</f>
        <v>527</v>
      </c>
      <c r="BG293" s="135"/>
      <c r="BH293" s="135"/>
      <c r="BI293" s="135"/>
      <c r="BJ293" s="135"/>
      <c r="BK293" s="135"/>
      <c r="BL293" s="224">
        <f>SUM(BL292:BM292,BO292:BP292)</f>
        <v>326.54000000000002</v>
      </c>
      <c r="BM293" s="135"/>
      <c r="BN293" s="135"/>
      <c r="BO293" s="135"/>
      <c r="BP293" s="135"/>
      <c r="BQ293" s="135"/>
      <c r="BR293" s="224">
        <f>SUM(BR292:BS292,BU292:BV292)</f>
        <v>394.67500000000001</v>
      </c>
      <c r="BS293" s="135"/>
      <c r="BT293" s="135"/>
      <c r="BU293" s="135"/>
      <c r="BV293" s="135"/>
      <c r="BW293" s="135"/>
      <c r="BX293" s="224">
        <f>SUM(BX292:BY292,CA292:CB292)</f>
        <v>179.245</v>
      </c>
      <c r="BY293" s="135"/>
      <c r="BZ293" s="135"/>
      <c r="CA293" s="135"/>
      <c r="CB293" s="135"/>
      <c r="CC293" s="135"/>
      <c r="CD293" s="224">
        <f>SUM(CD292:CE292,CG292:CH292)</f>
        <v>49.384999999999998</v>
      </c>
      <c r="CE293" s="135"/>
      <c r="CF293" s="135"/>
      <c r="CG293" s="135"/>
      <c r="CH293" s="135"/>
      <c r="CI293" s="135"/>
      <c r="CJ293" s="224">
        <f>SUM(CJ292:CK292,CM292:CN292)</f>
        <v>26.700000000000003</v>
      </c>
      <c r="CK293" s="135"/>
      <c r="CL293" s="135"/>
      <c r="CM293" s="135"/>
      <c r="CN293" s="135"/>
      <c r="CO293" s="135"/>
      <c r="CP293" s="224">
        <f>SUM(CP292:CQ292,CS292:CT292)</f>
        <v>99.000000000000014</v>
      </c>
      <c r="CQ293" s="135"/>
      <c r="CR293" s="135"/>
      <c r="CS293" s="135"/>
      <c r="CT293" s="135"/>
      <c r="CU293" s="135"/>
      <c r="CV293" s="135"/>
      <c r="CW293" s="135"/>
      <c r="CX293" s="135"/>
      <c r="CY293" s="135"/>
      <c r="CZ293" s="135"/>
      <c r="DA293" s="135"/>
      <c r="DB293" s="135"/>
      <c r="DC293" s="135"/>
      <c r="DD293" s="135"/>
      <c r="DE293" s="135"/>
      <c r="DF293" s="135"/>
      <c r="DG293" s="135"/>
      <c r="DH293" s="135"/>
      <c r="DI293" s="135"/>
      <c r="DJ293" s="135"/>
      <c r="DK293" s="135"/>
      <c r="DL293" s="135"/>
      <c r="DM293" s="135"/>
      <c r="DN293" s="135"/>
      <c r="DO293" s="135"/>
      <c r="DP293" s="135"/>
      <c r="DQ293" s="135"/>
      <c r="DR293" s="135"/>
      <c r="DS293" s="135"/>
      <c r="DT293" s="135"/>
      <c r="DU293" s="135"/>
      <c r="DV293" s="135"/>
      <c r="DW293" s="135"/>
      <c r="DX293" s="135"/>
      <c r="DY293" s="135"/>
      <c r="DZ293" s="135"/>
      <c r="EA293" s="135"/>
      <c r="EB293" s="135"/>
      <c r="EC293" s="135"/>
      <c r="ED293" s="135"/>
      <c r="EE293" s="135"/>
      <c r="EF293" s="135"/>
      <c r="EG293" s="135"/>
      <c r="EH293" s="579"/>
      <c r="EI293" s="519"/>
      <c r="EJ293" s="519"/>
      <c r="EK293" s="579"/>
      <c r="EL293" s="519"/>
      <c r="EM293" s="519"/>
      <c r="EN293" s="579"/>
      <c r="EO293" s="519"/>
      <c r="EP293" s="519"/>
      <c r="EQ293" s="580"/>
      <c r="ER293" s="580"/>
      <c r="ES293" s="519"/>
      <c r="ET293" s="519"/>
      <c r="EU293" s="580"/>
      <c r="EV293" s="580"/>
      <c r="EW293" s="580"/>
      <c r="EX293" s="580"/>
      <c r="EY293" s="580"/>
      <c r="EZ293" s="580"/>
      <c r="FA293" s="580"/>
      <c r="FB293" s="580"/>
      <c r="FC293" s="580"/>
      <c r="FD293" s="580"/>
      <c r="FE293" s="580"/>
      <c r="FF293" s="580"/>
      <c r="FG293" s="580"/>
      <c r="FH293" s="580"/>
    </row>
    <row r="294" spans="1:164" x14ac:dyDescent="0.2">
      <c r="A294" s="301" t="s">
        <v>132</v>
      </c>
      <c r="B294" s="302">
        <f>B233</f>
        <v>0</v>
      </c>
      <c r="C294" s="302"/>
      <c r="D294" s="302">
        <f t="shared" ref="D294:AZ294" si="502">D233</f>
        <v>3246</v>
      </c>
      <c r="E294" s="302"/>
      <c r="F294" s="302">
        <f t="shared" si="502"/>
        <v>3990</v>
      </c>
      <c r="G294" s="302"/>
      <c r="H294" s="302">
        <f t="shared" si="502"/>
        <v>5683</v>
      </c>
      <c r="I294" s="302"/>
      <c r="J294" s="302">
        <f t="shared" si="502"/>
        <v>4654</v>
      </c>
      <c r="K294" s="302"/>
      <c r="L294" s="302">
        <f t="shared" si="502"/>
        <v>3276.9830300000003</v>
      </c>
      <c r="M294" s="302"/>
      <c r="N294" s="302">
        <f t="shared" si="502"/>
        <v>2854</v>
      </c>
      <c r="O294" s="302"/>
      <c r="P294" s="302">
        <f t="shared" si="502"/>
        <v>2188</v>
      </c>
      <c r="Q294" s="302"/>
      <c r="R294" s="302">
        <f t="shared" si="502"/>
        <v>2011</v>
      </c>
      <c r="S294" s="302"/>
      <c r="T294" s="302">
        <f t="shared" si="502"/>
        <v>509</v>
      </c>
      <c r="U294" s="302"/>
      <c r="V294" s="302">
        <f t="shared" si="502"/>
        <v>529</v>
      </c>
      <c r="W294" s="302"/>
      <c r="X294" s="302">
        <f t="shared" si="502"/>
        <v>1462</v>
      </c>
      <c r="Y294" s="302"/>
      <c r="Z294" s="303">
        <f t="shared" si="502"/>
        <v>499</v>
      </c>
      <c r="AA294" s="302"/>
      <c r="AB294" s="303">
        <f t="shared" si="502"/>
        <v>158</v>
      </c>
      <c r="AC294" s="302"/>
      <c r="AD294" s="303">
        <f t="shared" si="502"/>
        <v>150</v>
      </c>
      <c r="AE294" s="195"/>
      <c r="AF294" s="303">
        <f t="shared" si="502"/>
        <v>292</v>
      </c>
      <c r="AG294" s="195"/>
      <c r="AH294" s="303">
        <f t="shared" si="502"/>
        <v>243</v>
      </c>
      <c r="AI294" s="275"/>
      <c r="AJ294" s="210">
        <f t="shared" si="502"/>
        <v>219</v>
      </c>
      <c r="AK294" s="210"/>
      <c r="AL294" s="210">
        <f t="shared" si="502"/>
        <v>157</v>
      </c>
      <c r="AM294" s="210"/>
      <c r="AN294" s="210">
        <f t="shared" si="502"/>
        <v>137</v>
      </c>
      <c r="AO294" s="210"/>
      <c r="AP294" s="300">
        <f t="shared" si="502"/>
        <v>488</v>
      </c>
      <c r="AQ294" s="210"/>
      <c r="AR294" s="210">
        <f t="shared" si="502"/>
        <v>469</v>
      </c>
      <c r="AS294" s="210"/>
      <c r="AT294" s="210">
        <f t="shared" si="502"/>
        <v>712</v>
      </c>
      <c r="AU294" s="210"/>
      <c r="AV294" s="210">
        <f t="shared" si="502"/>
        <v>1287</v>
      </c>
      <c r="AW294" s="210"/>
      <c r="AX294" s="300">
        <f t="shared" si="502"/>
        <v>529.44569999999999</v>
      </c>
      <c r="AY294" s="210"/>
      <c r="AZ294" s="210">
        <f t="shared" si="502"/>
        <v>380.983</v>
      </c>
      <c r="BA294" s="210"/>
      <c r="BB294" s="196">
        <f>BB233</f>
        <v>399.97719540000003</v>
      </c>
      <c r="BC294" s="196"/>
      <c r="BD294" s="196">
        <f>BD233</f>
        <v>299</v>
      </c>
      <c r="BE294" s="196"/>
      <c r="BF294" s="196">
        <f>BF233</f>
        <v>527</v>
      </c>
      <c r="BG294" s="196"/>
      <c r="BH294" s="196"/>
      <c r="BI294" s="196"/>
      <c r="BJ294" s="196"/>
      <c r="BK294" s="196"/>
      <c r="BL294" s="196">
        <f>BL233</f>
        <v>325.61500000000001</v>
      </c>
      <c r="BM294" s="196"/>
      <c r="BN294" s="196"/>
      <c r="BO294" s="196"/>
      <c r="BP294" s="196"/>
      <c r="BQ294" s="196"/>
      <c r="BR294" s="196">
        <f>BR233</f>
        <v>394.67500000000001</v>
      </c>
      <c r="BS294" s="196"/>
      <c r="BT294" s="196"/>
      <c r="BU294" s="196"/>
      <c r="BV294" s="196"/>
      <c r="BW294" s="196"/>
      <c r="BX294" s="196">
        <f>BX233</f>
        <v>275.78500000000003</v>
      </c>
      <c r="BY294" s="196"/>
      <c r="BZ294" s="196"/>
      <c r="CA294" s="196"/>
      <c r="CB294" s="196"/>
      <c r="CC294" s="196"/>
      <c r="CD294" s="196">
        <f>CD233</f>
        <v>148</v>
      </c>
      <c r="CE294" s="196"/>
      <c r="CF294" s="196"/>
      <c r="CG294" s="196"/>
      <c r="CH294" s="196"/>
      <c r="CI294" s="196"/>
      <c r="CJ294" s="196"/>
      <c r="CK294" s="196"/>
      <c r="CL294" s="196"/>
      <c r="CM294" s="196"/>
      <c r="CN294" s="196"/>
      <c r="CO294" s="196"/>
      <c r="CP294" s="196"/>
      <c r="CQ294" s="196"/>
      <c r="CR294" s="196"/>
      <c r="CS294" s="196"/>
      <c r="CT294" s="196"/>
      <c r="CU294" s="196"/>
      <c r="CV294" s="196"/>
      <c r="CW294" s="196"/>
      <c r="CX294" s="196"/>
      <c r="CY294" s="196"/>
      <c r="CZ294" s="196"/>
      <c r="DA294" s="196"/>
      <c r="DB294" s="196"/>
      <c r="DC294" s="196"/>
      <c r="DD294" s="196"/>
      <c r="DE294" s="196"/>
      <c r="DF294" s="196"/>
      <c r="DG294" s="196"/>
      <c r="DH294" s="196"/>
      <c r="DI294" s="196"/>
      <c r="DJ294" s="196"/>
      <c r="DK294" s="196"/>
      <c r="DL294" s="196"/>
      <c r="DM294" s="196"/>
      <c r="DN294" s="196"/>
      <c r="DO294" s="196"/>
      <c r="DP294" s="196"/>
      <c r="DQ294" s="196"/>
      <c r="DR294" s="196"/>
      <c r="DS294" s="196"/>
      <c r="DT294" s="196"/>
      <c r="DU294" s="196"/>
      <c r="DV294" s="196"/>
      <c r="DW294" s="196"/>
      <c r="DX294" s="196"/>
      <c r="DY294" s="196"/>
      <c r="DZ294" s="196"/>
      <c r="EA294" s="196"/>
      <c r="EB294" s="196"/>
      <c r="EC294" s="196"/>
      <c r="ED294" s="196"/>
      <c r="EE294" s="196"/>
      <c r="EF294" s="135"/>
      <c r="EG294" s="135"/>
      <c r="EH294" s="519"/>
      <c r="EI294" s="579"/>
      <c r="EJ294" s="519"/>
      <c r="EK294" s="519"/>
      <c r="EL294" s="580"/>
      <c r="EM294" s="580"/>
      <c r="EN294" s="580"/>
      <c r="EO294" s="580"/>
      <c r="EP294" s="580"/>
      <c r="EQ294" s="580"/>
      <c r="ER294" s="580"/>
      <c r="ES294" s="519"/>
      <c r="ET294" s="519"/>
      <c r="EU294" s="580"/>
      <c r="EV294" s="580"/>
      <c r="EW294" s="580"/>
      <c r="EX294" s="580"/>
      <c r="EY294" s="580"/>
      <c r="EZ294" s="580"/>
      <c r="FA294" s="580"/>
      <c r="FB294" s="580"/>
      <c r="FC294" s="580"/>
      <c r="FD294" s="580"/>
      <c r="FE294" s="580"/>
      <c r="FF294" s="580"/>
      <c r="FG294" s="580"/>
      <c r="FH294" s="580"/>
    </row>
    <row r="295" spans="1:164" x14ac:dyDescent="0.2">
      <c r="AH295" s="27"/>
      <c r="AI295" s="497"/>
      <c r="AJ295" s="704" t="s">
        <v>144</v>
      </c>
      <c r="AK295" s="705"/>
      <c r="AL295" s="705"/>
      <c r="AM295" s="705"/>
      <c r="AN295" s="705"/>
      <c r="AO295" s="705"/>
      <c r="AP295" s="705"/>
      <c r="AQ295" s="705"/>
      <c r="AR295" s="705"/>
      <c r="AS295" s="705"/>
      <c r="AT295" s="705"/>
      <c r="AU295" s="705"/>
      <c r="AV295" s="705"/>
      <c r="AW295" s="705"/>
      <c r="AX295" s="705"/>
      <c r="AY295" s="705"/>
      <c r="AZ295" s="705"/>
      <c r="BA295" s="705"/>
      <c r="BB295" s="705"/>
      <c r="BC295" s="705"/>
      <c r="BD295" s="705"/>
      <c r="BE295" s="705"/>
      <c r="BF295" s="705"/>
      <c r="BG295" s="705"/>
      <c r="BH295" s="705"/>
      <c r="BI295" s="705"/>
      <c r="BJ295" s="705"/>
      <c r="BK295" s="705"/>
      <c r="BL295" s="705"/>
      <c r="BM295" s="705"/>
      <c r="BN295" s="705"/>
      <c r="BO295" s="705"/>
      <c r="BP295" s="705"/>
      <c r="BQ295" s="706"/>
      <c r="BR295" s="705"/>
      <c r="BS295" s="705"/>
      <c r="BT295" s="705"/>
      <c r="BU295" s="705"/>
      <c r="BV295" s="705"/>
      <c r="BW295" s="706"/>
      <c r="BX295" s="705"/>
      <c r="BY295" s="705"/>
      <c r="BZ295" s="705"/>
      <c r="CA295" s="705"/>
      <c r="CB295" s="705"/>
      <c r="CC295" s="706"/>
      <c r="CD295" s="705"/>
      <c r="CE295" s="705"/>
      <c r="CF295" s="705"/>
      <c r="CG295" s="705"/>
      <c r="CH295" s="705"/>
      <c r="CI295" s="706"/>
      <c r="CJ295" s="705"/>
      <c r="CK295" s="705"/>
      <c r="CL295" s="705"/>
      <c r="CM295" s="705"/>
      <c r="CN295" s="705"/>
      <c r="CO295" s="706"/>
      <c r="CP295" s="369"/>
      <c r="CQ295" s="369"/>
      <c r="CR295" s="369"/>
      <c r="CS295" s="369"/>
      <c r="CT295" s="369"/>
      <c r="CU295" s="369"/>
      <c r="CV295" s="369"/>
      <c r="CW295" s="369"/>
      <c r="CX295" s="369"/>
      <c r="CY295" s="369"/>
      <c r="CZ295" s="369"/>
      <c r="DA295" s="369"/>
      <c r="DB295" s="369"/>
      <c r="DC295" s="369"/>
      <c r="DD295" s="369"/>
      <c r="DE295" s="369"/>
      <c r="DF295" s="369"/>
      <c r="DG295" s="369"/>
      <c r="DH295" s="369"/>
      <c r="DI295" s="369"/>
      <c r="DJ295" s="369"/>
      <c r="DK295" s="369"/>
      <c r="DL295" s="369"/>
      <c r="DM295" s="369"/>
      <c r="DN295" s="369"/>
      <c r="DO295" s="369"/>
      <c r="DP295" s="369"/>
      <c r="DQ295" s="369"/>
      <c r="DR295" s="369"/>
      <c r="DS295" s="369"/>
      <c r="DT295" s="369"/>
      <c r="DU295" s="369"/>
      <c r="DV295" s="369"/>
      <c r="DW295" s="369"/>
      <c r="DX295" s="369"/>
      <c r="DY295" s="369"/>
      <c r="DZ295" s="369"/>
      <c r="EA295" s="369"/>
      <c r="EB295" s="369"/>
      <c r="EC295" s="369"/>
      <c r="ED295" s="369"/>
      <c r="EE295" s="369"/>
      <c r="EH295" s="579"/>
      <c r="EI295" s="519"/>
      <c r="EJ295" s="519"/>
      <c r="EK295" s="579"/>
      <c r="EL295" s="519"/>
      <c r="EM295" s="519"/>
      <c r="EN295" s="579"/>
      <c r="EO295" s="519"/>
      <c r="EP295" s="519"/>
      <c r="EQ295" s="580"/>
      <c r="ER295" s="580"/>
      <c r="ES295" s="519"/>
      <c r="ET295" s="519"/>
      <c r="EU295" s="580"/>
      <c r="EV295" s="580"/>
      <c r="EW295" s="580"/>
      <c r="EX295" s="580"/>
      <c r="EY295" s="580"/>
      <c r="EZ295" s="580"/>
      <c r="FA295" s="580"/>
      <c r="FB295" s="580"/>
      <c r="FC295" s="580"/>
      <c r="FD295" s="580"/>
      <c r="FE295" s="580"/>
      <c r="FF295" s="580"/>
      <c r="FG295" s="580"/>
      <c r="FH295" s="580"/>
    </row>
    <row r="296" spans="1:164" s="308" customFormat="1" x14ac:dyDescent="0.2">
      <c r="A296" s="304" t="s">
        <v>133</v>
      </c>
      <c r="B296" s="305"/>
      <c r="C296" s="11"/>
      <c r="D296" s="305"/>
      <c r="E296" s="11"/>
      <c r="F296" s="305">
        <f>SUM(D256:D282)</f>
        <v>275</v>
      </c>
      <c r="G296" s="11"/>
      <c r="H296" s="305">
        <f t="shared" ref="H296:BB296" si="503">SUM(F256:F282)</f>
        <v>283.8</v>
      </c>
      <c r="I296" s="11"/>
      <c r="J296" s="305">
        <f t="shared" si="503"/>
        <v>369</v>
      </c>
      <c r="K296" s="11"/>
      <c r="L296" s="305">
        <f t="shared" si="503"/>
        <v>265.5</v>
      </c>
      <c r="M296" s="11"/>
      <c r="N296" s="305">
        <f t="shared" si="503"/>
        <v>235.1</v>
      </c>
      <c r="O296" s="11"/>
      <c r="P296" s="305">
        <f t="shared" si="503"/>
        <v>93</v>
      </c>
      <c r="Q296" s="11"/>
      <c r="R296" s="305">
        <f t="shared" si="503"/>
        <v>64</v>
      </c>
      <c r="S296" s="11"/>
      <c r="T296" s="305">
        <f t="shared" si="503"/>
        <v>48.5</v>
      </c>
      <c r="U296" s="11"/>
      <c r="V296" s="305">
        <f t="shared" si="503"/>
        <v>21</v>
      </c>
      <c r="W296" s="11"/>
      <c r="X296" s="305">
        <f t="shared" si="503"/>
        <v>25</v>
      </c>
      <c r="Y296" s="11"/>
      <c r="Z296" s="305">
        <f t="shared" si="503"/>
        <v>105.5</v>
      </c>
      <c r="AA296" s="11"/>
      <c r="AB296" s="305">
        <f t="shared" si="503"/>
        <v>0.66666666666666663</v>
      </c>
      <c r="AC296" s="11"/>
      <c r="AD296" s="305">
        <f t="shared" si="503"/>
        <v>1</v>
      </c>
      <c r="AE296" s="11"/>
      <c r="AF296" s="305">
        <f t="shared" si="503"/>
        <v>14.5</v>
      </c>
      <c r="AG296" s="11"/>
      <c r="AH296" s="305">
        <f t="shared" si="503"/>
        <v>10.333333333333332</v>
      </c>
      <c r="AI296" s="275"/>
      <c r="AJ296" s="703">
        <f t="shared" si="503"/>
        <v>3.333333333333333</v>
      </c>
      <c r="AK296" s="321"/>
      <c r="AL296" s="703">
        <f t="shared" si="503"/>
        <v>1</v>
      </c>
      <c r="AM296" s="321"/>
      <c r="AN296" s="703">
        <f t="shared" si="503"/>
        <v>4</v>
      </c>
      <c r="AO296" s="321"/>
      <c r="AP296" s="703">
        <f t="shared" si="503"/>
        <v>0</v>
      </c>
      <c r="AQ296" s="321"/>
      <c r="AR296" s="703">
        <f t="shared" si="503"/>
        <v>0</v>
      </c>
      <c r="AS296" s="321"/>
      <c r="AT296" s="703">
        <f t="shared" si="503"/>
        <v>3</v>
      </c>
      <c r="AU296" s="321"/>
      <c r="AV296" s="703">
        <f t="shared" si="503"/>
        <v>9.7272727272727266</v>
      </c>
      <c r="AW296" s="321"/>
      <c r="AX296" s="703">
        <f t="shared" si="503"/>
        <v>1.6666666666666667</v>
      </c>
      <c r="AY296" s="321"/>
      <c r="AZ296" s="703">
        <f t="shared" si="503"/>
        <v>28.833333333333332</v>
      </c>
      <c r="BA296" s="707" t="s">
        <v>263</v>
      </c>
      <c r="BB296" s="703">
        <f t="shared" si="503"/>
        <v>19.25</v>
      </c>
      <c r="BC296" s="707" t="s">
        <v>263</v>
      </c>
      <c r="BD296" s="703">
        <f>SUM(BB256:BB282)</f>
        <v>10</v>
      </c>
      <c r="BE296" s="707" t="s">
        <v>263</v>
      </c>
      <c r="BF296" s="703">
        <f>SUM(BD256:BD282)</f>
        <v>2.2111999999999998</v>
      </c>
      <c r="BG296" s="707" t="s">
        <v>263</v>
      </c>
      <c r="BH296" s="673"/>
      <c r="BI296" s="673"/>
      <c r="BJ296" s="673"/>
      <c r="BK296" s="673"/>
      <c r="BL296" s="306">
        <f>SUM(BH256:BH282)</f>
        <v>27.363476190476192</v>
      </c>
      <c r="BM296" s="707" t="s">
        <v>263</v>
      </c>
      <c r="BN296" s="664"/>
      <c r="BO296" s="664"/>
      <c r="BP296" s="664"/>
      <c r="BQ296" s="307"/>
      <c r="BR296" s="306">
        <f>SUM(BN256:BN282)</f>
        <v>5.3225792249484059</v>
      </c>
      <c r="BS296" s="707" t="s">
        <v>263</v>
      </c>
      <c r="BT296" s="664"/>
      <c r="BU296" s="664"/>
      <c r="BV296" s="664"/>
      <c r="BW296" s="307"/>
      <c r="BX296" s="306">
        <f>SUM(BT256:BT282)</f>
        <v>14.020133333333334</v>
      </c>
      <c r="BY296" s="707" t="s">
        <v>263</v>
      </c>
      <c r="BZ296" s="664"/>
      <c r="CA296" s="664"/>
      <c r="CB296" s="664"/>
      <c r="CC296" s="307"/>
      <c r="CD296" s="306">
        <f>SUM(BZ256:BZ282)</f>
        <v>14.342500000000001</v>
      </c>
      <c r="CE296" s="707" t="s">
        <v>263</v>
      </c>
      <c r="CF296" s="664"/>
      <c r="CG296" s="664"/>
      <c r="CH296" s="664"/>
      <c r="CI296" s="307"/>
      <c r="CJ296" s="306">
        <f>SUM(CF256:CF282)</f>
        <v>0</v>
      </c>
      <c r="CK296" s="707" t="s">
        <v>263</v>
      </c>
      <c r="CL296" s="664"/>
      <c r="CM296" s="664"/>
      <c r="CN296" s="664"/>
      <c r="CO296" s="307"/>
      <c r="CP296" s="306">
        <f>SUM(CL256:CL282)</f>
        <v>0</v>
      </c>
      <c r="CQ296" s="707" t="s">
        <v>263</v>
      </c>
      <c r="CR296" s="664"/>
      <c r="CS296" s="664"/>
      <c r="CT296" s="664"/>
      <c r="CU296" s="307"/>
      <c r="CV296" s="306">
        <f>SUM(CR256:CR282)</f>
        <v>16.933333333333334</v>
      </c>
      <c r="CW296" s="707" t="s">
        <v>263</v>
      </c>
      <c r="CX296" s="664"/>
      <c r="CY296" s="664"/>
      <c r="CZ296" s="664"/>
      <c r="DA296" s="307"/>
      <c r="DB296" s="306">
        <f>SUM(CX256:CX282)</f>
        <v>5.2159799999999992</v>
      </c>
      <c r="DC296" s="707" t="s">
        <v>263</v>
      </c>
      <c r="DD296" s="664"/>
      <c r="DE296" s="664"/>
      <c r="DF296" s="664"/>
      <c r="DG296" s="307"/>
      <c r="DH296" s="306">
        <f>SUM(DD256:DD282)</f>
        <v>1</v>
      </c>
      <c r="DI296" s="707" t="s">
        <v>263</v>
      </c>
      <c r="DJ296" s="664"/>
      <c r="DK296" s="664"/>
      <c r="DL296" s="664"/>
      <c r="DM296" s="307"/>
      <c r="DN296" s="306">
        <f>SUM(DJ256:DJ282)</f>
        <v>0</v>
      </c>
      <c r="DO296" s="707" t="s">
        <v>263</v>
      </c>
      <c r="DP296" s="664"/>
      <c r="DQ296" s="664"/>
      <c r="DR296" s="664"/>
      <c r="DS296" s="307"/>
      <c r="DT296" s="306">
        <f>SUM(DP256:DP282)</f>
        <v>3.5</v>
      </c>
      <c r="DU296" s="707" t="s">
        <v>263</v>
      </c>
      <c r="DV296" s="664"/>
      <c r="DW296" s="664"/>
      <c r="DX296" s="664"/>
      <c r="DY296" s="307"/>
      <c r="DZ296" s="306">
        <f>SUM(DV256:DV282)</f>
        <v>0</v>
      </c>
      <c r="EA296" s="707" t="s">
        <v>263</v>
      </c>
      <c r="EB296" s="664"/>
      <c r="EC296" s="664"/>
      <c r="ED296" s="664"/>
      <c r="EE296" s="307"/>
      <c r="EF296" s="120"/>
      <c r="EG296" s="120"/>
      <c r="EH296" s="622"/>
      <c r="EI296" s="622"/>
      <c r="EJ296" s="622"/>
      <c r="EK296" s="622"/>
      <c r="EL296" s="622"/>
      <c r="EM296" s="622"/>
      <c r="EN296" s="622"/>
      <c r="EO296" s="622"/>
      <c r="EP296" s="622"/>
      <c r="EQ296" s="624"/>
      <c r="ER296" s="624"/>
      <c r="ES296" s="622"/>
      <c r="ET296" s="622"/>
      <c r="EU296" s="624"/>
      <c r="EV296" s="624"/>
      <c r="EW296" s="624"/>
      <c r="EX296" s="624"/>
      <c r="EY296" s="624"/>
      <c r="EZ296" s="624"/>
      <c r="FA296" s="624"/>
      <c r="FB296" s="624"/>
      <c r="FC296" s="624"/>
      <c r="FD296" s="624"/>
      <c r="FE296" s="624"/>
      <c r="FF296" s="624"/>
      <c r="FG296" s="624"/>
      <c r="FH296" s="624"/>
    </row>
    <row r="297" spans="1:164" x14ac:dyDescent="0.2">
      <c r="A297" s="87" t="s">
        <v>75</v>
      </c>
      <c r="B297" s="90">
        <v>1984</v>
      </c>
      <c r="C297" s="91"/>
      <c r="D297" s="90">
        <v>1985</v>
      </c>
      <c r="E297" s="91"/>
      <c r="F297" s="90">
        <v>1986</v>
      </c>
      <c r="G297" s="91"/>
      <c r="H297" s="90">
        <v>1987</v>
      </c>
      <c r="I297" s="91"/>
      <c r="J297" s="90">
        <v>1988</v>
      </c>
      <c r="K297" s="91"/>
      <c r="L297" s="90">
        <v>1989</v>
      </c>
      <c r="M297" s="91"/>
      <c r="N297" s="90">
        <v>1990</v>
      </c>
      <c r="O297" s="91"/>
      <c r="P297" s="90">
        <v>1991</v>
      </c>
      <c r="Q297" s="91"/>
      <c r="R297" s="90">
        <v>1992</v>
      </c>
      <c r="S297" s="91"/>
      <c r="T297" s="90">
        <v>1993</v>
      </c>
      <c r="U297" s="91"/>
      <c r="V297" s="90">
        <v>1994</v>
      </c>
      <c r="W297" s="91"/>
      <c r="X297" s="90">
        <v>1995</v>
      </c>
      <c r="Y297" s="91"/>
      <c r="Z297" s="90">
        <v>1996</v>
      </c>
      <c r="AA297" s="91"/>
      <c r="AB297" s="90">
        <v>1997</v>
      </c>
      <c r="AC297" s="91"/>
      <c r="AD297" s="90">
        <v>1998</v>
      </c>
      <c r="AE297" s="91"/>
      <c r="AF297" s="90">
        <v>1999</v>
      </c>
      <c r="AG297" s="91"/>
      <c r="AH297" s="90">
        <v>2000</v>
      </c>
      <c r="AI297" s="282"/>
      <c r="AJ297" s="134">
        <v>2001</v>
      </c>
      <c r="AK297" s="133"/>
      <c r="AL297" s="134">
        <v>2002</v>
      </c>
      <c r="AM297" s="133"/>
      <c r="AN297" s="134">
        <v>2003</v>
      </c>
      <c r="AO297" s="133"/>
      <c r="AP297" s="134">
        <v>2004</v>
      </c>
      <c r="AQ297" s="133"/>
      <c r="AR297" s="134">
        <v>2005</v>
      </c>
      <c r="AS297" s="133"/>
      <c r="AT297" s="134">
        <v>2006</v>
      </c>
      <c r="AU297" s="133"/>
      <c r="AV297" s="134">
        <v>2007</v>
      </c>
      <c r="AW297" s="133"/>
      <c r="AX297" s="134">
        <v>2008</v>
      </c>
      <c r="AY297" s="133"/>
      <c r="AZ297" s="134">
        <v>2009</v>
      </c>
      <c r="BA297" s="133"/>
      <c r="BB297" s="134">
        <v>2010</v>
      </c>
      <c r="BC297" s="133"/>
      <c r="BD297" s="134">
        <v>2011</v>
      </c>
      <c r="BE297" s="133"/>
      <c r="BF297" s="134">
        <v>2012</v>
      </c>
      <c r="BG297" s="132"/>
      <c r="BH297" s="132"/>
      <c r="BI297" s="132"/>
      <c r="BJ297" s="132"/>
      <c r="BK297" s="132"/>
      <c r="BL297" s="134">
        <v>2013</v>
      </c>
      <c r="BM297" s="132"/>
      <c r="BN297" s="132"/>
      <c r="BO297" s="132"/>
      <c r="BP297" s="132"/>
      <c r="BQ297" s="133"/>
      <c r="BR297" s="134">
        <v>2014</v>
      </c>
      <c r="BS297" s="132"/>
      <c r="BT297" s="132"/>
      <c r="BU297" s="132"/>
      <c r="BV297" s="132"/>
      <c r="BW297" s="133"/>
      <c r="BX297" s="134">
        <v>2015</v>
      </c>
      <c r="BY297" s="132"/>
      <c r="BZ297" s="132"/>
      <c r="CA297" s="132"/>
      <c r="CB297" s="132"/>
      <c r="CC297" s="133"/>
      <c r="CD297" s="134">
        <v>2016</v>
      </c>
      <c r="CE297" s="132"/>
      <c r="CF297" s="132"/>
      <c r="CG297" s="132"/>
      <c r="CH297" s="132"/>
      <c r="CI297" s="133"/>
      <c r="CJ297" s="134">
        <v>2017</v>
      </c>
      <c r="CK297" s="132"/>
      <c r="CL297" s="132"/>
      <c r="CM297" s="132"/>
      <c r="CN297" s="132"/>
      <c r="CO297" s="133"/>
      <c r="CP297" s="134">
        <v>2018</v>
      </c>
      <c r="CQ297" s="132"/>
      <c r="CR297" s="132"/>
      <c r="CS297" s="132"/>
      <c r="CT297" s="132"/>
      <c r="CU297" s="133"/>
      <c r="CV297" s="134">
        <v>2019</v>
      </c>
      <c r="CW297" s="132"/>
      <c r="CX297" s="132"/>
      <c r="CY297" s="132"/>
      <c r="CZ297" s="132"/>
      <c r="DA297" s="133"/>
      <c r="DB297" s="134">
        <v>2020</v>
      </c>
      <c r="DC297" s="132"/>
      <c r="DD297" s="132"/>
      <c r="DE297" s="132"/>
      <c r="DF297" s="132"/>
      <c r="DG297" s="133"/>
      <c r="DH297" s="134">
        <v>2021</v>
      </c>
      <c r="DI297" s="132"/>
      <c r="DJ297" s="132"/>
      <c r="DK297" s="132"/>
      <c r="DL297" s="132"/>
      <c r="DM297" s="133"/>
      <c r="DN297" s="134">
        <v>2022</v>
      </c>
      <c r="DO297" s="132"/>
      <c r="DP297" s="132"/>
      <c r="DQ297" s="132"/>
      <c r="DR297" s="132"/>
      <c r="DS297" s="133"/>
      <c r="DT297" s="134">
        <v>2023</v>
      </c>
      <c r="DU297" s="132"/>
      <c r="DV297" s="132"/>
      <c r="DW297" s="132"/>
      <c r="DX297" s="132"/>
      <c r="DY297" s="133"/>
      <c r="DZ297" s="134">
        <v>2024</v>
      </c>
      <c r="EA297" s="132"/>
      <c r="EB297" s="132"/>
      <c r="EC297" s="132"/>
      <c r="ED297" s="132"/>
      <c r="EE297" s="133"/>
    </row>
    <row r="298" spans="1:164" s="308" customFormat="1" x14ac:dyDescent="0.2">
      <c r="A298" s="309" t="s">
        <v>134</v>
      </c>
      <c r="B298" s="310"/>
      <c r="C298" s="11"/>
      <c r="D298" s="310"/>
      <c r="E298" s="11"/>
      <c r="F298" s="310">
        <f>SUM(D283:D291,F239:F255)</f>
        <v>4518.4851634715251</v>
      </c>
      <c r="G298" s="11"/>
      <c r="H298" s="310">
        <f>SUM(F283:F291,H239:H255)</f>
        <v>3481.8230707870216</v>
      </c>
      <c r="I298" s="11"/>
      <c r="J298" s="310">
        <f>SUM(H283:H291,J239:J255)</f>
        <v>3987.1818452744369</v>
      </c>
      <c r="K298" s="11"/>
      <c r="L298" s="310">
        <f>SUM(J283:J291,L239:L255)</f>
        <v>2902.9172431015522</v>
      </c>
      <c r="M298" s="11"/>
      <c r="N298" s="310">
        <f>SUM(L283:L291,N239:N255)</f>
        <v>3076.1031808089328</v>
      </c>
      <c r="O298" s="11"/>
      <c r="P298" s="310">
        <f>SUM(N283:N291,P239:P255)</f>
        <v>1590.7294138642621</v>
      </c>
      <c r="Q298" s="11"/>
      <c r="R298" s="310">
        <f>SUM(P283:P291,R239:R255)</f>
        <v>2245.9774229691875</v>
      </c>
      <c r="S298" s="11"/>
      <c r="T298" s="310">
        <f>SUM(R283:R291,T239:T255)</f>
        <v>698.45971914264601</v>
      </c>
      <c r="U298" s="11"/>
      <c r="V298" s="310">
        <f>SUM(T283:T291,V239:V255)</f>
        <v>172.52265690965382</v>
      </c>
      <c r="W298" s="11"/>
      <c r="X298" s="310">
        <f>SUM(V283:V291,X239:X255)</f>
        <v>915.01050061050046</v>
      </c>
      <c r="Y298" s="11"/>
      <c r="Z298" s="310">
        <f>SUM(X283:X291,Z239:Z255)</f>
        <v>979.82234432234441</v>
      </c>
      <c r="AA298" s="11"/>
      <c r="AB298" s="310">
        <f>SUM(Z283:Z291,AB239:AB255)</f>
        <v>96.525000000000006</v>
      </c>
      <c r="AC298" s="11"/>
      <c r="AD298" s="310">
        <f>SUM(AB283:AB291,AD239:AD255)</f>
        <v>32</v>
      </c>
      <c r="AE298" s="11"/>
      <c r="AF298" s="310">
        <f>SUM(AD283:AD291,AF239:AF255)</f>
        <v>186.45411908353083</v>
      </c>
      <c r="AG298" s="11"/>
      <c r="AH298" s="310">
        <f>SUM(AF283:AF291,AH239:AH255)</f>
        <v>176.52476723482911</v>
      </c>
      <c r="AI298" s="275"/>
      <c r="AJ298" s="310">
        <f>SUM(AH283:AH291,AJ239:AJ255)</f>
        <v>68.875091575091574</v>
      </c>
      <c r="AK298" s="307"/>
      <c r="AL298" s="310">
        <f>SUM(AJ283:AJ291,AL239:AL255)</f>
        <v>184.08475783475785</v>
      </c>
      <c r="AM298" s="307"/>
      <c r="AN298" s="310">
        <f>SUM(AL283:AL291,AN239:AN255)</f>
        <v>24.563492063492063</v>
      </c>
      <c r="AO298" s="307"/>
      <c r="AP298" s="310">
        <f>SUM(AN283:AN291,AP239:AP255)</f>
        <v>125.57894736842105</v>
      </c>
      <c r="AQ298" s="307"/>
      <c r="AR298" s="310">
        <f>SUM(AP283:AP291,AR239:AR255)</f>
        <v>482.87873589044256</v>
      </c>
      <c r="AS298" s="307"/>
      <c r="AT298" s="310">
        <f>SUM(AR283:AR291,AT239:AT255)</f>
        <v>95.074738648775167</v>
      </c>
      <c r="AU298" s="307"/>
      <c r="AV298" s="310">
        <f>SUM(AT283:AT291,AV239:AV255)</f>
        <v>868.26169108669103</v>
      </c>
      <c r="AW298" s="307"/>
      <c r="AX298" s="310">
        <f>SUM(AV283:AV291,AX239:AX255)</f>
        <v>347.39333333333332</v>
      </c>
      <c r="AY298" s="307"/>
      <c r="AZ298" s="310">
        <f>SUM(AX283:AX291,AZ239:AZ255)</f>
        <v>193.8524783634933</v>
      </c>
      <c r="BA298" s="707" t="s">
        <v>263</v>
      </c>
      <c r="BB298" s="310">
        <f>SUM(AZ283:AZ291,BB239:BB255)</f>
        <v>295.00546558704451</v>
      </c>
      <c r="BC298" s="707" t="s">
        <v>263</v>
      </c>
      <c r="BD298" s="310">
        <f>SUM(BB283:BB291,BD239:BD255)</f>
        <v>188.43414781297136</v>
      </c>
      <c r="BE298" s="707" t="s">
        <v>263</v>
      </c>
      <c r="BF298" s="310">
        <f>SUM(BD283:BD291,BH239:BH255)</f>
        <v>187.57902697921276</v>
      </c>
      <c r="BG298" s="707" t="s">
        <v>263</v>
      </c>
      <c r="BH298" s="664"/>
      <c r="BI298" s="664"/>
      <c r="BJ298" s="664"/>
      <c r="BK298" s="664"/>
      <c r="BL298" s="310">
        <f>SUM(BH283:BH291,BN239:BN255)</f>
        <v>164.81314135873023</v>
      </c>
      <c r="BM298" s="707" t="s">
        <v>263</v>
      </c>
      <c r="BN298" s="664"/>
      <c r="BO298" s="664"/>
      <c r="BP298" s="664"/>
      <c r="BQ298" s="307"/>
      <c r="BR298" s="310">
        <f>SUM(BN283:BN291,BT239:BT255)</f>
        <v>42.732690574712649</v>
      </c>
      <c r="BS298" s="707" t="s">
        <v>263</v>
      </c>
      <c r="BT298" s="664"/>
      <c r="BU298" s="664"/>
      <c r="BV298" s="664"/>
      <c r="BW298" s="307"/>
      <c r="BX298" s="310">
        <f>SUM(BT283:BT291,BZ239:BZ255)</f>
        <v>77.624406722689073</v>
      </c>
      <c r="BY298" s="707" t="s">
        <v>263</v>
      </c>
      <c r="BZ298" s="664"/>
      <c r="CA298" s="664"/>
      <c r="CB298" s="664"/>
      <c r="CC298" s="307"/>
      <c r="CD298" s="310">
        <f>SUM(BZ283:BZ291,CF239:CF255)</f>
        <v>2</v>
      </c>
      <c r="CE298" s="707" t="s">
        <v>263</v>
      </c>
      <c r="CF298" s="664"/>
      <c r="CG298" s="664"/>
      <c r="CH298" s="664"/>
      <c r="CI298" s="307"/>
      <c r="CJ298" s="310">
        <f>SUM(CF283:CF291,CL239:CL255)</f>
        <v>0</v>
      </c>
      <c r="CK298" s="707" t="s">
        <v>263</v>
      </c>
      <c r="CL298" s="664"/>
      <c r="CM298" s="664"/>
      <c r="CN298" s="664"/>
      <c r="CO298" s="307"/>
      <c r="CP298" s="310">
        <f>SUM(CL283:CL291,CR239:CR255)</f>
        <v>1</v>
      </c>
      <c r="CQ298" s="707" t="s">
        <v>263</v>
      </c>
      <c r="CR298" s="664"/>
      <c r="CS298" s="664"/>
      <c r="CT298" s="664"/>
      <c r="CU298" s="307"/>
      <c r="CV298" s="310">
        <f>SUM(CR283:CR291,CX239:CX255)</f>
        <v>0</v>
      </c>
      <c r="CW298" s="707" t="s">
        <v>263</v>
      </c>
      <c r="CX298" s="664"/>
      <c r="CY298" s="664"/>
      <c r="CZ298" s="664"/>
      <c r="DA298" s="307"/>
      <c r="DB298" s="310">
        <f>SUM(CX283:CX291,DD239:DD255)</f>
        <v>0</v>
      </c>
      <c r="DC298" s="707" t="s">
        <v>263</v>
      </c>
      <c r="DD298" s="664"/>
      <c r="DE298" s="664"/>
      <c r="DF298" s="664"/>
      <c r="DG298" s="307"/>
      <c r="DH298" s="310">
        <f>SUM(DD283:DD291,DJ239:DJ255)</f>
        <v>0</v>
      </c>
      <c r="DI298" s="707" t="s">
        <v>263</v>
      </c>
      <c r="DJ298" s="664"/>
      <c r="DK298" s="664"/>
      <c r="DL298" s="664"/>
      <c r="DM298" s="307"/>
      <c r="DN298" s="310">
        <f>SUM(DJ283:DJ291,DP239:DP255)</f>
        <v>0</v>
      </c>
      <c r="DO298" s="707" t="s">
        <v>263</v>
      </c>
      <c r="DP298" s="664"/>
      <c r="DQ298" s="664"/>
      <c r="DR298" s="664"/>
      <c r="DS298" s="307"/>
      <c r="DT298" s="310">
        <f>SUM(DP283:DP291,DV239:DV255)</f>
        <v>0</v>
      </c>
      <c r="DU298" s="707" t="s">
        <v>263</v>
      </c>
      <c r="DV298" s="664"/>
      <c r="DW298" s="664"/>
      <c r="DX298" s="664"/>
      <c r="DY298" s="307"/>
      <c r="DZ298" s="310">
        <f>SUM(DV283:DV291,EB239:EB255)</f>
        <v>0</v>
      </c>
      <c r="EA298" s="707" t="s">
        <v>263</v>
      </c>
      <c r="EB298" s="664"/>
      <c r="EC298" s="664"/>
      <c r="ED298" s="664"/>
      <c r="EE298" s="307"/>
      <c r="EF298" s="120"/>
      <c r="EG298" s="120"/>
      <c r="EH298" s="121"/>
      <c r="EI298" s="121"/>
      <c r="EJ298" s="121"/>
      <c r="EK298" s="121"/>
      <c r="EL298" s="121"/>
      <c r="EM298" s="121"/>
      <c r="EN298" s="121"/>
      <c r="EO298" s="121"/>
      <c r="EP298" s="121"/>
      <c r="ES298" s="26"/>
      <c r="ET298" s="26"/>
    </row>
    <row r="299" spans="1:164" ht="15" x14ac:dyDescent="0.25">
      <c r="A299" s="87" t="s">
        <v>77</v>
      </c>
      <c r="B299" s="113" t="s">
        <v>135</v>
      </c>
      <c r="C299" s="91"/>
      <c r="D299" s="113" t="s">
        <v>112</v>
      </c>
      <c r="E299" s="179"/>
      <c r="F299" s="113" t="s">
        <v>113</v>
      </c>
      <c r="G299" s="179"/>
      <c r="H299" s="113" t="s">
        <v>114</v>
      </c>
      <c r="I299" s="179"/>
      <c r="J299" s="113" t="s">
        <v>115</v>
      </c>
      <c r="K299" s="179"/>
      <c r="L299" s="113" t="s">
        <v>116</v>
      </c>
      <c r="M299" s="179"/>
      <c r="N299" s="113" t="s">
        <v>117</v>
      </c>
      <c r="O299" s="179"/>
      <c r="P299" s="113" t="s">
        <v>118</v>
      </c>
      <c r="Q299" s="179"/>
      <c r="R299" s="113" t="s">
        <v>53</v>
      </c>
      <c r="S299" s="179"/>
      <c r="T299" s="113" t="s">
        <v>54</v>
      </c>
      <c r="U299" s="179"/>
      <c r="V299" s="113" t="s">
        <v>55</v>
      </c>
      <c r="W299" s="179"/>
      <c r="X299" s="113" t="s">
        <v>56</v>
      </c>
      <c r="Y299" s="179"/>
      <c r="Z299" s="113" t="s">
        <v>57</v>
      </c>
      <c r="AA299" s="179"/>
      <c r="AB299" s="113" t="s">
        <v>58</v>
      </c>
      <c r="AC299" s="179"/>
      <c r="AD299" s="113" t="s">
        <v>59</v>
      </c>
      <c r="AE299" s="179"/>
      <c r="AF299" s="113" t="s">
        <v>60</v>
      </c>
      <c r="AG299" s="179"/>
      <c r="AH299" s="113" t="s">
        <v>61</v>
      </c>
      <c r="AI299" s="282"/>
      <c r="AJ299" s="113" t="s">
        <v>62</v>
      </c>
      <c r="AK299" s="280"/>
      <c r="AL299" s="103" t="s">
        <v>63</v>
      </c>
      <c r="AM299" s="106"/>
      <c r="AN299" s="103" t="s">
        <v>64</v>
      </c>
      <c r="AO299" s="106"/>
      <c r="AP299" s="103" t="s">
        <v>65</v>
      </c>
      <c r="AQ299" s="106"/>
      <c r="AR299" s="103" t="s">
        <v>66</v>
      </c>
      <c r="AS299" s="106"/>
      <c r="AT299" s="103" t="s">
        <v>67</v>
      </c>
      <c r="AU299" s="106"/>
      <c r="AV299" s="103" t="s">
        <v>68</v>
      </c>
      <c r="AW299" s="106"/>
      <c r="AX299" s="103" t="s">
        <v>69</v>
      </c>
      <c r="AY299" s="106"/>
      <c r="AZ299" s="103" t="s">
        <v>70</v>
      </c>
      <c r="BA299" s="106"/>
      <c r="BB299" s="103" t="s">
        <v>71</v>
      </c>
      <c r="BC299" s="106"/>
      <c r="BD299" s="103" t="s">
        <v>119</v>
      </c>
      <c r="BE299" s="106"/>
      <c r="BF299" s="103" t="s">
        <v>120</v>
      </c>
      <c r="BG299" s="114"/>
      <c r="BH299" s="114"/>
      <c r="BI299" s="114"/>
      <c r="BJ299" s="114"/>
      <c r="BK299" s="114"/>
      <c r="BL299" s="103" t="s">
        <v>121</v>
      </c>
      <c r="BM299" s="114"/>
      <c r="BN299" s="114"/>
      <c r="BO299" s="114"/>
      <c r="BP299" s="114"/>
      <c r="BQ299" s="106"/>
      <c r="BR299" s="103" t="s">
        <v>286</v>
      </c>
      <c r="BS299" s="114"/>
      <c r="BT299" s="114"/>
      <c r="BU299" s="114"/>
      <c r="BV299" s="114"/>
      <c r="BW299" s="106"/>
      <c r="BX299" s="103" t="s">
        <v>298</v>
      </c>
      <c r="BY299" s="114"/>
      <c r="BZ299" s="114"/>
      <c r="CA299" s="114"/>
      <c r="CB299" s="114"/>
      <c r="CC299" s="106"/>
      <c r="CD299" s="103" t="s">
        <v>335</v>
      </c>
      <c r="CE299" s="114"/>
      <c r="CF299" s="114"/>
      <c r="CG299" s="114"/>
      <c r="CH299" s="114"/>
      <c r="CI299" s="106"/>
      <c r="CJ299" s="103" t="s">
        <v>364</v>
      </c>
      <c r="CK299" s="114"/>
      <c r="CL299" s="114"/>
      <c r="CM299" s="114"/>
      <c r="CN299" s="114"/>
      <c r="CO299" s="106"/>
      <c r="CP299" s="103" t="s">
        <v>384</v>
      </c>
      <c r="CQ299" s="114"/>
      <c r="CR299" s="114"/>
      <c r="CS299" s="114"/>
      <c r="CT299" s="114"/>
      <c r="CU299" s="106"/>
      <c r="CV299" s="103" t="s">
        <v>446</v>
      </c>
      <c r="CW299" s="114"/>
      <c r="CX299" s="114"/>
      <c r="CY299" s="114"/>
      <c r="CZ299" s="114"/>
      <c r="DA299" s="106"/>
      <c r="DB299" s="103" t="s">
        <v>467</v>
      </c>
      <c r="DC299" s="114"/>
      <c r="DD299" s="114"/>
      <c r="DE299" s="114"/>
      <c r="DF299" s="114"/>
      <c r="DG299" s="106"/>
      <c r="DH299" s="103" t="s">
        <v>477</v>
      </c>
      <c r="DI299" s="114"/>
      <c r="DJ299" s="114"/>
      <c r="DK299" s="114"/>
      <c r="DL299" s="114"/>
      <c r="DM299" s="106"/>
      <c r="DN299" s="103" t="s">
        <v>487</v>
      </c>
      <c r="DO299" s="107"/>
      <c r="DP299" s="114"/>
      <c r="DQ299" s="114"/>
      <c r="DR299" s="114"/>
      <c r="DS299" s="106"/>
      <c r="DT299" s="103" t="s">
        <v>492</v>
      </c>
      <c r="DU299" s="114"/>
      <c r="DV299" s="114"/>
      <c r="DW299" s="114"/>
      <c r="DX299" s="114"/>
      <c r="DY299" s="106"/>
      <c r="DZ299" s="103" t="s">
        <v>531</v>
      </c>
      <c r="EA299" s="114"/>
      <c r="EB299" s="114"/>
      <c r="EC299" s="114"/>
      <c r="ED299" s="114"/>
      <c r="EE299" s="106"/>
      <c r="EF299"/>
      <c r="EG299"/>
    </row>
    <row r="300" spans="1:164" x14ac:dyDescent="0.2">
      <c r="A300" s="108" t="s">
        <v>136</v>
      </c>
      <c r="B300" s="489"/>
      <c r="C300" s="370"/>
      <c r="D300" s="489"/>
      <c r="E300" s="370"/>
      <c r="G300" s="371">
        <f>SUM(E265:E291,G239:G264)</f>
        <v>540.51483652847469</v>
      </c>
      <c r="H300" s="489"/>
      <c r="I300" s="371">
        <f>SUM(G265:G291,I239:I264)</f>
        <v>673.37692921297844</v>
      </c>
      <c r="J300" s="489"/>
      <c r="K300" s="371">
        <f>SUM(I265:I291,K239:K264)</f>
        <v>871.81815472556264</v>
      </c>
      <c r="L300" s="489"/>
      <c r="M300" s="371">
        <f>SUM(K265:K291,M239:M264)</f>
        <v>801.56578689844775</v>
      </c>
      <c r="N300" s="489"/>
      <c r="O300" s="371">
        <f>SUM(M265:M291,O239:O264)</f>
        <v>374.89681919106721</v>
      </c>
      <c r="P300" s="489"/>
      <c r="Q300" s="371">
        <f>SUM(O265:O291,Q239:Q264)</f>
        <v>558.27058613573763</v>
      </c>
      <c r="R300" s="489"/>
      <c r="S300" s="371">
        <f>SUM(Q265:Q291,S239:S264)</f>
        <v>116.02257703081233</v>
      </c>
      <c r="T300" s="489"/>
      <c r="U300" s="371">
        <f>SUM(S265:S291,U239:U264)</f>
        <v>58.040280857354027</v>
      </c>
      <c r="V300" s="489"/>
      <c r="W300" s="371">
        <f>SUM(U265:U291,W239:W264)</f>
        <v>62.477343090346181</v>
      </c>
      <c r="X300" s="489"/>
      <c r="Y300" s="371">
        <f>SUM(W265:W291,Y239:Y264)</f>
        <v>296.98949938949937</v>
      </c>
      <c r="Z300" s="489"/>
      <c r="AA300" s="371">
        <f>SUM(Y265:Y291,AA239:AA264)</f>
        <v>46.177655677655672</v>
      </c>
      <c r="AB300" s="489"/>
      <c r="AC300" s="371">
        <f>SUM(AA265:AA291,AC239:AC264)</f>
        <v>62.808333333333337</v>
      </c>
      <c r="AD300" s="489"/>
      <c r="AE300" s="371">
        <f>SUM(AC265:AC291,AE239:AE264)</f>
        <v>48</v>
      </c>
      <c r="AF300" s="489"/>
      <c r="AG300" s="371">
        <f>SUM(AE265:AE291,AG239:AG264)</f>
        <v>101.04588091646916</v>
      </c>
      <c r="AH300" s="489"/>
      <c r="AI300" s="371">
        <f>SUM(AG265:AG291,AI239:AI264)</f>
        <v>50.141899431837508</v>
      </c>
      <c r="AJ300" s="143"/>
      <c r="AK300" s="371">
        <f>SUM(AI265:AI291,AK239:AK264)</f>
        <v>40.791575091575091</v>
      </c>
      <c r="AL300" s="143"/>
      <c r="AM300" s="371">
        <f>SUM(AK265:AK291,AM239:AM264)</f>
        <v>106.91524216524218</v>
      </c>
      <c r="AN300" s="143"/>
      <c r="AO300" s="371">
        <f>SUM(AM265:AM291,AO239:AO264)</f>
        <v>40.436507936507937</v>
      </c>
      <c r="AP300" s="143"/>
      <c r="AQ300" s="371">
        <f>SUM(AO265:AO291,AQ239:AQ264)</f>
        <v>200.42105263157896</v>
      </c>
      <c r="AR300" s="143"/>
      <c r="AS300" s="371">
        <f>SUM(AQ265:AQ291,AS239:AS264)</f>
        <v>197.12126410955744</v>
      </c>
      <c r="AT300" s="143"/>
      <c r="AU300" s="371">
        <f>SUM(AS265:AS291,AU239:AU264)</f>
        <v>276.92526135122483</v>
      </c>
      <c r="AV300" s="143"/>
      <c r="AW300" s="371">
        <f>SUM(AU265:AU291,AW239:AW264)</f>
        <v>438.01103618603622</v>
      </c>
      <c r="AX300" s="143"/>
      <c r="AY300" s="371">
        <f>SUM(AW265:AW291,AY239:AY264)</f>
        <v>296.88569999999999</v>
      </c>
      <c r="AZ300" s="707" t="s">
        <v>263</v>
      </c>
      <c r="BA300" s="371">
        <f>SUM(AY265:AY291,BA239:BA264)</f>
        <v>123.79718830317337</v>
      </c>
      <c r="BB300" s="707" t="s">
        <v>263</v>
      </c>
      <c r="BC300" s="371">
        <f>SUM(BA265:BA291,BC239:BC264)</f>
        <v>123.02172981295547</v>
      </c>
      <c r="BD300" s="707" t="s">
        <v>263</v>
      </c>
      <c r="BE300" s="371">
        <f>SUM(BC265:BC291,BE239:BE264)</f>
        <v>178.19825218702869</v>
      </c>
      <c r="BF300" s="271"/>
      <c r="BG300" s="671">
        <f>SUM(BE265:BE291,BK239:BK264)</f>
        <v>153.50899010412058</v>
      </c>
      <c r="BH300" s="708" t="s">
        <v>263</v>
      </c>
      <c r="BI300" s="266"/>
      <c r="BJ300" s="266"/>
      <c r="BK300" s="266"/>
      <c r="BL300" s="271"/>
      <c r="BM300" s="671">
        <f>SUM(BK265:BK291,BQ239:BQ264)</f>
        <v>168.49524439255907</v>
      </c>
      <c r="BN300" s="708" t="s">
        <v>263</v>
      </c>
      <c r="BO300" s="266"/>
      <c r="BP300" s="266">
        <f>SUM(BI265:BJ291,BO239:BP264)</f>
        <v>281.13223459839423</v>
      </c>
      <c r="BQ300" s="267" t="s">
        <v>264</v>
      </c>
      <c r="BR300" s="271"/>
      <c r="BS300" s="671">
        <f>SUM(BQ265:BQ291,BW239:BW264)</f>
        <v>208.18053908759904</v>
      </c>
      <c r="BT300" s="707" t="s">
        <v>263</v>
      </c>
      <c r="BU300" s="266"/>
      <c r="BV300" s="266"/>
      <c r="BW300" s="267"/>
      <c r="BX300" s="271"/>
      <c r="BY300" s="671">
        <f>SUM(BW265:BW291,CC239:CC264)</f>
        <v>73.116105277310936</v>
      </c>
      <c r="BZ300" s="707" t="s">
        <v>263</v>
      </c>
      <c r="CA300" s="266"/>
      <c r="CB300" s="266"/>
      <c r="CC300" s="267"/>
      <c r="CD300" s="271"/>
      <c r="CE300" s="671">
        <f>SUM(CC265:CC291,CI239:CI265)</f>
        <v>40.492467500000011</v>
      </c>
      <c r="CF300" s="707" t="s">
        <v>263</v>
      </c>
      <c r="CG300" s="266"/>
      <c r="CH300" s="266"/>
      <c r="CI300" s="267"/>
      <c r="CJ300" s="271"/>
      <c r="CK300" s="671">
        <f>SUM(CI266:CI291,CO239:CO264)</f>
        <v>7.9281800000000002</v>
      </c>
      <c r="CL300" s="707" t="s">
        <v>263</v>
      </c>
      <c r="CM300" s="266"/>
      <c r="CN300" s="266"/>
      <c r="CO300" s="267"/>
      <c r="CP300" s="271"/>
      <c r="CQ300" s="671">
        <f>SUM(CO265:CO291,CU239:CU264)</f>
        <v>37.448546666666665</v>
      </c>
      <c r="CR300" s="707" t="s">
        <v>263</v>
      </c>
      <c r="CS300" s="266"/>
      <c r="CT300" s="266"/>
      <c r="CU300" s="267"/>
      <c r="CV300" s="271"/>
      <c r="CW300" s="671">
        <f>SUM(CU265:CU291,DA239:DA264)</f>
        <v>154.68114000000003</v>
      </c>
      <c r="CX300" s="707" t="s">
        <v>263</v>
      </c>
      <c r="CY300" s="266"/>
      <c r="CZ300" s="266"/>
      <c r="DA300" s="267"/>
      <c r="DB300" s="271"/>
      <c r="DC300" s="671">
        <f>SUM(DA265:DA291,DG239:DG264)</f>
        <v>41.826760000000007</v>
      </c>
      <c r="DD300" s="707" t="s">
        <v>263</v>
      </c>
      <c r="DE300" s="266"/>
      <c r="DF300" s="266"/>
      <c r="DG300" s="267"/>
      <c r="DH300" s="271"/>
      <c r="DI300" s="671">
        <f>SUM(DG265:DG291,DM239:DM264)</f>
        <v>107.61766</v>
      </c>
      <c r="DJ300" s="707" t="s">
        <v>263</v>
      </c>
      <c r="DK300" s="266"/>
      <c r="DL300" s="266"/>
      <c r="DM300" s="267"/>
      <c r="DN300" s="271"/>
      <c r="DO300" s="1775">
        <f>SUM(DM265:DM291,DS239:DS264)</f>
        <v>127.15010000000001</v>
      </c>
      <c r="DP300" s="707" t="s">
        <v>263</v>
      </c>
      <c r="DQ300" s="266"/>
      <c r="DR300" s="266"/>
      <c r="DS300" s="267"/>
      <c r="DT300" s="271"/>
      <c r="DU300" s="671">
        <f>SUM(DS265:DS291,DY239:DY264)</f>
        <v>124.80207905348027</v>
      </c>
      <c r="DV300" s="707" t="s">
        <v>263</v>
      </c>
      <c r="DW300" s="266"/>
      <c r="DX300" s="266"/>
      <c r="DY300" s="267"/>
      <c r="DZ300" s="271"/>
      <c r="EA300" s="671">
        <f>SUM(DY265:DY291,EE239:EE264)</f>
        <v>4</v>
      </c>
      <c r="EB300" s="707" t="s">
        <v>263</v>
      </c>
      <c r="EC300" s="266"/>
      <c r="ED300" s="266"/>
      <c r="EE300" s="267"/>
      <c r="EF300" s="135"/>
      <c r="EG300" s="135"/>
    </row>
    <row r="301" spans="1:164" x14ac:dyDescent="0.2">
      <c r="A301" s="87" t="s">
        <v>79</v>
      </c>
      <c r="B301" s="113" t="s">
        <v>135</v>
      </c>
      <c r="C301" s="179"/>
      <c r="D301" s="113" t="s">
        <v>112</v>
      </c>
      <c r="E301" s="179"/>
      <c r="F301" s="129" t="s">
        <v>113</v>
      </c>
      <c r="G301" s="129"/>
      <c r="H301" s="113" t="s">
        <v>114</v>
      </c>
      <c r="I301" s="179"/>
      <c r="J301" s="113" t="s">
        <v>115</v>
      </c>
      <c r="K301" s="179"/>
      <c r="L301" s="113" t="s">
        <v>116</v>
      </c>
      <c r="M301" s="179"/>
      <c r="N301" s="113" t="s">
        <v>117</v>
      </c>
      <c r="O301" s="179"/>
      <c r="P301" s="113" t="s">
        <v>118</v>
      </c>
      <c r="Q301" s="179"/>
      <c r="R301" s="113" t="s">
        <v>53</v>
      </c>
      <c r="S301" s="179"/>
      <c r="T301" s="113" t="s">
        <v>54</v>
      </c>
      <c r="U301" s="179"/>
      <c r="V301" s="113" t="s">
        <v>55</v>
      </c>
      <c r="W301" s="179"/>
      <c r="X301" s="113" t="s">
        <v>56</v>
      </c>
      <c r="Y301" s="179"/>
      <c r="Z301" s="113" t="s">
        <v>57</v>
      </c>
      <c r="AA301" s="179"/>
      <c r="AB301" s="113" t="s">
        <v>58</v>
      </c>
      <c r="AC301" s="179"/>
      <c r="AD301" s="113" t="s">
        <v>59</v>
      </c>
      <c r="AE301" s="179"/>
      <c r="AF301" s="113" t="s">
        <v>60</v>
      </c>
      <c r="AG301" s="179"/>
      <c r="AH301" s="113" t="s">
        <v>61</v>
      </c>
      <c r="AI301" s="282"/>
      <c r="AJ301" s="113" t="s">
        <v>62</v>
      </c>
      <c r="AK301" s="280"/>
      <c r="AL301" s="103" t="s">
        <v>63</v>
      </c>
      <c r="AM301" s="106"/>
      <c r="AN301" s="103" t="s">
        <v>64</v>
      </c>
      <c r="AO301" s="106"/>
      <c r="AP301" s="103" t="s">
        <v>65</v>
      </c>
      <c r="AQ301" s="106"/>
      <c r="AR301" s="103" t="s">
        <v>66</v>
      </c>
      <c r="AS301" s="106"/>
      <c r="AT301" s="103" t="s">
        <v>67</v>
      </c>
      <c r="AU301" s="106"/>
      <c r="AV301" s="103" t="s">
        <v>68</v>
      </c>
      <c r="AW301" s="106"/>
      <c r="AX301" s="103" t="s">
        <v>69</v>
      </c>
      <c r="AY301" s="106"/>
      <c r="AZ301" s="103" t="s">
        <v>70</v>
      </c>
      <c r="BA301" s="106"/>
      <c r="BB301" s="103" t="s">
        <v>71</v>
      </c>
      <c r="BC301" s="114"/>
      <c r="BD301" s="103" t="s">
        <v>119</v>
      </c>
      <c r="BE301" s="114"/>
      <c r="BF301" s="103" t="s">
        <v>120</v>
      </c>
      <c r="BG301" s="114"/>
      <c r="BH301" s="114"/>
      <c r="BI301" s="114"/>
      <c r="BJ301" s="114"/>
      <c r="BK301" s="114"/>
      <c r="BL301" s="103" t="s">
        <v>121</v>
      </c>
      <c r="BM301" s="114"/>
      <c r="BN301" s="114"/>
      <c r="BO301" s="114"/>
      <c r="BP301" s="114"/>
      <c r="BQ301" s="106"/>
      <c r="BR301" s="103" t="s">
        <v>286</v>
      </c>
      <c r="BS301" s="114"/>
      <c r="BT301" s="114"/>
      <c r="BU301" s="114"/>
      <c r="BV301" s="114"/>
      <c r="BW301" s="106"/>
      <c r="BX301" s="103" t="s">
        <v>298</v>
      </c>
      <c r="BY301" s="114"/>
      <c r="BZ301" s="114"/>
      <c r="CA301" s="114"/>
      <c r="CB301" s="114"/>
      <c r="CC301" s="106"/>
      <c r="CD301" s="103" t="s">
        <v>335</v>
      </c>
      <c r="CE301" s="114"/>
      <c r="CF301" s="114"/>
      <c r="CG301" s="114"/>
      <c r="CH301" s="114"/>
      <c r="CI301" s="106"/>
      <c r="CJ301" s="103" t="s">
        <v>364</v>
      </c>
      <c r="CK301" s="114"/>
      <c r="CL301" s="114"/>
      <c r="CM301" s="114"/>
      <c r="CN301" s="114"/>
      <c r="CO301" s="106"/>
      <c r="CP301" s="103" t="s">
        <v>384</v>
      </c>
      <c r="CQ301" s="114"/>
      <c r="CR301" s="114"/>
      <c r="CS301" s="114"/>
      <c r="CT301" s="114"/>
      <c r="CU301" s="106"/>
      <c r="CV301" s="103" t="s">
        <v>446</v>
      </c>
      <c r="CW301" s="114"/>
      <c r="CX301" s="114"/>
      <c r="CY301" s="114"/>
      <c r="CZ301" s="114"/>
      <c r="DA301" s="106"/>
      <c r="DB301" s="103" t="s">
        <v>467</v>
      </c>
      <c r="DC301" s="114"/>
      <c r="DD301" s="114"/>
      <c r="DE301" s="114"/>
      <c r="DF301" s="114"/>
      <c r="DG301" s="106"/>
      <c r="DH301" s="103" t="s">
        <v>477</v>
      </c>
      <c r="DI301" s="114"/>
      <c r="DJ301" s="114"/>
      <c r="DK301" s="114"/>
      <c r="DL301" s="114"/>
      <c r="DM301" s="106"/>
      <c r="DN301" s="103" t="s">
        <v>487</v>
      </c>
      <c r="DO301" s="114"/>
      <c r="DP301" s="114"/>
      <c r="DQ301" s="114"/>
      <c r="DR301" s="114"/>
      <c r="DS301" s="106"/>
      <c r="DT301" s="103" t="s">
        <v>492</v>
      </c>
      <c r="DU301" s="114"/>
      <c r="DV301" s="114"/>
      <c r="DW301" s="114"/>
      <c r="DX301" s="114"/>
      <c r="DY301" s="106"/>
      <c r="DZ301" s="103" t="s">
        <v>531</v>
      </c>
      <c r="EA301" s="114"/>
      <c r="EB301" s="114"/>
      <c r="EC301" s="114"/>
      <c r="ED301" s="114"/>
      <c r="EE301" s="106"/>
      <c r="EF301" s="107"/>
      <c r="EG301" s="107"/>
    </row>
    <row r="302" spans="1:164" s="316" customFormat="1" x14ac:dyDescent="0.2">
      <c r="A302" s="311" t="s">
        <v>52</v>
      </c>
      <c r="B302" s="312"/>
      <c r="C302" s="313"/>
      <c r="D302" s="312">
        <f t="shared" ref="D302:BL302" si="504">SUM(D296,D298,E300)</f>
        <v>0</v>
      </c>
      <c r="E302" s="313"/>
      <c r="F302" s="312">
        <f t="shared" si="504"/>
        <v>5334</v>
      </c>
      <c r="G302" s="313"/>
      <c r="H302" s="312">
        <f t="shared" si="504"/>
        <v>4439</v>
      </c>
      <c r="I302" s="313"/>
      <c r="J302" s="312">
        <f t="shared" si="504"/>
        <v>5228</v>
      </c>
      <c r="K302" s="313"/>
      <c r="L302" s="312">
        <f t="shared" si="504"/>
        <v>3969.9830299999999</v>
      </c>
      <c r="M302" s="313"/>
      <c r="N302" s="312">
        <f t="shared" si="504"/>
        <v>3686.1</v>
      </c>
      <c r="O302" s="313"/>
      <c r="P302" s="312">
        <f t="shared" si="504"/>
        <v>2242</v>
      </c>
      <c r="Q302" s="313"/>
      <c r="R302" s="312">
        <f t="shared" si="504"/>
        <v>2426</v>
      </c>
      <c r="S302" s="313"/>
      <c r="T302" s="312">
        <f t="shared" si="504"/>
        <v>805</v>
      </c>
      <c r="U302" s="313"/>
      <c r="V302" s="312">
        <f t="shared" si="504"/>
        <v>256</v>
      </c>
      <c r="W302" s="313"/>
      <c r="X302" s="312">
        <f t="shared" si="504"/>
        <v>1236.9999999999998</v>
      </c>
      <c r="Y302" s="313"/>
      <c r="Z302" s="312">
        <f t="shared" si="504"/>
        <v>1131.5</v>
      </c>
      <c r="AA302" s="313"/>
      <c r="AB302" s="312">
        <f t="shared" si="504"/>
        <v>160</v>
      </c>
      <c r="AC302" s="313"/>
      <c r="AD302" s="312">
        <f t="shared" si="504"/>
        <v>81</v>
      </c>
      <c r="AE302" s="313"/>
      <c r="AF302" s="312">
        <f t="shared" si="504"/>
        <v>302</v>
      </c>
      <c r="AG302" s="313"/>
      <c r="AH302" s="312">
        <f t="shared" si="504"/>
        <v>236.99999999999997</v>
      </c>
      <c r="AI302" s="314"/>
      <c r="AJ302" s="312">
        <f t="shared" si="504"/>
        <v>113</v>
      </c>
      <c r="AK302" s="313"/>
      <c r="AL302" s="312">
        <f t="shared" si="504"/>
        <v>292</v>
      </c>
      <c r="AM302" s="313"/>
      <c r="AN302" s="312">
        <f t="shared" si="504"/>
        <v>69</v>
      </c>
      <c r="AO302" s="313"/>
      <c r="AP302" s="312">
        <f t="shared" si="504"/>
        <v>326</v>
      </c>
      <c r="AQ302" s="313"/>
      <c r="AR302" s="312">
        <f t="shared" si="504"/>
        <v>680</v>
      </c>
      <c r="AS302" s="313"/>
      <c r="AT302" s="312">
        <f t="shared" si="504"/>
        <v>375</v>
      </c>
      <c r="AU302" s="313"/>
      <c r="AV302" s="312">
        <f t="shared" si="504"/>
        <v>1316</v>
      </c>
      <c r="AW302" s="313"/>
      <c r="AX302" s="312">
        <f t="shared" si="504"/>
        <v>645.94569999999999</v>
      </c>
      <c r="AY302" s="313"/>
      <c r="AZ302" s="312">
        <f t="shared" si="504"/>
        <v>346.483</v>
      </c>
      <c r="BA302" s="313"/>
      <c r="BB302" s="312">
        <f t="shared" si="504"/>
        <v>437.27719539999998</v>
      </c>
      <c r="BC302" s="313"/>
      <c r="BD302" s="312">
        <f t="shared" si="504"/>
        <v>376.63240000000008</v>
      </c>
      <c r="BE302" s="385"/>
      <c r="BF302" s="312">
        <f t="shared" si="504"/>
        <v>343.29921708333336</v>
      </c>
      <c r="BG302" s="385"/>
      <c r="BH302" s="385"/>
      <c r="BI302" s="385"/>
      <c r="BJ302" s="385"/>
      <c r="BK302" s="385"/>
      <c r="BL302" s="659">
        <f t="shared" si="504"/>
        <v>360.67186194176548</v>
      </c>
      <c r="BM302" s="385"/>
      <c r="BN302" s="385"/>
      <c r="BO302" s="385"/>
      <c r="BP302" s="385"/>
      <c r="BQ302" s="313"/>
      <c r="BR302" s="918">
        <f t="shared" ref="BR302" si="505">SUM(BR296,BR298,BS300)</f>
        <v>256.23580888726008</v>
      </c>
      <c r="BS302" s="385"/>
      <c r="BT302" s="385"/>
      <c r="BU302" s="385"/>
      <c r="BV302" s="385"/>
      <c r="BW302" s="313"/>
      <c r="BX302" s="918">
        <f t="shared" ref="BX302" si="506">SUM(BX296,BX298,BY300)</f>
        <v>164.76064533333334</v>
      </c>
      <c r="BY302" s="385"/>
      <c r="BZ302" s="385"/>
      <c r="CA302" s="385"/>
      <c r="CB302" s="385"/>
      <c r="CC302" s="313"/>
      <c r="CD302" s="997">
        <f t="shared" ref="CD302" si="507">SUM(CD296,CD298,CE300)</f>
        <v>56.834967500000012</v>
      </c>
      <c r="CE302" s="385"/>
      <c r="CF302" s="385"/>
      <c r="CG302" s="385"/>
      <c r="CH302" s="385"/>
      <c r="CI302" s="313"/>
      <c r="CJ302" s="1106">
        <f t="shared" ref="CJ302" si="508">SUM(CJ296,CJ298,CK300)</f>
        <v>7.9281800000000002</v>
      </c>
      <c r="CK302" s="385"/>
      <c r="CL302" s="385"/>
      <c r="CM302" s="385"/>
      <c r="CN302" s="385"/>
      <c r="CO302" s="1107"/>
      <c r="CP302" s="1164">
        <f t="shared" ref="CP302" si="509">SUM(CP296,CP298,CQ300)</f>
        <v>38.448546666666665</v>
      </c>
      <c r="CQ302" s="385"/>
      <c r="CR302" s="385"/>
      <c r="CS302" s="385"/>
      <c r="CT302" s="385"/>
      <c r="CU302" s="1165"/>
      <c r="CV302" s="1550">
        <f t="shared" ref="CV302" si="510">SUM(CV296,CV298,CW300)</f>
        <v>171.61447333333336</v>
      </c>
      <c r="CW302" s="385"/>
      <c r="CX302" s="385"/>
      <c r="CY302" s="385"/>
      <c r="CZ302" s="385"/>
      <c r="DA302" s="1165"/>
      <c r="DB302" s="1600">
        <f t="shared" ref="DB302" si="511">SUM(DB296,DB298,DC300)</f>
        <v>47.042740000000009</v>
      </c>
      <c r="DC302" s="385"/>
      <c r="DD302" s="385"/>
      <c r="DE302" s="385"/>
      <c r="DF302" s="385"/>
      <c r="DG302" s="1165"/>
      <c r="DH302" s="1622">
        <f t="shared" ref="DH302" si="512">SUM(DH296,DH298,DI300)</f>
        <v>108.61766</v>
      </c>
      <c r="DI302" s="385"/>
      <c r="DJ302" s="385"/>
      <c r="DK302" s="1749"/>
      <c r="DL302" s="385"/>
      <c r="DM302" s="1165"/>
      <c r="DN302" s="1662">
        <f t="shared" ref="DN302" si="513">SUM(DN296,DN298,DO300)</f>
        <v>127.15010000000001</v>
      </c>
      <c r="DO302" s="385"/>
      <c r="DP302" s="385"/>
      <c r="DQ302" s="385"/>
      <c r="DR302" s="385"/>
      <c r="DS302" s="1165"/>
      <c r="DT302" s="1696">
        <f t="shared" ref="DT302" si="514">SUM(DT296,DT298,DU300)</f>
        <v>128.30207905348027</v>
      </c>
      <c r="DU302" s="385"/>
      <c r="DV302" s="385"/>
      <c r="DW302" s="385"/>
      <c r="DX302" s="385"/>
      <c r="DY302" s="1165"/>
      <c r="DZ302" s="1738">
        <f t="shared" ref="DZ302" si="515">SUM(DZ296,DZ298,EA300)</f>
        <v>4</v>
      </c>
      <c r="EA302" s="385"/>
      <c r="EB302" s="385"/>
      <c r="EC302" s="385"/>
      <c r="ED302" s="385"/>
      <c r="EE302" s="1165"/>
      <c r="EF302" s="513"/>
      <c r="EG302" s="513"/>
      <c r="EH302" s="315"/>
      <c r="EI302" s="315"/>
      <c r="EJ302" s="315"/>
      <c r="EK302" s="315"/>
      <c r="EL302" s="315"/>
      <c r="EM302" s="315"/>
      <c r="EN302" s="315"/>
      <c r="EO302" s="315"/>
      <c r="EP302" s="315"/>
      <c r="ES302" s="317"/>
      <c r="ET302" s="317"/>
    </row>
    <row r="303" spans="1:164" x14ac:dyDescent="0.2">
      <c r="BL303" s="793" t="s">
        <v>284</v>
      </c>
      <c r="BM303" s="788"/>
      <c r="BN303" s="788"/>
      <c r="BO303" s="794">
        <v>8.6499999999999994E-2</v>
      </c>
      <c r="BP303" s="788"/>
      <c r="BQ303" s="789"/>
      <c r="BR303" s="793" t="s">
        <v>287</v>
      </c>
      <c r="BS303" s="813"/>
      <c r="BT303" s="813"/>
      <c r="BU303" s="794">
        <v>8.7999999999999995E-2</v>
      </c>
      <c r="BV303" s="813"/>
      <c r="BW303" s="814"/>
      <c r="BX303" s="793" t="s">
        <v>299</v>
      </c>
      <c r="BY303" s="920"/>
      <c r="BZ303" s="920"/>
      <c r="CA303" s="794">
        <v>8.6800000000000002E-2</v>
      </c>
      <c r="CB303" s="920"/>
      <c r="CC303" s="921"/>
      <c r="CD303" s="793" t="s">
        <v>344</v>
      </c>
      <c r="CE303" s="993"/>
      <c r="CF303" s="993"/>
      <c r="CG303" s="794">
        <v>8.8499999999999995E-2</v>
      </c>
      <c r="CH303" s="993"/>
      <c r="CI303" s="994"/>
      <c r="CJ303" s="793" t="s">
        <v>366</v>
      </c>
      <c r="CK303" s="1096"/>
      <c r="CL303" s="1096"/>
      <c r="CM303" s="794">
        <v>8.7800000000000003E-2</v>
      </c>
      <c r="CN303" s="1096"/>
      <c r="CO303" s="1097"/>
      <c r="CP303" s="793" t="s">
        <v>385</v>
      </c>
      <c r="CQ303" s="1154"/>
      <c r="CR303" s="1154"/>
      <c r="CS303" s="794">
        <v>8.6800000000000002E-2</v>
      </c>
      <c r="CT303" s="1154"/>
      <c r="CU303" s="1155"/>
      <c r="CV303" s="793" t="s">
        <v>447</v>
      </c>
      <c r="CW303" s="1154"/>
      <c r="CX303" s="1154"/>
      <c r="CY303" s="794">
        <v>8.9399999999999993E-2</v>
      </c>
      <c r="CZ303" s="1154"/>
      <c r="DA303" s="1155"/>
      <c r="DB303" s="793" t="s">
        <v>468</v>
      </c>
      <c r="DC303" s="1154"/>
      <c r="DD303" s="1154"/>
      <c r="DE303" s="794">
        <v>8.5400000000000004E-2</v>
      </c>
      <c r="DF303" s="1154"/>
      <c r="DG303" s="1155"/>
      <c r="DH303" s="793" t="s">
        <v>478</v>
      </c>
      <c r="DI303" s="1154"/>
      <c r="DJ303" s="1154"/>
      <c r="DK303" s="1750">
        <f>DE303</f>
        <v>8.5400000000000004E-2</v>
      </c>
      <c r="DL303" s="1154"/>
      <c r="DM303" s="1155"/>
      <c r="DN303" s="793" t="s">
        <v>484</v>
      </c>
      <c r="DO303" s="1154"/>
      <c r="DP303" s="1154"/>
      <c r="DQ303" s="794">
        <v>8.1000000000000003E-2</v>
      </c>
      <c r="DR303" s="1154"/>
      <c r="DS303" s="1155"/>
      <c r="DT303" s="793" t="s">
        <v>493</v>
      </c>
      <c r="DU303" s="1154"/>
      <c r="DV303" s="1154"/>
      <c r="DW303" s="794">
        <v>8.6599999999999996E-2</v>
      </c>
      <c r="DX303" s="1154"/>
      <c r="DY303" s="1155"/>
      <c r="DZ303" s="793" t="s">
        <v>532</v>
      </c>
      <c r="EA303" s="1154"/>
      <c r="EB303" s="1154"/>
      <c r="EC303" s="1703">
        <v>8.6999999999999994E-2</v>
      </c>
      <c r="ED303" s="1154"/>
      <c r="EE303" s="1155"/>
    </row>
    <row r="304" spans="1:164" x14ac:dyDescent="0.2">
      <c r="AX304" s="27" t="s">
        <v>164</v>
      </c>
      <c r="AY304" s="27"/>
      <c r="AZ304" s="27"/>
      <c r="BA304" s="391"/>
      <c r="BB304" s="391"/>
    </row>
    <row r="305" spans="50:54" x14ac:dyDescent="0.2">
      <c r="AX305" s="392" t="s">
        <v>165</v>
      </c>
      <c r="AY305" s="393"/>
      <c r="AZ305" s="392" t="s">
        <v>1</v>
      </c>
      <c r="BA305" s="393"/>
      <c r="BB305" s="391"/>
    </row>
    <row r="306" spans="50:54" x14ac:dyDescent="0.2">
      <c r="AX306" s="396" t="s">
        <v>162</v>
      </c>
      <c r="AY306" s="128" t="s">
        <v>163</v>
      </c>
      <c r="AZ306" s="396" t="s">
        <v>162</v>
      </c>
      <c r="BA306" s="128" t="s">
        <v>163</v>
      </c>
      <c r="BB306" s="394"/>
    </row>
    <row r="307" spans="50:54" x14ac:dyDescent="0.2">
      <c r="AX307" s="128">
        <v>30</v>
      </c>
      <c r="AY307" s="128">
        <v>52</v>
      </c>
      <c r="AZ307" s="128">
        <v>1</v>
      </c>
      <c r="BA307" s="128">
        <v>2</v>
      </c>
      <c r="BB307" s="128">
        <f>SUM(AX307:BA307)</f>
        <v>85</v>
      </c>
    </row>
    <row r="308" spans="50:54" x14ac:dyDescent="0.2">
      <c r="AX308" s="395">
        <f>AX307/BB307</f>
        <v>0.35294117647058826</v>
      </c>
      <c r="AY308" s="395">
        <f>AY307/BB307</f>
        <v>0.61176470588235299</v>
      </c>
      <c r="AZ308" s="395">
        <f>AZ307/BB307</f>
        <v>1.1764705882352941E-2</v>
      </c>
      <c r="BA308" s="395">
        <f>BA307/BB307</f>
        <v>2.3529411764705882E-2</v>
      </c>
      <c r="BB308" s="394"/>
    </row>
  </sheetData>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P44"/>
  <sheetViews>
    <sheetView topLeftCell="AQ1" workbookViewId="0"/>
  </sheetViews>
  <sheetFormatPr defaultColWidth="9.140625" defaultRowHeight="11.25" x14ac:dyDescent="0.2"/>
  <cols>
    <col min="1" max="1" width="36" style="87" customWidth="1"/>
    <col min="2" max="4" width="4.42578125" style="87" bestFit="1" customWidth="1"/>
    <col min="5" max="5" width="5.5703125" style="87" customWidth="1"/>
    <col min="6" max="6" width="4.5703125" style="87" customWidth="1"/>
    <col min="7" max="7" width="6.85546875" style="87" customWidth="1"/>
    <col min="8" max="8" width="7" style="87" customWidth="1"/>
    <col min="9" max="9" width="6.140625" style="37" customWidth="1"/>
    <col min="10" max="10" width="6.140625" style="37" bestFit="1" customWidth="1"/>
    <col min="11" max="11" width="6.5703125" style="37" customWidth="1"/>
    <col min="12" max="12" width="5.42578125" style="37" customWidth="1"/>
    <col min="13" max="13" width="6.85546875" style="37" customWidth="1"/>
    <col min="14" max="14" width="7" style="37" customWidth="1"/>
    <col min="15" max="15" width="6" style="37" customWidth="1"/>
    <col min="16" max="16" width="5.5703125" style="37" customWidth="1"/>
    <col min="17" max="17" width="6.5703125" style="37" customWidth="1"/>
    <col min="18" max="18" width="5.140625" style="37" customWidth="1"/>
    <col min="19" max="19" width="6.42578125" style="37" customWidth="1"/>
    <col min="20" max="20" width="6" style="37" customWidth="1"/>
    <col min="21" max="21" width="6.140625" style="37" customWidth="1"/>
    <col min="22" max="22" width="5.5703125" style="37" customWidth="1"/>
    <col min="23" max="23" width="6.42578125" style="37" customWidth="1"/>
    <col min="24" max="24" width="5.42578125" style="37" customWidth="1"/>
    <col min="25" max="26" width="5.5703125" style="37" customWidth="1"/>
    <col min="27" max="27" width="5.140625" style="37" customWidth="1"/>
    <col min="28" max="28" width="4.5703125" style="37" customWidth="1"/>
    <col min="29" max="30" width="5.140625" style="37" customWidth="1"/>
    <col min="31" max="31" width="5.42578125" style="37" customWidth="1"/>
    <col min="32" max="35" width="4.5703125" style="37" customWidth="1"/>
    <col min="36" max="36" width="4.42578125" style="37" customWidth="1"/>
    <col min="37" max="37" width="5" style="37" customWidth="1"/>
    <col min="38" max="38" width="4.85546875" style="37" customWidth="1"/>
    <col min="39" max="39" width="5.42578125" style="37" customWidth="1"/>
    <col min="40" max="48" width="5.140625" style="37" customWidth="1"/>
    <col min="49" max="49" width="6.85546875" style="37" customWidth="1"/>
    <col min="50" max="52" width="5.140625" style="37" customWidth="1"/>
    <col min="53" max="53" width="6.140625" style="37" customWidth="1"/>
    <col min="54" max="56" width="5.140625" style="37" customWidth="1"/>
    <col min="57" max="16384" width="9.140625" style="38"/>
  </cols>
  <sheetData>
    <row r="1" spans="1:68" x14ac:dyDescent="0.2">
      <c r="A1" s="16" t="s">
        <v>24</v>
      </c>
      <c r="B1" s="16"/>
      <c r="C1" s="16"/>
      <c r="D1" s="16"/>
      <c r="E1" s="16"/>
      <c r="F1" s="16"/>
      <c r="G1" s="16"/>
      <c r="H1" s="16"/>
    </row>
    <row r="2" spans="1:68" x14ac:dyDescent="0.2">
      <c r="A2" s="16" t="s">
        <v>73</v>
      </c>
      <c r="B2" s="16"/>
      <c r="C2" s="16"/>
      <c r="D2" s="16"/>
      <c r="E2" s="16"/>
      <c r="F2" s="16"/>
      <c r="G2" s="16"/>
      <c r="H2" s="16"/>
    </row>
    <row r="3" spans="1:68" x14ac:dyDescent="0.2">
      <c r="A3" s="19" t="s">
        <v>341</v>
      </c>
      <c r="B3" s="39"/>
      <c r="C3" s="39"/>
      <c r="D3" s="39"/>
      <c r="E3" s="20"/>
      <c r="F3" s="20"/>
      <c r="G3" s="20"/>
      <c r="H3" s="20"/>
      <c r="AM3" s="519"/>
      <c r="AN3" s="519"/>
      <c r="AO3" s="519"/>
      <c r="AQ3" s="519"/>
      <c r="AS3" s="606"/>
    </row>
    <row r="4" spans="1:68" x14ac:dyDescent="0.2">
      <c r="A4" s="40" t="s">
        <v>290</v>
      </c>
      <c r="B4" s="41"/>
      <c r="C4" s="41"/>
      <c r="D4" s="41"/>
      <c r="E4" s="42"/>
      <c r="F4" s="35"/>
      <c r="G4" s="35"/>
      <c r="H4" s="35"/>
      <c r="I4" s="43"/>
      <c r="J4" s="43"/>
      <c r="K4" s="43"/>
      <c r="L4" s="43"/>
      <c r="M4" s="43"/>
      <c r="N4" s="43"/>
      <c r="O4" s="43"/>
      <c r="P4" s="43"/>
      <c r="Q4" s="43"/>
      <c r="R4" s="43"/>
      <c r="S4" s="43"/>
      <c r="T4" s="43"/>
      <c r="U4" s="36" t="s">
        <v>154</v>
      </c>
      <c r="V4" s="43"/>
      <c r="W4" s="43"/>
      <c r="X4" s="43"/>
      <c r="Y4" s="43"/>
      <c r="Z4" s="43"/>
      <c r="AA4" s="43"/>
      <c r="AB4" s="43"/>
      <c r="AC4" s="43"/>
      <c r="AD4" s="43"/>
      <c r="AE4" s="43"/>
      <c r="AF4" s="43"/>
      <c r="AG4" s="43"/>
      <c r="AH4" s="43"/>
      <c r="AI4" s="43"/>
      <c r="AJ4" s="43"/>
      <c r="AK4" s="43"/>
      <c r="AL4" s="43"/>
      <c r="AM4" s="43"/>
      <c r="AN4" s="43"/>
      <c r="AO4" s="44"/>
      <c r="AP4" s="44"/>
      <c r="AQ4" s="398"/>
      <c r="AR4" s="398"/>
      <c r="AS4" s="510"/>
      <c r="AT4" s="510"/>
      <c r="AU4" s="646"/>
      <c r="AV4" s="646"/>
      <c r="AW4" s="809"/>
      <c r="AX4" s="809"/>
      <c r="AY4" s="1000"/>
      <c r="AZ4" s="1000"/>
      <c r="BA4" s="1103"/>
      <c r="BB4" s="1103"/>
      <c r="BC4" s="1161"/>
      <c r="BD4" s="1161"/>
    </row>
    <row r="5" spans="1:68" ht="15" x14ac:dyDescent="0.25">
      <c r="A5" s="16" t="s">
        <v>25</v>
      </c>
      <c r="B5" s="32">
        <v>1989</v>
      </c>
      <c r="C5" s="32">
        <v>1990</v>
      </c>
      <c r="D5" s="32">
        <v>1991</v>
      </c>
      <c r="E5" s="1891">
        <v>1992</v>
      </c>
      <c r="F5" s="1892"/>
      <c r="G5" s="1893">
        <v>1993</v>
      </c>
      <c r="H5" s="1892"/>
      <c r="I5" s="1885">
        <v>1994</v>
      </c>
      <c r="J5" s="1881"/>
      <c r="K5" s="1885">
        <v>1995</v>
      </c>
      <c r="L5" s="1881"/>
      <c r="M5" s="1885">
        <v>1996</v>
      </c>
      <c r="N5" s="1881"/>
      <c r="O5" s="1885">
        <v>1997</v>
      </c>
      <c r="P5" s="1881"/>
      <c r="Q5" s="1876">
        <v>1998</v>
      </c>
      <c r="R5" s="1877"/>
      <c r="S5" s="1878">
        <v>1999</v>
      </c>
      <c r="T5" s="1877"/>
      <c r="U5" s="1879">
        <v>2000</v>
      </c>
      <c r="V5" s="1880"/>
      <c r="W5" s="1879">
        <v>2001</v>
      </c>
      <c r="X5" s="1881"/>
      <c r="Y5" s="1870">
        <v>2002</v>
      </c>
      <c r="Z5" s="1871"/>
      <c r="AA5" s="1870">
        <v>2003</v>
      </c>
      <c r="AB5" s="1871"/>
      <c r="AC5" s="1879">
        <v>2004</v>
      </c>
      <c r="AD5" s="1879"/>
      <c r="AE5" s="1870">
        <v>2005</v>
      </c>
      <c r="AF5" s="1871"/>
      <c r="AG5" s="1870">
        <v>2006</v>
      </c>
      <c r="AH5" s="1871"/>
      <c r="AI5" s="1870">
        <v>2007</v>
      </c>
      <c r="AJ5" s="1871"/>
      <c r="AK5" s="1870">
        <v>2008</v>
      </c>
      <c r="AL5" s="1871"/>
      <c r="AM5" s="1870">
        <v>2009</v>
      </c>
      <c r="AN5" s="1886"/>
      <c r="AO5" s="1870">
        <v>2010</v>
      </c>
      <c r="AP5" s="1871"/>
      <c r="AQ5" s="1870">
        <v>2011</v>
      </c>
      <c r="AR5" s="1871"/>
      <c r="AS5" s="1870">
        <v>2012</v>
      </c>
      <c r="AT5" s="1871"/>
      <c r="AU5" s="1870">
        <v>2013</v>
      </c>
      <c r="AV5" s="1871"/>
      <c r="AW5" s="1870">
        <v>2014</v>
      </c>
      <c r="AX5" s="1871"/>
      <c r="AY5" s="1870">
        <v>2015</v>
      </c>
      <c r="AZ5" s="1871"/>
      <c r="BA5" s="1870">
        <v>2016</v>
      </c>
      <c r="BB5" s="1872"/>
      <c r="BC5" s="1167">
        <v>2017</v>
      </c>
      <c r="BD5" s="1168"/>
      <c r="BE5" s="1167">
        <v>2018</v>
      </c>
      <c r="BF5" s="1168"/>
      <c r="BG5" s="1167">
        <v>2019</v>
      </c>
      <c r="BH5" s="1168"/>
      <c r="BI5" s="1167">
        <v>2020</v>
      </c>
      <c r="BJ5" s="1168"/>
      <c r="BK5" s="1167">
        <v>2021</v>
      </c>
      <c r="BL5" s="1168"/>
      <c r="BM5" s="1167">
        <v>2022</v>
      </c>
      <c r="BN5" s="1168"/>
      <c r="BO5" s="1800">
        <v>2023</v>
      </c>
      <c r="BP5" s="1801"/>
    </row>
    <row r="6" spans="1:68" x14ac:dyDescent="0.2">
      <c r="A6" s="16" t="s">
        <v>27</v>
      </c>
      <c r="B6" s="9"/>
      <c r="C6" s="9"/>
      <c r="D6" s="9"/>
      <c r="E6" s="32" t="s">
        <v>22</v>
      </c>
      <c r="F6" s="46" t="s">
        <v>23</v>
      </c>
      <c r="G6" s="32" t="s">
        <v>22</v>
      </c>
      <c r="H6" s="46" t="s">
        <v>23</v>
      </c>
      <c r="I6" s="47" t="s">
        <v>22</v>
      </c>
      <c r="J6" s="48" t="s">
        <v>23</v>
      </c>
      <c r="K6" s="47" t="s">
        <v>22</v>
      </c>
      <c r="L6" s="48" t="s">
        <v>23</v>
      </c>
      <c r="M6" s="47" t="s">
        <v>22</v>
      </c>
      <c r="N6" s="48" t="s">
        <v>23</v>
      </c>
      <c r="O6" s="47" t="s">
        <v>22</v>
      </c>
      <c r="P6" s="48" t="s">
        <v>23</v>
      </c>
      <c r="Q6" s="47" t="s">
        <v>22</v>
      </c>
      <c r="R6" s="48" t="s">
        <v>23</v>
      </c>
      <c r="S6" s="49" t="s">
        <v>22</v>
      </c>
      <c r="T6" s="48" t="s">
        <v>23</v>
      </c>
      <c r="U6" s="49" t="s">
        <v>22</v>
      </c>
      <c r="V6" s="50" t="s">
        <v>23</v>
      </c>
      <c r="W6" s="49" t="s">
        <v>22</v>
      </c>
      <c r="X6" s="48" t="s">
        <v>23</v>
      </c>
      <c r="Y6" s="47" t="s">
        <v>22</v>
      </c>
      <c r="Z6" s="48" t="s">
        <v>23</v>
      </c>
      <c r="AA6" s="47" t="s">
        <v>22</v>
      </c>
      <c r="AB6" s="48" t="s">
        <v>23</v>
      </c>
      <c r="AC6" s="47" t="s">
        <v>22</v>
      </c>
      <c r="AD6" s="48" t="s">
        <v>23</v>
      </c>
      <c r="AE6" s="47" t="s">
        <v>22</v>
      </c>
      <c r="AF6" s="48" t="s">
        <v>23</v>
      </c>
      <c r="AG6" s="47" t="s">
        <v>22</v>
      </c>
      <c r="AH6" s="48" t="s">
        <v>23</v>
      </c>
      <c r="AI6" s="47" t="s">
        <v>22</v>
      </c>
      <c r="AJ6" s="48" t="s">
        <v>23</v>
      </c>
      <c r="AK6" s="47" t="s">
        <v>22</v>
      </c>
      <c r="AL6" s="48" t="s">
        <v>23</v>
      </c>
      <c r="AM6" s="47" t="s">
        <v>22</v>
      </c>
      <c r="AN6" s="48" t="s">
        <v>23</v>
      </c>
      <c r="AO6" s="47" t="s">
        <v>22</v>
      </c>
      <c r="AP6" s="48" t="s">
        <v>23</v>
      </c>
      <c r="AQ6" s="47" t="s">
        <v>22</v>
      </c>
      <c r="AR6" s="48" t="s">
        <v>23</v>
      </c>
      <c r="AS6" s="47" t="s">
        <v>22</v>
      </c>
      <c r="AT6" s="48" t="s">
        <v>23</v>
      </c>
      <c r="AU6" s="48" t="s">
        <v>22</v>
      </c>
      <c r="AV6" s="48" t="s">
        <v>23</v>
      </c>
      <c r="AW6" s="48" t="s">
        <v>22</v>
      </c>
      <c r="AX6" s="48" t="s">
        <v>23</v>
      </c>
      <c r="AY6" s="48" t="s">
        <v>22</v>
      </c>
      <c r="AZ6" s="48" t="s">
        <v>23</v>
      </c>
      <c r="BA6" s="48" t="s">
        <v>22</v>
      </c>
      <c r="BB6" s="48" t="s">
        <v>23</v>
      </c>
      <c r="BC6" s="48" t="s">
        <v>22</v>
      </c>
      <c r="BD6" s="48" t="s">
        <v>23</v>
      </c>
      <c r="BE6" s="48" t="s">
        <v>22</v>
      </c>
      <c r="BF6" s="48" t="s">
        <v>23</v>
      </c>
      <c r="BG6" s="48" t="s">
        <v>22</v>
      </c>
      <c r="BH6" s="48" t="s">
        <v>23</v>
      </c>
      <c r="BI6" s="48" t="s">
        <v>22</v>
      </c>
      <c r="BJ6" s="48" t="s">
        <v>23</v>
      </c>
      <c r="BK6" s="48" t="s">
        <v>22</v>
      </c>
      <c r="BL6" s="48" t="s">
        <v>23</v>
      </c>
      <c r="BM6" s="48" t="s">
        <v>22</v>
      </c>
      <c r="BN6" s="48" t="s">
        <v>23</v>
      </c>
      <c r="BO6" s="48" t="s">
        <v>22</v>
      </c>
      <c r="BP6" s="48" t="s">
        <v>23</v>
      </c>
    </row>
    <row r="7" spans="1:68" x14ac:dyDescent="0.2">
      <c r="A7" s="51" t="s">
        <v>28</v>
      </c>
      <c r="B7" s="52"/>
      <c r="C7" s="52"/>
      <c r="D7" s="52"/>
      <c r="E7" s="1887">
        <v>2</v>
      </c>
      <c r="F7" s="1888"/>
      <c r="G7" s="52"/>
      <c r="H7" s="53"/>
      <c r="I7" s="52">
        <v>3</v>
      </c>
      <c r="J7" s="53"/>
      <c r="K7" s="53"/>
      <c r="L7" s="53"/>
      <c r="M7" s="53"/>
      <c r="N7" s="53"/>
      <c r="O7" s="53"/>
      <c r="P7" s="53"/>
      <c r="Q7" s="53"/>
      <c r="R7" s="53"/>
      <c r="S7" s="54"/>
      <c r="T7" s="55"/>
      <c r="U7" s="380">
        <v>2</v>
      </c>
      <c r="V7" s="56"/>
      <c r="W7" s="380">
        <v>5</v>
      </c>
      <c r="X7" s="53"/>
      <c r="Y7" s="379">
        <v>13</v>
      </c>
      <c r="Z7" s="53"/>
      <c r="AA7" s="53">
        <v>10</v>
      </c>
      <c r="AB7" s="53"/>
      <c r="AC7" s="404">
        <v>3</v>
      </c>
      <c r="AD7" s="405"/>
      <c r="AE7" s="404">
        <v>3</v>
      </c>
      <c r="AF7" s="405"/>
      <c r="AG7" s="404">
        <v>2</v>
      </c>
      <c r="AH7" s="53"/>
      <c r="AI7" s="53"/>
      <c r="AJ7" s="53"/>
      <c r="AK7" s="53"/>
      <c r="AL7" s="53"/>
      <c r="AM7" s="379">
        <v>2</v>
      </c>
      <c r="AN7" s="53"/>
      <c r="AO7" s="54"/>
      <c r="AP7" s="54"/>
      <c r="AQ7" s="54"/>
      <c r="AR7" s="54"/>
      <c r="AS7" s="54"/>
      <c r="AT7" s="54"/>
      <c r="AU7" s="54"/>
      <c r="AV7" s="54"/>
      <c r="AW7" s="54"/>
      <c r="AX7" s="54"/>
      <c r="AY7" s="54">
        <v>1</v>
      </c>
      <c r="AZ7" s="54"/>
      <c r="BA7" s="54"/>
      <c r="BB7" s="54"/>
      <c r="BC7" s="54"/>
      <c r="BD7" s="54"/>
      <c r="BE7" s="54"/>
      <c r="BF7" s="54"/>
      <c r="BG7" s="54"/>
      <c r="BH7" s="54"/>
      <c r="BI7" s="54"/>
      <c r="BJ7" s="54"/>
      <c r="BK7" s="54"/>
      <c r="BL7" s="54"/>
      <c r="BM7" s="1005"/>
      <c r="BN7" s="1005"/>
      <c r="BO7" s="1005"/>
      <c r="BP7" s="1005"/>
    </row>
    <row r="8" spans="1:68" x14ac:dyDescent="0.2">
      <c r="A8" s="57" t="s">
        <v>29</v>
      </c>
      <c r="B8" s="58"/>
      <c r="C8" s="58"/>
      <c r="D8" s="58"/>
      <c r="E8" s="1889">
        <f>60+18+263</f>
        <v>341</v>
      </c>
      <c r="F8" s="1890"/>
      <c r="G8" s="58">
        <f>26+7+761</f>
        <v>794</v>
      </c>
      <c r="H8" s="59">
        <f>2+7+179</f>
        <v>188</v>
      </c>
      <c r="I8" s="58">
        <f>38+19+187</f>
        <v>244</v>
      </c>
      <c r="J8" s="59">
        <f>135</f>
        <v>135</v>
      </c>
      <c r="K8" s="377">
        <v>461</v>
      </c>
      <c r="L8" s="59">
        <f>8+123</f>
        <v>131</v>
      </c>
      <c r="M8" s="59">
        <v>437</v>
      </c>
      <c r="N8" s="59">
        <v>121</v>
      </c>
      <c r="O8" s="377">
        <v>830</v>
      </c>
      <c r="P8" s="377">
        <v>232</v>
      </c>
      <c r="Q8" s="59">
        <v>133</v>
      </c>
      <c r="R8" s="59">
        <v>20</v>
      </c>
      <c r="S8" s="374">
        <v>199</v>
      </c>
      <c r="T8" s="59">
        <v>175</v>
      </c>
      <c r="U8" s="374">
        <v>215</v>
      </c>
      <c r="V8" s="60">
        <v>156</v>
      </c>
      <c r="W8" s="374">
        <v>600</v>
      </c>
      <c r="X8" s="59">
        <v>5</v>
      </c>
      <c r="Y8" s="59">
        <v>725</v>
      </c>
      <c r="Z8" s="59">
        <v>23</v>
      </c>
      <c r="AA8" s="377">
        <v>125</v>
      </c>
      <c r="AB8" s="377">
        <v>0</v>
      </c>
      <c r="AC8" s="377">
        <v>283</v>
      </c>
      <c r="AD8" s="59"/>
      <c r="AE8" s="384">
        <v>261</v>
      </c>
      <c r="AF8" s="59"/>
      <c r="AG8" s="384">
        <v>185</v>
      </c>
      <c r="AH8" s="59"/>
      <c r="AI8" s="59">
        <v>478</v>
      </c>
      <c r="AJ8" s="59"/>
      <c r="AK8" s="403">
        <v>329</v>
      </c>
      <c r="AL8" s="59"/>
      <c r="AM8" s="59">
        <v>72</v>
      </c>
      <c r="AN8" s="59"/>
      <c r="AO8" s="58">
        <v>101</v>
      </c>
      <c r="AP8" s="58"/>
      <c r="AQ8" s="399">
        <v>75</v>
      </c>
      <c r="AR8" s="399"/>
      <c r="AS8" s="507">
        <v>359</v>
      </c>
      <c r="AT8" s="507"/>
      <c r="AU8" s="834">
        <v>162</v>
      </c>
      <c r="AV8" s="643"/>
      <c r="AW8" s="834">
        <v>55</v>
      </c>
      <c r="AX8" s="810"/>
      <c r="AY8" s="1098">
        <v>169</v>
      </c>
      <c r="AZ8" s="1001"/>
      <c r="BA8" s="1156">
        <v>67</v>
      </c>
      <c r="BB8" s="1098"/>
      <c r="BC8" s="1595">
        <v>13</v>
      </c>
      <c r="BD8" s="1156"/>
      <c r="BE8" s="1604">
        <v>10</v>
      </c>
      <c r="BF8" s="1552"/>
      <c r="BG8" s="1699">
        <v>7</v>
      </c>
      <c r="BH8" s="1699"/>
      <c r="BI8" s="1699"/>
      <c r="BJ8" s="1699"/>
      <c r="BK8" s="1699"/>
      <c r="BL8" s="1699"/>
      <c r="BM8" s="1005"/>
      <c r="BN8" s="1005"/>
      <c r="BO8" s="1005">
        <f>6+6</f>
        <v>12</v>
      </c>
      <c r="BP8" s="1005"/>
    </row>
    <row r="9" spans="1:68" x14ac:dyDescent="0.2">
      <c r="A9" s="57" t="s">
        <v>30</v>
      </c>
      <c r="B9" s="52"/>
      <c r="C9" s="52"/>
      <c r="D9" s="52"/>
      <c r="E9" s="1887"/>
      <c r="F9" s="1888"/>
      <c r="G9" s="52"/>
      <c r="H9" s="53"/>
      <c r="I9" s="52">
        <v>3</v>
      </c>
      <c r="J9" s="53"/>
      <c r="K9" s="53"/>
      <c r="L9" s="53"/>
      <c r="M9" s="53">
        <v>4</v>
      </c>
      <c r="N9" s="53"/>
      <c r="O9" s="53"/>
      <c r="P9" s="53"/>
      <c r="Q9" s="53"/>
      <c r="R9" s="53"/>
      <c r="S9" s="375"/>
      <c r="T9" s="53"/>
      <c r="U9" s="375"/>
      <c r="V9" s="56"/>
      <c r="W9" s="380">
        <v>32</v>
      </c>
      <c r="X9" s="53"/>
      <c r="Y9" s="53"/>
      <c r="Z9" s="53"/>
      <c r="AA9" s="379"/>
      <c r="AB9" s="379"/>
      <c r="AC9" s="379">
        <v>2</v>
      </c>
      <c r="AD9" s="53"/>
      <c r="AE9" s="379"/>
      <c r="AF9" s="53"/>
      <c r="AG9" s="379"/>
      <c r="AH9" s="53"/>
      <c r="AI9" s="53"/>
      <c r="AJ9" s="53"/>
      <c r="AK9" s="53"/>
      <c r="AL9" s="53"/>
      <c r="AM9" s="379">
        <v>2</v>
      </c>
      <c r="AN9" s="53"/>
      <c r="AO9" s="52"/>
      <c r="AP9" s="52"/>
      <c r="AQ9" s="400"/>
      <c r="AR9" s="400"/>
      <c r="AS9" s="508"/>
      <c r="AT9" s="508"/>
      <c r="AU9" s="835">
        <v>4</v>
      </c>
      <c r="AV9" s="644"/>
      <c r="AW9" s="835"/>
      <c r="AX9" s="811"/>
      <c r="AY9" s="1099"/>
      <c r="AZ9" s="1002"/>
      <c r="BA9" s="1157"/>
      <c r="BB9" s="1099"/>
      <c r="BC9" s="1596"/>
      <c r="BD9" s="1157"/>
      <c r="BE9" s="1605"/>
      <c r="BF9" s="1553"/>
      <c r="BG9" s="1698"/>
      <c r="BH9" s="1698"/>
      <c r="BI9" s="1698"/>
      <c r="BJ9" s="1698"/>
      <c r="BK9" s="1698"/>
      <c r="BL9" s="1698"/>
      <c r="BM9" s="1005"/>
      <c r="BN9" s="1005"/>
      <c r="BO9" s="1005"/>
      <c r="BP9" s="1005"/>
    </row>
    <row r="10" spans="1:68" x14ac:dyDescent="0.2">
      <c r="A10" s="57" t="s">
        <v>31</v>
      </c>
      <c r="B10" s="58"/>
      <c r="C10" s="58"/>
      <c r="D10" s="58"/>
      <c r="E10" s="1889">
        <f>102+53+249</f>
        <v>404</v>
      </c>
      <c r="F10" s="1890"/>
      <c r="G10" s="58">
        <f>46+79+264</f>
        <v>389</v>
      </c>
      <c r="H10" s="59">
        <f>16+337</f>
        <v>353</v>
      </c>
      <c r="I10" s="58">
        <f>21+11+138</f>
        <v>170</v>
      </c>
      <c r="J10" s="59">
        <f>11+235</f>
        <v>246</v>
      </c>
      <c r="K10" s="59">
        <f>25+131</f>
        <v>156</v>
      </c>
      <c r="L10" s="59">
        <f>59+296</f>
        <v>355</v>
      </c>
      <c r="M10" s="377">
        <v>305</v>
      </c>
      <c r="N10" s="377">
        <v>310</v>
      </c>
      <c r="O10" s="377">
        <v>463</v>
      </c>
      <c r="P10" s="377">
        <v>1240</v>
      </c>
      <c r="Q10" s="59">
        <v>83</v>
      </c>
      <c r="R10" s="59">
        <v>0</v>
      </c>
      <c r="S10" s="374">
        <v>77</v>
      </c>
      <c r="T10" s="59">
        <v>770</v>
      </c>
      <c r="U10" s="374">
        <v>212</v>
      </c>
      <c r="V10" s="60">
        <v>180</v>
      </c>
      <c r="W10" s="374">
        <v>198</v>
      </c>
      <c r="X10" s="59">
        <v>32</v>
      </c>
      <c r="Y10" s="59">
        <v>317</v>
      </c>
      <c r="Z10" s="59">
        <v>20</v>
      </c>
      <c r="AA10" s="377">
        <v>55</v>
      </c>
      <c r="AB10" s="377">
        <v>0</v>
      </c>
      <c r="AC10" s="377">
        <v>100</v>
      </c>
      <c r="AD10" s="377">
        <v>0</v>
      </c>
      <c r="AE10" s="377">
        <v>58</v>
      </c>
      <c r="AF10" s="59"/>
      <c r="AG10" s="377">
        <v>117</v>
      </c>
      <c r="AH10" s="59"/>
      <c r="AI10" s="59">
        <v>167</v>
      </c>
      <c r="AJ10" s="59"/>
      <c r="AK10" s="59">
        <v>119</v>
      </c>
      <c r="AL10" s="59"/>
      <c r="AM10" s="59">
        <v>73</v>
      </c>
      <c r="AN10" s="59"/>
      <c r="AO10" s="58">
        <v>23</v>
      </c>
      <c r="AP10" s="58"/>
      <c r="AQ10" s="399">
        <v>9</v>
      </c>
      <c r="AR10" s="399"/>
      <c r="AS10" s="507">
        <v>74</v>
      </c>
      <c r="AT10" s="507"/>
      <c r="AU10" s="834">
        <v>54</v>
      </c>
      <c r="AV10" s="643"/>
      <c r="AW10" s="834">
        <v>16</v>
      </c>
      <c r="AX10" s="810"/>
      <c r="AY10" s="1098">
        <v>20</v>
      </c>
      <c r="AZ10" s="1001"/>
      <c r="BA10" s="1156"/>
      <c r="BB10" s="1098"/>
      <c r="BC10" s="1595"/>
      <c r="BD10" s="1156"/>
      <c r="BE10" s="1604"/>
      <c r="BF10" s="1552"/>
      <c r="BG10" s="1699"/>
      <c r="BH10" s="1699"/>
      <c r="BI10" s="1699"/>
      <c r="BJ10" s="1699"/>
      <c r="BK10" s="1699"/>
      <c r="BL10" s="1699"/>
      <c r="BM10" s="1005"/>
      <c r="BN10" s="1005"/>
      <c r="BO10" s="1005"/>
      <c r="BP10" s="1005"/>
    </row>
    <row r="11" spans="1:68" x14ac:dyDescent="0.2">
      <c r="A11" s="57" t="s">
        <v>32</v>
      </c>
      <c r="B11" s="52"/>
      <c r="C11" s="52"/>
      <c r="D11" s="52"/>
      <c r="E11" s="1887">
        <v>2</v>
      </c>
      <c r="F11" s="1888"/>
      <c r="G11" s="52"/>
      <c r="H11" s="53"/>
      <c r="I11" s="52"/>
      <c r="J11" s="53"/>
      <c r="K11" s="53"/>
      <c r="L11" s="53"/>
      <c r="M11" s="53"/>
      <c r="N11" s="53"/>
      <c r="O11" s="53"/>
      <c r="P11" s="53"/>
      <c r="Q11" s="53"/>
      <c r="R11" s="53"/>
      <c r="S11" s="375"/>
      <c r="T11" s="53"/>
      <c r="U11" s="375"/>
      <c r="V11" s="56"/>
      <c r="W11" s="375"/>
      <c r="X11" s="53"/>
      <c r="Y11" s="53"/>
      <c r="Z11" s="379">
        <v>3</v>
      </c>
      <c r="AA11" s="379"/>
      <c r="AB11" s="379"/>
      <c r="AC11" s="53"/>
      <c r="AD11" s="379"/>
      <c r="AE11" s="53"/>
      <c r="AF11" s="53"/>
      <c r="AG11" s="379"/>
      <c r="AH11" s="53"/>
      <c r="AI11" s="53"/>
      <c r="AJ11" s="53"/>
      <c r="AK11" s="379">
        <v>3</v>
      </c>
      <c r="AL11" s="53"/>
      <c r="AM11" s="379"/>
      <c r="AN11" s="53"/>
      <c r="AO11" s="52"/>
      <c r="AP11" s="52"/>
      <c r="AQ11" s="400"/>
      <c r="AR11" s="400"/>
      <c r="AS11" s="508">
        <v>9</v>
      </c>
      <c r="AT11" s="508"/>
      <c r="AU11" s="644"/>
      <c r="AV11" s="644"/>
      <c r="AW11" s="811"/>
      <c r="AX11" s="811"/>
      <c r="AY11" s="1099"/>
      <c r="AZ11" s="1002"/>
      <c r="BA11" s="1157"/>
      <c r="BB11" s="1099"/>
      <c r="BC11" s="1596"/>
      <c r="BD11" s="1157"/>
      <c r="BE11" s="1605"/>
      <c r="BF11" s="1553"/>
      <c r="BG11" s="1698"/>
      <c r="BH11" s="1698"/>
      <c r="BI11" s="1698"/>
      <c r="BJ11" s="1698"/>
      <c r="BK11" s="1698"/>
      <c r="BL11" s="1698"/>
      <c r="BM11" s="1005"/>
      <c r="BN11" s="1005"/>
      <c r="BO11" s="1005"/>
      <c r="BP11" s="1005"/>
    </row>
    <row r="12" spans="1:68" x14ac:dyDescent="0.2">
      <c r="A12" s="57" t="s">
        <v>33</v>
      </c>
      <c r="B12" s="58"/>
      <c r="C12" s="58"/>
      <c r="D12" s="58"/>
      <c r="E12" s="1889">
        <f>5+5+12</f>
        <v>22</v>
      </c>
      <c r="F12" s="1890"/>
      <c r="G12" s="58">
        <f>138</f>
        <v>138</v>
      </c>
      <c r="H12" s="59">
        <f>725</f>
        <v>725</v>
      </c>
      <c r="I12" s="58">
        <f>3+73</f>
        <v>76</v>
      </c>
      <c r="J12" s="59">
        <f>653</f>
        <v>653</v>
      </c>
      <c r="K12" s="59">
        <f>20</f>
        <v>20</v>
      </c>
      <c r="L12" s="59">
        <f>3+8</f>
        <v>11</v>
      </c>
      <c r="M12" s="59">
        <v>54</v>
      </c>
      <c r="N12" s="59">
        <v>18</v>
      </c>
      <c r="O12" s="377">
        <v>78</v>
      </c>
      <c r="P12" s="59">
        <v>68</v>
      </c>
      <c r="Q12" s="59">
        <v>46</v>
      </c>
      <c r="R12" s="59">
        <v>11</v>
      </c>
      <c r="S12" s="374">
        <v>33</v>
      </c>
      <c r="T12" s="59">
        <v>28</v>
      </c>
      <c r="U12" s="374">
        <v>18</v>
      </c>
      <c r="V12" s="60">
        <v>9</v>
      </c>
      <c r="W12" s="374">
        <v>21</v>
      </c>
      <c r="X12" s="59">
        <v>0</v>
      </c>
      <c r="Y12" s="59">
        <v>12</v>
      </c>
      <c r="Z12" s="59">
        <v>32</v>
      </c>
      <c r="AA12" s="377">
        <v>6</v>
      </c>
      <c r="AB12" s="377">
        <v>0</v>
      </c>
      <c r="AC12" s="59">
        <v>5</v>
      </c>
      <c r="AD12" s="377">
        <v>0</v>
      </c>
      <c r="AE12" s="59">
        <v>25</v>
      </c>
      <c r="AF12" s="59"/>
      <c r="AG12" s="377">
        <v>69</v>
      </c>
      <c r="AH12" s="59"/>
      <c r="AI12" s="59">
        <v>34</v>
      </c>
      <c r="AJ12" s="59"/>
      <c r="AK12" s="59">
        <v>30</v>
      </c>
      <c r="AL12" s="59"/>
      <c r="AM12" s="377">
        <v>8</v>
      </c>
      <c r="AN12" s="59"/>
      <c r="AO12" s="58"/>
      <c r="AP12" s="58"/>
      <c r="AQ12" s="399"/>
      <c r="AR12" s="399"/>
      <c r="AS12" s="507"/>
      <c r="AT12" s="507"/>
      <c r="AU12" s="643"/>
      <c r="AV12" s="643"/>
      <c r="AW12" s="810"/>
      <c r="AX12" s="810"/>
      <c r="AY12" s="1098"/>
      <c r="AZ12" s="1001"/>
      <c r="BA12" s="1156"/>
      <c r="BB12" s="1098"/>
      <c r="BC12" s="1595"/>
      <c r="BD12" s="1156"/>
      <c r="BE12" s="1604"/>
      <c r="BF12" s="1552"/>
      <c r="BG12" s="1699">
        <v>7</v>
      </c>
      <c r="BH12" s="1699"/>
      <c r="BI12" s="1699"/>
      <c r="BJ12" s="1699"/>
      <c r="BK12" s="1699"/>
      <c r="BL12" s="1699"/>
      <c r="BM12" s="1005"/>
      <c r="BN12" s="1005"/>
      <c r="BO12" s="1005"/>
      <c r="BP12" s="1005"/>
    </row>
    <row r="13" spans="1:68" x14ac:dyDescent="0.2">
      <c r="A13" s="57" t="s">
        <v>34</v>
      </c>
      <c r="B13" s="52"/>
      <c r="C13" s="52"/>
      <c r="D13" s="52"/>
      <c r="E13" s="1887"/>
      <c r="F13" s="1888"/>
      <c r="G13" s="52"/>
      <c r="H13" s="53"/>
      <c r="I13" s="52"/>
      <c r="J13" s="53"/>
      <c r="K13" s="53"/>
      <c r="L13" s="53"/>
      <c r="M13" s="53"/>
      <c r="N13" s="53"/>
      <c r="O13" s="53"/>
      <c r="P13" s="53"/>
      <c r="Q13" s="53"/>
      <c r="R13" s="53"/>
      <c r="S13" s="375"/>
      <c r="T13" s="53"/>
      <c r="U13" s="375"/>
      <c r="V13" s="56"/>
      <c r="W13" s="375"/>
      <c r="X13" s="53"/>
      <c r="Y13" s="53"/>
      <c r="Z13" s="53"/>
      <c r="AA13" s="53"/>
      <c r="AB13" s="53"/>
      <c r="AC13" s="53"/>
      <c r="AD13" s="53"/>
      <c r="AE13" s="53"/>
      <c r="AF13" s="53"/>
      <c r="AG13" s="53">
        <v>3</v>
      </c>
      <c r="AH13" s="53"/>
      <c r="AI13" s="379">
        <v>6</v>
      </c>
      <c r="AJ13" s="53"/>
      <c r="AK13" s="53"/>
      <c r="AL13" s="53"/>
      <c r="AM13" s="53"/>
      <c r="AN13" s="53"/>
      <c r="AO13" s="52"/>
      <c r="AP13" s="52"/>
      <c r="AQ13" s="400"/>
      <c r="AR13" s="400"/>
      <c r="AS13" s="508"/>
      <c r="AT13" s="508"/>
      <c r="AU13" s="644"/>
      <c r="AV13" s="644"/>
      <c r="AW13" s="811"/>
      <c r="AX13" s="811"/>
      <c r="AY13" s="1099"/>
      <c r="AZ13" s="1002"/>
      <c r="BA13" s="1157"/>
      <c r="BB13" s="1099"/>
      <c r="BC13" s="1596"/>
      <c r="BD13" s="1157"/>
      <c r="BE13" s="1645"/>
      <c r="BF13" s="1645"/>
      <c r="BG13" s="1698"/>
      <c r="BH13" s="1698"/>
      <c r="BI13" s="1698"/>
      <c r="BJ13" s="1698"/>
      <c r="BK13" s="1698"/>
      <c r="BL13" s="1698"/>
      <c r="BM13" s="1005"/>
      <c r="BN13" s="1005"/>
      <c r="BO13" s="1005"/>
      <c r="BP13" s="1005"/>
    </row>
    <row r="14" spans="1:68" ht="12" thickBot="1" x14ac:dyDescent="0.25">
      <c r="A14" s="61" t="s">
        <v>35</v>
      </c>
      <c r="B14" s="62"/>
      <c r="C14" s="62"/>
      <c r="D14" s="62"/>
      <c r="E14" s="1901"/>
      <c r="F14" s="1902"/>
      <c r="G14" s="62">
        <f>3</f>
        <v>3</v>
      </c>
      <c r="H14" s="63">
        <f>2</f>
        <v>2</v>
      </c>
      <c r="I14" s="62"/>
      <c r="J14" s="63"/>
      <c r="K14" s="63">
        <f>3</f>
        <v>3</v>
      </c>
      <c r="L14" s="63"/>
      <c r="M14" s="378">
        <v>6</v>
      </c>
      <c r="N14" s="378">
        <v>12</v>
      </c>
      <c r="O14" s="378">
        <v>5</v>
      </c>
      <c r="P14" s="372"/>
      <c r="Q14" s="63">
        <v>26</v>
      </c>
      <c r="R14" s="63">
        <v>0</v>
      </c>
      <c r="S14" s="376">
        <v>0</v>
      </c>
      <c r="T14" s="63">
        <v>4</v>
      </c>
      <c r="U14" s="376"/>
      <c r="V14" s="64"/>
      <c r="W14" s="376">
        <v>3</v>
      </c>
      <c r="X14" s="63"/>
      <c r="Y14" s="63"/>
      <c r="Z14" s="378">
        <v>0</v>
      </c>
      <c r="AA14" s="378">
        <v>8</v>
      </c>
      <c r="AB14" s="63">
        <v>0</v>
      </c>
      <c r="AC14" s="378">
        <v>18</v>
      </c>
      <c r="AD14" s="378">
        <v>0</v>
      </c>
      <c r="AE14" s="63"/>
      <c r="AF14" s="63"/>
      <c r="AG14" s="63"/>
      <c r="AH14" s="63"/>
      <c r="AI14" s="402">
        <v>3</v>
      </c>
      <c r="AJ14" s="63"/>
      <c r="AK14" s="63"/>
      <c r="AL14" s="63"/>
      <c r="AM14" s="63"/>
      <c r="AN14" s="63"/>
      <c r="AO14" s="62"/>
      <c r="AP14" s="62"/>
      <c r="AQ14" s="397"/>
      <c r="AR14" s="397"/>
      <c r="AS14" s="511"/>
      <c r="AT14" s="511"/>
      <c r="AU14" s="649"/>
      <c r="AV14" s="647"/>
      <c r="AW14" s="807"/>
      <c r="AX14" s="807"/>
      <c r="AY14" s="1105">
        <v>5</v>
      </c>
      <c r="AZ14" s="998"/>
      <c r="BA14" s="1163"/>
      <c r="BB14" s="1105"/>
      <c r="BC14" s="1594"/>
      <c r="BD14" s="1163"/>
      <c r="BE14" s="1647">
        <v>7</v>
      </c>
      <c r="BF14" s="1647"/>
      <c r="BG14" s="1701">
        <v>4</v>
      </c>
      <c r="BH14" s="1701"/>
      <c r="BI14" s="1701"/>
      <c r="BJ14" s="1701"/>
      <c r="BK14" s="1665"/>
      <c r="BL14" s="1665"/>
      <c r="BM14" s="1006"/>
      <c r="BN14" s="1006"/>
      <c r="BO14" s="1006"/>
      <c r="BP14" s="1006"/>
    </row>
    <row r="15" spans="1:68" x14ac:dyDescent="0.2">
      <c r="A15" s="65" t="s">
        <v>36</v>
      </c>
      <c r="B15" s="54"/>
      <c r="C15" s="54"/>
      <c r="D15" s="54"/>
      <c r="E15" s="54"/>
      <c r="F15" s="55"/>
      <c r="G15" s="54"/>
      <c r="H15" s="55"/>
      <c r="I15" s="54"/>
      <c r="J15" s="55"/>
      <c r="K15" s="55"/>
      <c r="L15" s="55"/>
      <c r="M15" s="55"/>
      <c r="N15" s="55"/>
      <c r="O15" s="55"/>
      <c r="P15" s="55"/>
      <c r="Q15" s="55"/>
      <c r="R15" s="55"/>
      <c r="S15" s="54"/>
      <c r="T15" s="55"/>
      <c r="U15" s="54"/>
      <c r="V15" s="66"/>
      <c r="W15" s="54"/>
      <c r="X15" s="55"/>
      <c r="Y15" s="55"/>
      <c r="Z15" s="55"/>
      <c r="AA15" s="55"/>
      <c r="AB15" s="55"/>
      <c r="AC15" s="55"/>
      <c r="AD15" s="55"/>
      <c r="AE15" s="55"/>
      <c r="AF15" s="55"/>
      <c r="AG15" s="55"/>
      <c r="AH15" s="55"/>
      <c r="AI15" s="55"/>
      <c r="AJ15" s="55"/>
      <c r="AK15" s="55">
        <v>2</v>
      </c>
      <c r="AL15" s="55"/>
      <c r="AM15" s="55"/>
      <c r="AN15" s="55"/>
      <c r="AO15" s="54"/>
      <c r="AP15" s="54"/>
      <c r="AQ15" s="54"/>
      <c r="AR15" s="54"/>
      <c r="AS15" s="54"/>
      <c r="AT15" s="54"/>
      <c r="AU15" s="648"/>
      <c r="AV15" s="54"/>
      <c r="AW15" s="54"/>
      <c r="AX15" s="54"/>
      <c r="AY15" s="54"/>
      <c r="AZ15" s="54"/>
      <c r="BA15" s="54"/>
      <c r="BB15" s="54"/>
      <c r="BC15" s="54"/>
      <c r="BD15" s="54"/>
      <c r="BE15" s="54"/>
      <c r="BF15" s="54"/>
      <c r="BG15" s="54"/>
      <c r="BH15" s="54"/>
      <c r="BI15" s="54"/>
      <c r="BJ15" s="54"/>
      <c r="BK15" s="54"/>
      <c r="BL15" s="54"/>
      <c r="BM15" s="1004"/>
      <c r="BN15" s="1004"/>
      <c r="BO15" s="1004"/>
      <c r="BP15" s="1004"/>
    </row>
    <row r="16" spans="1:68" x14ac:dyDescent="0.2">
      <c r="A16" s="65" t="s">
        <v>37</v>
      </c>
      <c r="B16" s="58"/>
      <c r="C16" s="58"/>
      <c r="D16" s="58"/>
      <c r="E16" s="58">
        <f>2</f>
        <v>2</v>
      </c>
      <c r="F16" s="59"/>
      <c r="G16" s="58"/>
      <c r="H16" s="59"/>
      <c r="I16" s="58">
        <f>3</f>
        <v>3</v>
      </c>
      <c r="J16" s="59"/>
      <c r="K16" s="59"/>
      <c r="L16" s="59"/>
      <c r="M16" s="59"/>
      <c r="N16" s="59"/>
      <c r="O16" s="59"/>
      <c r="P16" s="59"/>
      <c r="Q16" s="59"/>
      <c r="R16" s="59"/>
      <c r="S16" s="374"/>
      <c r="T16" s="59"/>
      <c r="U16" s="374"/>
      <c r="V16" s="60"/>
      <c r="W16" s="374">
        <v>4</v>
      </c>
      <c r="X16" s="59"/>
      <c r="Y16" s="59"/>
      <c r="Z16" s="59"/>
      <c r="AA16" s="59"/>
      <c r="AB16" s="59"/>
      <c r="AC16" s="59"/>
      <c r="AD16" s="59"/>
      <c r="AE16" s="59"/>
      <c r="AF16" s="59"/>
      <c r="AG16" s="59"/>
      <c r="AH16" s="59"/>
      <c r="AI16" s="59"/>
      <c r="AJ16" s="59"/>
      <c r="AK16" s="59"/>
      <c r="AL16" s="59"/>
      <c r="AM16" s="59"/>
      <c r="AN16" s="59"/>
      <c r="AO16" s="58"/>
      <c r="AP16" s="58"/>
      <c r="AQ16" s="399"/>
      <c r="AR16" s="399"/>
      <c r="AS16" s="507"/>
      <c r="AT16" s="507"/>
      <c r="AU16" s="650"/>
      <c r="AV16" s="643"/>
      <c r="AW16" s="1098"/>
      <c r="AX16" s="810"/>
      <c r="AY16" s="1156"/>
      <c r="AZ16" s="1001"/>
      <c r="BA16" s="1595"/>
      <c r="BB16" s="1098"/>
      <c r="BC16" s="1604"/>
      <c r="BD16" s="1156"/>
      <c r="BE16" s="1644"/>
      <c r="BF16" s="1644"/>
      <c r="BG16" s="1699"/>
      <c r="BH16" s="1699"/>
      <c r="BI16" s="1699"/>
      <c r="BJ16" s="1699"/>
      <c r="BK16" s="1663"/>
      <c r="BL16" s="1663"/>
      <c r="BM16" s="1005"/>
      <c r="BN16" s="1005"/>
      <c r="BO16" s="1005"/>
      <c r="BP16" s="1005"/>
    </row>
    <row r="17" spans="1:68" x14ac:dyDescent="0.2">
      <c r="A17" s="65" t="s">
        <v>38</v>
      </c>
      <c r="B17" s="54"/>
      <c r="C17" s="54"/>
      <c r="D17" s="54"/>
      <c r="E17" s="54"/>
      <c r="F17" s="55"/>
      <c r="G17" s="54"/>
      <c r="H17" s="55"/>
      <c r="I17" s="54"/>
      <c r="J17" s="55"/>
      <c r="K17" s="55"/>
      <c r="L17" s="55"/>
      <c r="M17" s="55"/>
      <c r="N17" s="55"/>
      <c r="O17" s="55"/>
      <c r="P17" s="55"/>
      <c r="Q17" s="55">
        <v>3</v>
      </c>
      <c r="R17" s="55"/>
      <c r="S17" s="54"/>
      <c r="T17" s="55"/>
      <c r="U17" s="54"/>
      <c r="V17" s="66"/>
      <c r="W17" s="54"/>
      <c r="X17" s="55"/>
      <c r="Y17" s="55"/>
      <c r="Z17" s="55"/>
      <c r="AA17" s="55"/>
      <c r="AB17" s="55"/>
      <c r="AC17" s="382">
        <v>9</v>
      </c>
      <c r="AD17" s="55"/>
      <c r="AE17" s="382">
        <v>0</v>
      </c>
      <c r="AF17" s="55"/>
      <c r="AG17" s="55"/>
      <c r="AH17" s="55"/>
      <c r="AI17" s="55"/>
      <c r="AJ17" s="55"/>
      <c r="AK17" s="55"/>
      <c r="AL17" s="55"/>
      <c r="AM17" s="55"/>
      <c r="AN17" s="55"/>
      <c r="AO17" s="54"/>
      <c r="AP17" s="54"/>
      <c r="AQ17" s="54"/>
      <c r="AR17" s="54"/>
      <c r="AS17" s="832">
        <v>3</v>
      </c>
      <c r="AT17" s="54"/>
      <c r="AU17" s="648"/>
      <c r="AV17" s="54"/>
      <c r="AW17" s="54"/>
      <c r="AX17" s="54"/>
      <c r="AY17" s="54"/>
      <c r="AZ17" s="54"/>
      <c r="BA17" s="54"/>
      <c r="BB17" s="54"/>
      <c r="BC17" s="54"/>
      <c r="BD17" s="54"/>
      <c r="BE17" s="54"/>
      <c r="BF17" s="54"/>
      <c r="BG17" s="54"/>
      <c r="BH17" s="54"/>
      <c r="BI17" s="54"/>
      <c r="BJ17" s="54"/>
      <c r="BK17" s="54"/>
      <c r="BL17" s="54"/>
      <c r="BM17" s="1004"/>
      <c r="BN17" s="1004"/>
      <c r="BO17" s="1004"/>
      <c r="BP17" s="1004"/>
    </row>
    <row r="18" spans="1:68" ht="12" thickBot="1" x14ac:dyDescent="0.25">
      <c r="A18" s="318" t="s">
        <v>39</v>
      </c>
      <c r="B18" s="62"/>
      <c r="C18" s="62"/>
      <c r="D18" s="62">
        <f>4+8+126</f>
        <v>138</v>
      </c>
      <c r="E18" s="62">
        <f>2+16</f>
        <v>18</v>
      </c>
      <c r="F18" s="63">
        <f>9</f>
        <v>9</v>
      </c>
      <c r="G18" s="62">
        <f>3+35</f>
        <v>38</v>
      </c>
      <c r="H18" s="63">
        <f>3+3</f>
        <v>6</v>
      </c>
      <c r="I18" s="62">
        <f>6+47</f>
        <v>53</v>
      </c>
      <c r="J18" s="63">
        <f>3</f>
        <v>3</v>
      </c>
      <c r="K18" s="63">
        <v>13</v>
      </c>
      <c r="L18" s="63">
        <v>9</v>
      </c>
      <c r="M18" s="378">
        <v>49</v>
      </c>
      <c r="N18" s="63">
        <v>10</v>
      </c>
      <c r="O18" s="63">
        <v>21</v>
      </c>
      <c r="P18" s="63">
        <v>0</v>
      </c>
      <c r="Q18" s="63">
        <v>13</v>
      </c>
      <c r="R18" s="63">
        <v>0</v>
      </c>
      <c r="S18" s="376">
        <v>29</v>
      </c>
      <c r="T18" s="63">
        <v>4</v>
      </c>
      <c r="U18" s="376">
        <v>40</v>
      </c>
      <c r="V18" s="64">
        <v>7</v>
      </c>
      <c r="W18" s="376">
        <v>25</v>
      </c>
      <c r="X18" s="63">
        <v>2</v>
      </c>
      <c r="Y18" s="378">
        <v>33</v>
      </c>
      <c r="Z18" s="63"/>
      <c r="AA18" s="378">
        <v>23</v>
      </c>
      <c r="AB18" s="63">
        <v>0</v>
      </c>
      <c r="AC18" s="378">
        <v>6</v>
      </c>
      <c r="AD18" s="378"/>
      <c r="AE18" s="378">
        <v>8</v>
      </c>
      <c r="AF18" s="63"/>
      <c r="AG18" s="63">
        <v>3</v>
      </c>
      <c r="AH18" s="63"/>
      <c r="AI18" s="63">
        <v>3</v>
      </c>
      <c r="AJ18" s="63"/>
      <c r="AK18" s="63">
        <v>3</v>
      </c>
      <c r="AL18" s="63"/>
      <c r="AM18" s="63"/>
      <c r="AN18" s="63"/>
      <c r="AO18" s="62">
        <v>4</v>
      </c>
      <c r="AP18" s="62"/>
      <c r="AQ18" s="397">
        <v>7</v>
      </c>
      <c r="AR18" s="397"/>
      <c r="AS18" s="833">
        <v>14</v>
      </c>
      <c r="AT18" s="511"/>
      <c r="AU18" s="649"/>
      <c r="AV18" s="647"/>
      <c r="AW18" s="1105"/>
      <c r="AX18" s="807"/>
      <c r="AY18" s="1163"/>
      <c r="AZ18" s="998"/>
      <c r="BA18" s="1594"/>
      <c r="BB18" s="1105"/>
      <c r="BC18" s="1607"/>
      <c r="BD18" s="1163"/>
      <c r="BE18" s="1647"/>
      <c r="BF18" s="1647"/>
      <c r="BG18" s="1701"/>
      <c r="BH18" s="1701"/>
      <c r="BI18" s="1701"/>
      <c r="BJ18" s="1701"/>
      <c r="BK18" s="1665"/>
      <c r="BL18" s="1665"/>
      <c r="BM18" s="1006"/>
      <c r="BN18" s="1006"/>
      <c r="BO18" s="1006"/>
      <c r="BP18" s="1006"/>
    </row>
    <row r="19" spans="1:68" x14ac:dyDescent="0.2">
      <c r="A19" s="65" t="s">
        <v>40</v>
      </c>
      <c r="B19" s="54"/>
      <c r="C19" s="54"/>
      <c r="D19" s="54"/>
      <c r="E19" s="54"/>
      <c r="F19" s="55"/>
      <c r="G19" s="54"/>
      <c r="H19" s="55"/>
      <c r="I19" s="54"/>
      <c r="J19" s="55"/>
      <c r="K19" s="55"/>
      <c r="L19" s="55"/>
      <c r="M19" s="55"/>
      <c r="N19" s="55"/>
      <c r="O19" s="55"/>
      <c r="P19" s="55"/>
      <c r="Q19" s="55"/>
      <c r="R19" s="55"/>
      <c r="S19" s="54"/>
      <c r="T19" s="55"/>
      <c r="U19" s="54">
        <v>7</v>
      </c>
      <c r="V19" s="66"/>
      <c r="W19" s="54"/>
      <c r="X19" s="55"/>
      <c r="Y19" s="382">
        <v>3</v>
      </c>
      <c r="Z19" s="55"/>
      <c r="AA19" s="55"/>
      <c r="AB19" s="55"/>
      <c r="AC19" s="382"/>
      <c r="AD19" s="382"/>
      <c r="AE19" s="382">
        <v>0</v>
      </c>
      <c r="AF19" s="55"/>
      <c r="AG19" s="55"/>
      <c r="AH19" s="55"/>
      <c r="AI19" s="55"/>
      <c r="AJ19" s="55"/>
      <c r="AK19" s="382">
        <v>4</v>
      </c>
      <c r="AL19" s="55"/>
      <c r="AM19" s="55"/>
      <c r="AN19" s="55"/>
      <c r="AO19" s="54"/>
      <c r="AP19" s="54"/>
      <c r="AQ19" s="54"/>
      <c r="AR19" s="54"/>
      <c r="AS19" s="832"/>
      <c r="AT19" s="54"/>
      <c r="AU19" s="648"/>
      <c r="AV19" s="54"/>
      <c r="AW19" s="54"/>
      <c r="AX19" s="54"/>
      <c r="AY19" s="54"/>
      <c r="AZ19" s="54"/>
      <c r="BA19" s="54"/>
      <c r="BB19" s="54"/>
      <c r="BC19" s="54"/>
      <c r="BD19" s="54"/>
      <c r="BE19" s="54"/>
      <c r="BF19" s="54"/>
      <c r="BG19" s="54"/>
      <c r="BH19" s="54"/>
      <c r="BI19" s="54"/>
      <c r="BJ19" s="54"/>
      <c r="BK19" s="54"/>
      <c r="BL19" s="54"/>
      <c r="BM19" s="1004"/>
      <c r="BN19" s="1004"/>
      <c r="BO19" s="1004"/>
      <c r="BP19" s="1004"/>
    </row>
    <row r="20" spans="1:68" x14ac:dyDescent="0.2">
      <c r="A20" s="65" t="s">
        <v>41</v>
      </c>
      <c r="B20" s="58"/>
      <c r="C20" s="58"/>
      <c r="D20" s="58">
        <f>2+19</f>
        <v>21</v>
      </c>
      <c r="E20" s="58">
        <f>2+16</f>
        <v>18</v>
      </c>
      <c r="F20" s="59">
        <f>2</f>
        <v>2</v>
      </c>
      <c r="G20" s="58">
        <f>3+9</f>
        <v>12</v>
      </c>
      <c r="H20" s="59">
        <f>15</f>
        <v>15</v>
      </c>
      <c r="I20" s="58">
        <f>11+22</f>
        <v>33</v>
      </c>
      <c r="J20" s="59">
        <f>3+3+3</f>
        <v>9</v>
      </c>
      <c r="K20" s="59">
        <v>26</v>
      </c>
      <c r="L20" s="59">
        <v>0</v>
      </c>
      <c r="M20" s="377">
        <v>29</v>
      </c>
      <c r="N20" s="59">
        <v>0</v>
      </c>
      <c r="O20" s="59">
        <v>72</v>
      </c>
      <c r="P20" s="59">
        <v>7</v>
      </c>
      <c r="Q20" s="59">
        <v>33</v>
      </c>
      <c r="R20" s="59">
        <v>7</v>
      </c>
      <c r="S20" s="374">
        <v>29</v>
      </c>
      <c r="T20" s="59">
        <v>4</v>
      </c>
      <c r="U20" s="374">
        <v>47</v>
      </c>
      <c r="V20" s="60">
        <v>0</v>
      </c>
      <c r="W20" s="374">
        <v>12</v>
      </c>
      <c r="X20" s="59"/>
      <c r="Y20" s="377">
        <v>47</v>
      </c>
      <c r="Z20" s="377"/>
      <c r="AA20" s="377">
        <v>15</v>
      </c>
      <c r="AB20" s="59"/>
      <c r="AC20" s="377">
        <v>18</v>
      </c>
      <c r="AD20" s="377"/>
      <c r="AE20" s="377">
        <v>8</v>
      </c>
      <c r="AF20" s="59"/>
      <c r="AG20" s="59">
        <v>5</v>
      </c>
      <c r="AH20" s="59"/>
      <c r="AI20" s="59">
        <v>15</v>
      </c>
      <c r="AJ20" s="59"/>
      <c r="AK20" s="59">
        <v>3</v>
      </c>
      <c r="AL20" s="59"/>
      <c r="AM20" s="59">
        <v>6</v>
      </c>
      <c r="AN20" s="59"/>
      <c r="AO20" s="58">
        <v>2</v>
      </c>
      <c r="AP20" s="58"/>
      <c r="AQ20" s="399">
        <v>3</v>
      </c>
      <c r="AR20" s="399"/>
      <c r="AS20" s="834">
        <v>1</v>
      </c>
      <c r="AT20" s="507"/>
      <c r="AU20" s="650"/>
      <c r="AV20" s="643"/>
      <c r="AW20" s="1098"/>
      <c r="AX20" s="810"/>
      <c r="AY20" s="1156"/>
      <c r="AZ20" s="1001"/>
      <c r="BA20" s="1595">
        <v>14</v>
      </c>
      <c r="BB20" s="1098"/>
      <c r="BC20" s="1604"/>
      <c r="BD20" s="1156"/>
      <c r="BE20" s="1644"/>
      <c r="BF20" s="1644"/>
      <c r="BG20" s="1699"/>
      <c r="BH20" s="1699"/>
      <c r="BI20" s="1699"/>
      <c r="BJ20" s="1699"/>
      <c r="BK20" s="1803"/>
      <c r="BL20" s="1803"/>
      <c r="BM20" s="1005"/>
      <c r="BN20" s="1005"/>
      <c r="BO20" s="1005"/>
      <c r="BP20" s="1005"/>
    </row>
    <row r="21" spans="1:68" x14ac:dyDescent="0.2">
      <c r="A21" s="65" t="s">
        <v>42</v>
      </c>
      <c r="B21" s="52"/>
      <c r="C21" s="52"/>
      <c r="D21" s="52"/>
      <c r="E21" s="52"/>
      <c r="F21" s="53"/>
      <c r="G21" s="52"/>
      <c r="H21" s="53"/>
      <c r="I21" s="52"/>
      <c r="J21" s="53"/>
      <c r="K21" s="53"/>
      <c r="L21" s="53">
        <v>3</v>
      </c>
      <c r="M21" s="53"/>
      <c r="N21" s="53"/>
      <c r="O21" s="53"/>
      <c r="P21" s="53"/>
      <c r="Q21" s="53"/>
      <c r="R21" s="53"/>
      <c r="S21" s="375"/>
      <c r="T21" s="53"/>
      <c r="U21" s="375"/>
      <c r="V21" s="56"/>
      <c r="W21" s="380">
        <v>52</v>
      </c>
      <c r="X21" s="53"/>
      <c r="Y21" s="379">
        <v>3</v>
      </c>
      <c r="Z21" s="379"/>
      <c r="AA21" s="379">
        <v>4</v>
      </c>
      <c r="AB21" s="53"/>
      <c r="AC21" s="379">
        <v>3</v>
      </c>
      <c r="AD21" s="379"/>
      <c r="AE21" s="379"/>
      <c r="AF21" s="53"/>
      <c r="AG21" s="53"/>
      <c r="AH21" s="53"/>
      <c r="AI21" s="379">
        <v>14</v>
      </c>
      <c r="AJ21" s="53"/>
      <c r="AK21" s="53">
        <v>2</v>
      </c>
      <c r="AL21" s="53"/>
      <c r="AM21" s="53"/>
      <c r="AN21" s="53"/>
      <c r="AO21" s="52"/>
      <c r="AP21" s="52"/>
      <c r="AQ21" s="400"/>
      <c r="AR21" s="400"/>
      <c r="AS21" s="835"/>
      <c r="AT21" s="508"/>
      <c r="AU21" s="835">
        <v>13</v>
      </c>
      <c r="AV21" s="644"/>
      <c r="AW21" s="1099"/>
      <c r="AX21" s="811"/>
      <c r="AY21" s="1157"/>
      <c r="AZ21" s="1002"/>
      <c r="BA21" s="1596"/>
      <c r="BB21" s="1099"/>
      <c r="BC21" s="1605"/>
      <c r="BD21" s="1157"/>
      <c r="BE21" s="1645"/>
      <c r="BF21" s="1645"/>
      <c r="BG21" s="1698"/>
      <c r="BH21" s="1698"/>
      <c r="BI21" s="1698"/>
      <c r="BJ21" s="1698"/>
      <c r="BK21" s="1802"/>
      <c r="BL21" s="1802"/>
      <c r="BM21" s="1005"/>
      <c r="BN21" s="1005"/>
      <c r="BO21" s="1005"/>
      <c r="BP21" s="1005"/>
    </row>
    <row r="22" spans="1:68" x14ac:dyDescent="0.2">
      <c r="A22" s="65" t="s">
        <v>43</v>
      </c>
      <c r="B22" s="58"/>
      <c r="C22" s="58"/>
      <c r="D22" s="58">
        <f>11+4+35</f>
        <v>50</v>
      </c>
      <c r="E22" s="58">
        <f>9+35</f>
        <v>44</v>
      </c>
      <c r="F22" s="59">
        <f>7</f>
        <v>7</v>
      </c>
      <c r="G22" s="58">
        <f>3+3+13+3</f>
        <v>22</v>
      </c>
      <c r="H22" s="59">
        <f>11</f>
        <v>11</v>
      </c>
      <c r="I22" s="58">
        <f>3+28+22</f>
        <v>53</v>
      </c>
      <c r="J22" s="59">
        <f>3</f>
        <v>3</v>
      </c>
      <c r="K22" s="59">
        <v>40</v>
      </c>
      <c r="L22" s="59">
        <v>4</v>
      </c>
      <c r="M22" s="377">
        <v>101</v>
      </c>
      <c r="N22" s="377">
        <v>10</v>
      </c>
      <c r="O22" s="59">
        <v>77</v>
      </c>
      <c r="P22" s="59">
        <v>8</v>
      </c>
      <c r="Q22" s="59">
        <v>7</v>
      </c>
      <c r="R22" s="59">
        <v>0</v>
      </c>
      <c r="S22" s="374">
        <v>8</v>
      </c>
      <c r="T22" s="59">
        <v>4</v>
      </c>
      <c r="U22" s="374">
        <v>47</v>
      </c>
      <c r="V22" s="60">
        <v>0</v>
      </c>
      <c r="W22" s="374">
        <v>56</v>
      </c>
      <c r="X22" s="59">
        <v>2</v>
      </c>
      <c r="Y22" s="377">
        <v>33</v>
      </c>
      <c r="Z22" s="377">
        <v>0</v>
      </c>
      <c r="AA22" s="377">
        <v>18</v>
      </c>
      <c r="AB22" s="59">
        <v>0</v>
      </c>
      <c r="AC22" s="59">
        <v>9</v>
      </c>
      <c r="AD22" s="59"/>
      <c r="AE22" s="377">
        <v>12</v>
      </c>
      <c r="AF22" s="59"/>
      <c r="AG22" s="59">
        <v>17</v>
      </c>
      <c r="AH22" s="59"/>
      <c r="AI22" s="59">
        <v>21</v>
      </c>
      <c r="AJ22" s="59"/>
      <c r="AK22" s="59">
        <v>1</v>
      </c>
      <c r="AL22" s="59"/>
      <c r="AM22" s="59">
        <v>3</v>
      </c>
      <c r="AN22" s="59"/>
      <c r="AO22" s="58">
        <v>6</v>
      </c>
      <c r="AP22" s="58"/>
      <c r="AQ22" s="399">
        <v>25</v>
      </c>
      <c r="AR22" s="399"/>
      <c r="AS22" s="834"/>
      <c r="AT22" s="507"/>
      <c r="AU22" s="834"/>
      <c r="AV22" s="643"/>
      <c r="AW22" s="1098"/>
      <c r="AX22" s="810"/>
      <c r="AY22" s="1156"/>
      <c r="AZ22" s="1001"/>
      <c r="BA22" s="1595">
        <v>0</v>
      </c>
      <c r="BB22" s="1098"/>
      <c r="BC22" s="1604"/>
      <c r="BD22" s="1156"/>
      <c r="BE22" s="1644">
        <v>6</v>
      </c>
      <c r="BF22" s="1644"/>
      <c r="BG22" s="1699"/>
      <c r="BH22" s="1699"/>
      <c r="BI22" s="1699">
        <v>8</v>
      </c>
      <c r="BJ22" s="1699"/>
      <c r="BK22" s="1803"/>
      <c r="BL22" s="1803"/>
      <c r="BM22" s="1005"/>
      <c r="BN22" s="1005"/>
      <c r="BO22" s="1005"/>
      <c r="BP22" s="1005"/>
    </row>
    <row r="23" spans="1:68" x14ac:dyDescent="0.2">
      <c r="A23" s="65" t="s">
        <v>44</v>
      </c>
      <c r="B23" s="52"/>
      <c r="C23" s="52"/>
      <c r="D23" s="52"/>
      <c r="E23" s="52"/>
      <c r="F23" s="53"/>
      <c r="G23" s="52"/>
      <c r="H23" s="53"/>
      <c r="I23" s="52"/>
      <c r="J23" s="53"/>
      <c r="K23" s="53"/>
      <c r="L23" s="53"/>
      <c r="M23" s="53"/>
      <c r="N23" s="53"/>
      <c r="O23" s="53"/>
      <c r="P23" s="53"/>
      <c r="Q23" s="53"/>
      <c r="R23" s="53"/>
      <c r="S23" s="375"/>
      <c r="T23" s="53"/>
      <c r="U23" s="375"/>
      <c r="V23" s="56"/>
      <c r="W23" s="380">
        <v>6</v>
      </c>
      <c r="X23" s="53"/>
      <c r="Y23" s="379"/>
      <c r="Z23" s="379"/>
      <c r="AA23" s="379">
        <v>2</v>
      </c>
      <c r="AB23" s="53"/>
      <c r="AC23" s="379">
        <v>9</v>
      </c>
      <c r="AD23" s="53"/>
      <c r="AE23" s="53"/>
      <c r="AF23" s="53"/>
      <c r="AG23" s="53"/>
      <c r="AH23" s="53"/>
      <c r="AI23" s="379">
        <v>36</v>
      </c>
      <c r="AJ23" s="53"/>
      <c r="AK23" s="53"/>
      <c r="AL23" s="53"/>
      <c r="AM23" s="53"/>
      <c r="AN23" s="53"/>
      <c r="AO23" s="52"/>
      <c r="AP23" s="52"/>
      <c r="AQ23" s="400"/>
      <c r="AR23" s="400"/>
      <c r="AS23" s="835"/>
      <c r="AT23" s="508"/>
      <c r="AU23" s="835">
        <v>9</v>
      </c>
      <c r="AV23" s="644"/>
      <c r="AW23" s="1099"/>
      <c r="AX23" s="811"/>
      <c r="AY23" s="1157"/>
      <c r="AZ23" s="1002"/>
      <c r="BA23" s="1596"/>
      <c r="BB23" s="1099"/>
      <c r="BC23" s="1605"/>
      <c r="BD23" s="1157"/>
      <c r="BE23" s="1645"/>
      <c r="BF23" s="1645"/>
      <c r="BG23" s="1698"/>
      <c r="BH23" s="1698"/>
      <c r="BI23" s="1698"/>
      <c r="BJ23" s="1698"/>
      <c r="BK23" s="1802"/>
      <c r="BL23" s="1802"/>
      <c r="BM23" s="1005"/>
      <c r="BN23" s="1005"/>
      <c r="BO23" s="1005"/>
      <c r="BP23" s="1005"/>
    </row>
    <row r="24" spans="1:68" x14ac:dyDescent="0.2">
      <c r="A24" s="65" t="s">
        <v>45</v>
      </c>
      <c r="B24" s="58"/>
      <c r="C24" s="58"/>
      <c r="D24" s="58">
        <f>2+11+17</f>
        <v>30</v>
      </c>
      <c r="E24" s="58">
        <f>5+5</f>
        <v>10</v>
      </c>
      <c r="F24" s="59">
        <f>5</f>
        <v>5</v>
      </c>
      <c r="G24" s="58">
        <f>3+11+8</f>
        <v>22</v>
      </c>
      <c r="H24" s="59">
        <f>3</f>
        <v>3</v>
      </c>
      <c r="I24" s="58">
        <f>3+8</f>
        <v>11</v>
      </c>
      <c r="J24" s="59"/>
      <c r="K24" s="59">
        <v>4</v>
      </c>
      <c r="L24" s="59">
        <v>0</v>
      </c>
      <c r="M24" s="377">
        <v>44</v>
      </c>
      <c r="N24" s="59">
        <v>0</v>
      </c>
      <c r="O24" s="59">
        <v>29</v>
      </c>
      <c r="P24" s="59">
        <v>0</v>
      </c>
      <c r="Q24" s="59">
        <v>10</v>
      </c>
      <c r="R24" s="59">
        <v>0</v>
      </c>
      <c r="S24" s="374">
        <v>20</v>
      </c>
      <c r="T24" s="59">
        <v>0</v>
      </c>
      <c r="U24" s="374">
        <v>0</v>
      </c>
      <c r="V24" s="60">
        <v>7</v>
      </c>
      <c r="W24" s="374">
        <v>39</v>
      </c>
      <c r="X24" s="59"/>
      <c r="Y24" s="377">
        <v>19</v>
      </c>
      <c r="Z24" s="377"/>
      <c r="AA24" s="377">
        <v>21</v>
      </c>
      <c r="AB24" s="59">
        <v>0</v>
      </c>
      <c r="AC24" s="377">
        <v>6</v>
      </c>
      <c r="AD24" s="59"/>
      <c r="AE24" s="59">
        <v>21</v>
      </c>
      <c r="AF24" s="59"/>
      <c r="AG24" s="59">
        <v>5</v>
      </c>
      <c r="AH24" s="59"/>
      <c r="AI24" s="59">
        <v>9</v>
      </c>
      <c r="AJ24" s="59"/>
      <c r="AK24" s="59">
        <v>11</v>
      </c>
      <c r="AL24" s="59"/>
      <c r="AM24" s="59">
        <v>3</v>
      </c>
      <c r="AN24" s="59"/>
      <c r="AO24" s="58">
        <v>43</v>
      </c>
      <c r="AP24" s="58"/>
      <c r="AQ24" s="399">
        <v>11</v>
      </c>
      <c r="AR24" s="399"/>
      <c r="AS24" s="834">
        <v>5</v>
      </c>
      <c r="AT24" s="507"/>
      <c r="AU24" s="834"/>
      <c r="AV24" s="643"/>
      <c r="AW24" s="1098">
        <v>7</v>
      </c>
      <c r="AX24" s="810"/>
      <c r="AY24" s="1156"/>
      <c r="AZ24" s="1001"/>
      <c r="BA24" s="1595">
        <v>5</v>
      </c>
      <c r="BB24" s="1098"/>
      <c r="BC24" s="1604"/>
      <c r="BD24" s="1156"/>
      <c r="BE24" s="1644">
        <v>3</v>
      </c>
      <c r="BF24" s="1644"/>
      <c r="BG24" s="1699"/>
      <c r="BH24" s="1699"/>
      <c r="BI24" s="1699"/>
      <c r="BJ24" s="1699"/>
      <c r="BK24" s="1803"/>
      <c r="BL24" s="1803"/>
      <c r="BM24" s="1005">
        <v>8</v>
      </c>
      <c r="BN24" s="1005"/>
      <c r="BO24" s="1005"/>
      <c r="BP24" s="1005"/>
    </row>
    <row r="25" spans="1:68" x14ac:dyDescent="0.2">
      <c r="A25" s="65" t="s">
        <v>46</v>
      </c>
      <c r="B25" s="52"/>
      <c r="C25" s="52"/>
      <c r="D25" s="52"/>
      <c r="E25" s="52"/>
      <c r="F25" s="53"/>
      <c r="G25" s="52"/>
      <c r="H25" s="53"/>
      <c r="I25" s="52"/>
      <c r="J25" s="53"/>
      <c r="K25" s="53"/>
      <c r="L25" s="53"/>
      <c r="M25" s="379">
        <v>0</v>
      </c>
      <c r="N25" s="53"/>
      <c r="O25" s="379">
        <v>44</v>
      </c>
      <c r="P25" s="53"/>
      <c r="Q25" s="53"/>
      <c r="R25" s="53"/>
      <c r="S25" s="375"/>
      <c r="T25" s="53"/>
      <c r="U25" s="375"/>
      <c r="V25" s="56"/>
      <c r="W25" s="380">
        <v>12</v>
      </c>
      <c r="X25" s="53"/>
      <c r="Y25" s="379">
        <v>13</v>
      </c>
      <c r="Z25" s="379"/>
      <c r="AA25" s="379">
        <v>2</v>
      </c>
      <c r="AB25" s="53"/>
      <c r="AC25" s="53"/>
      <c r="AD25" s="53"/>
      <c r="AE25" s="53"/>
      <c r="AF25" s="53"/>
      <c r="AG25" s="53"/>
      <c r="AH25" s="53"/>
      <c r="AI25" s="53"/>
      <c r="AJ25" s="53"/>
      <c r="AK25" s="53"/>
      <c r="AL25" s="53"/>
      <c r="AM25" s="53"/>
      <c r="AN25" s="53"/>
      <c r="AO25" s="52"/>
      <c r="AP25" s="52"/>
      <c r="AQ25" s="400"/>
      <c r="AR25" s="400"/>
      <c r="AS25" s="835"/>
      <c r="AT25" s="508"/>
      <c r="AU25" s="835"/>
      <c r="AV25" s="644"/>
      <c r="AW25" s="1099"/>
      <c r="AX25" s="811"/>
      <c r="AY25" s="1157"/>
      <c r="AZ25" s="1002"/>
      <c r="BA25" s="1596"/>
      <c r="BB25" s="1099"/>
      <c r="BC25" s="1605"/>
      <c r="BD25" s="1157"/>
      <c r="BE25" s="1645"/>
      <c r="BF25" s="1645"/>
      <c r="BG25" s="1698"/>
      <c r="BH25" s="1698"/>
      <c r="BI25" s="1698"/>
      <c r="BJ25" s="1698"/>
      <c r="BK25" s="1802"/>
      <c r="BL25" s="1802"/>
      <c r="BM25" s="1005"/>
      <c r="BN25" s="1005"/>
      <c r="BO25" s="1005"/>
      <c r="BP25" s="1005"/>
    </row>
    <row r="26" spans="1:68" ht="12" thickBot="1" x14ac:dyDescent="0.25">
      <c r="A26" s="65" t="s">
        <v>47</v>
      </c>
      <c r="B26" s="62"/>
      <c r="C26" s="62"/>
      <c r="D26" s="62">
        <f>9+8+4</f>
        <v>21</v>
      </c>
      <c r="E26" s="62">
        <f>2+14</f>
        <v>16</v>
      </c>
      <c r="F26" s="63">
        <f>2</f>
        <v>2</v>
      </c>
      <c r="G26" s="62">
        <f>5+3</f>
        <v>8</v>
      </c>
      <c r="H26" s="63"/>
      <c r="I26" s="62">
        <f>6+14</f>
        <v>20</v>
      </c>
      <c r="J26" s="63">
        <f>6</f>
        <v>6</v>
      </c>
      <c r="K26" s="63">
        <v>22</v>
      </c>
      <c r="L26" s="63">
        <v>0</v>
      </c>
      <c r="M26" s="378">
        <v>16</v>
      </c>
      <c r="N26" s="378">
        <v>13</v>
      </c>
      <c r="O26" s="63">
        <v>50</v>
      </c>
      <c r="P26" s="63">
        <v>7</v>
      </c>
      <c r="Q26" s="63">
        <v>47</v>
      </c>
      <c r="R26" s="63">
        <v>3</v>
      </c>
      <c r="S26" s="376">
        <v>4</v>
      </c>
      <c r="T26" s="63">
        <v>0</v>
      </c>
      <c r="U26" s="376">
        <v>21</v>
      </c>
      <c r="V26" s="64">
        <v>0</v>
      </c>
      <c r="W26" s="376">
        <v>14</v>
      </c>
      <c r="X26" s="63">
        <v>2</v>
      </c>
      <c r="Y26" s="63">
        <v>24</v>
      </c>
      <c r="Z26" s="378">
        <v>0</v>
      </c>
      <c r="AA26" s="378">
        <v>13</v>
      </c>
      <c r="AB26" s="63"/>
      <c r="AC26" s="378">
        <v>24</v>
      </c>
      <c r="AD26" s="378">
        <v>0</v>
      </c>
      <c r="AE26" s="378">
        <v>45</v>
      </c>
      <c r="AF26" s="63"/>
      <c r="AG26" s="63">
        <v>12</v>
      </c>
      <c r="AH26" s="63"/>
      <c r="AI26" s="63">
        <v>21</v>
      </c>
      <c r="AJ26" s="63"/>
      <c r="AK26" s="63">
        <v>20</v>
      </c>
      <c r="AL26" s="63"/>
      <c r="AM26" s="63">
        <v>32</v>
      </c>
      <c r="AN26" s="63"/>
      <c r="AO26" s="62">
        <v>35</v>
      </c>
      <c r="AP26" s="62"/>
      <c r="AQ26" s="397"/>
      <c r="AR26" s="397"/>
      <c r="AS26" s="833">
        <v>15</v>
      </c>
      <c r="AT26" s="511"/>
      <c r="AU26" s="833"/>
      <c r="AV26" s="647"/>
      <c r="AW26" s="1105">
        <v>6</v>
      </c>
      <c r="AX26" s="807"/>
      <c r="AY26" s="1163">
        <v>11</v>
      </c>
      <c r="AZ26" s="998"/>
      <c r="BA26" s="1594"/>
      <c r="BB26" s="1105"/>
      <c r="BC26" s="1607"/>
      <c r="BD26" s="1163"/>
      <c r="BE26" s="1647">
        <v>6</v>
      </c>
      <c r="BF26" s="1647"/>
      <c r="BG26" s="1701"/>
      <c r="BH26" s="1701"/>
      <c r="BI26" s="1701">
        <v>8</v>
      </c>
      <c r="BJ26" s="1701"/>
      <c r="BK26" s="1804"/>
      <c r="BL26" s="1804"/>
      <c r="BM26" s="1006">
        <v>4</v>
      </c>
      <c r="BN26" s="1006"/>
      <c r="BO26" s="1006"/>
      <c r="BP26" s="1006"/>
    </row>
    <row r="27" spans="1:68" x14ac:dyDescent="0.2">
      <c r="A27" s="51" t="s">
        <v>48</v>
      </c>
      <c r="B27" s="54"/>
      <c r="C27" s="54"/>
      <c r="D27" s="54"/>
      <c r="E27" s="54"/>
      <c r="F27" s="55"/>
      <c r="G27" s="54"/>
      <c r="H27" s="55"/>
      <c r="I27" s="54"/>
      <c r="J27" s="55"/>
      <c r="K27" s="55"/>
      <c r="L27" s="55"/>
      <c r="M27" s="55"/>
      <c r="N27" s="55"/>
      <c r="O27" s="55"/>
      <c r="P27" s="55"/>
      <c r="Q27" s="55"/>
      <c r="R27" s="55"/>
      <c r="S27" s="54"/>
      <c r="T27" s="55"/>
      <c r="U27" s="54"/>
      <c r="V27" s="66"/>
      <c r="W27" s="54"/>
      <c r="X27" s="55"/>
      <c r="Y27" s="382"/>
      <c r="Z27" s="382">
        <v>6</v>
      </c>
      <c r="AA27" s="382">
        <v>1</v>
      </c>
      <c r="AB27" s="55">
        <v>0</v>
      </c>
      <c r="AC27" s="382"/>
      <c r="AD27" s="382"/>
      <c r="AE27" s="382"/>
      <c r="AF27" s="55"/>
      <c r="AG27" s="55"/>
      <c r="AH27" s="55"/>
      <c r="AI27" s="55"/>
      <c r="AJ27" s="55"/>
      <c r="AK27" s="55"/>
      <c r="AL27" s="55"/>
      <c r="AM27" s="55">
        <v>3</v>
      </c>
      <c r="AN27" s="55"/>
      <c r="AO27" s="54"/>
      <c r="AP27" s="54"/>
      <c r="AQ27" s="54">
        <v>9</v>
      </c>
      <c r="AR27" s="54"/>
      <c r="AS27" s="832"/>
      <c r="AT27" s="54"/>
      <c r="AU27" s="832"/>
      <c r="AV27" s="54"/>
      <c r="AW27" s="54"/>
      <c r="AX27" s="54"/>
      <c r="AY27" s="54"/>
      <c r="AZ27" s="54"/>
      <c r="BA27" s="54"/>
      <c r="BB27" s="54"/>
      <c r="BC27" s="54"/>
      <c r="BD27" s="54"/>
      <c r="BE27" s="54"/>
      <c r="BF27" s="54"/>
      <c r="BG27" s="54"/>
      <c r="BH27" s="54"/>
      <c r="BI27" s="54"/>
      <c r="BJ27" s="54"/>
      <c r="BK27" s="54"/>
      <c r="BL27" s="54"/>
      <c r="BM27" s="1004"/>
      <c r="BN27" s="1004"/>
      <c r="BO27" s="1004"/>
      <c r="BP27" s="1004"/>
    </row>
    <row r="28" spans="1:68" x14ac:dyDescent="0.2">
      <c r="A28" s="57" t="s">
        <v>49</v>
      </c>
      <c r="B28" s="58"/>
      <c r="C28" s="58"/>
      <c r="D28" s="58">
        <f>2+5+2</f>
        <v>9</v>
      </c>
      <c r="E28" s="58">
        <f>5+46</f>
        <v>51</v>
      </c>
      <c r="F28" s="59">
        <f>2+5</f>
        <v>7</v>
      </c>
      <c r="G28" s="58">
        <f>6+5+13</f>
        <v>24</v>
      </c>
      <c r="H28" s="59">
        <f>5</f>
        <v>5</v>
      </c>
      <c r="I28" s="58">
        <f>3+3+42</f>
        <v>48</v>
      </c>
      <c r="J28" s="59">
        <f>14</f>
        <v>14</v>
      </c>
      <c r="K28" s="59">
        <v>15</v>
      </c>
      <c r="L28" s="59">
        <v>3</v>
      </c>
      <c r="M28" s="377">
        <v>55</v>
      </c>
      <c r="N28" s="59">
        <v>14</v>
      </c>
      <c r="O28" s="59">
        <v>26</v>
      </c>
      <c r="P28" s="59">
        <v>0</v>
      </c>
      <c r="Q28" s="59">
        <v>61</v>
      </c>
      <c r="R28" s="59">
        <v>4</v>
      </c>
      <c r="S28" s="374">
        <v>12</v>
      </c>
      <c r="T28" s="59">
        <v>3</v>
      </c>
      <c r="U28" s="374">
        <v>59</v>
      </c>
      <c r="V28" s="60">
        <v>5</v>
      </c>
      <c r="W28" s="374">
        <v>215</v>
      </c>
      <c r="X28" s="59"/>
      <c r="Y28" s="377">
        <v>95</v>
      </c>
      <c r="Z28" s="377">
        <v>0</v>
      </c>
      <c r="AA28" s="377">
        <v>32</v>
      </c>
      <c r="AB28" s="59"/>
      <c r="AC28" s="377">
        <v>27</v>
      </c>
      <c r="AD28" s="377"/>
      <c r="AE28" s="377">
        <v>54</v>
      </c>
      <c r="AF28" s="59"/>
      <c r="AG28" s="59">
        <v>67</v>
      </c>
      <c r="AH28" s="59"/>
      <c r="AI28" s="59">
        <v>119</v>
      </c>
      <c r="AJ28" s="59"/>
      <c r="AK28" s="59">
        <v>75</v>
      </c>
      <c r="AL28" s="59"/>
      <c r="AM28" s="59">
        <v>50</v>
      </c>
      <c r="AN28" s="59"/>
      <c r="AO28" s="58">
        <v>184</v>
      </c>
      <c r="AP28" s="58"/>
      <c r="AQ28" s="399">
        <v>184</v>
      </c>
      <c r="AR28" s="399"/>
      <c r="AS28" s="834">
        <v>78</v>
      </c>
      <c r="AT28" s="507"/>
      <c r="AU28" s="834">
        <v>59</v>
      </c>
      <c r="AV28" s="643"/>
      <c r="AW28" s="1098">
        <v>20</v>
      </c>
      <c r="AX28" s="810"/>
      <c r="AY28" s="1156">
        <v>24</v>
      </c>
      <c r="AZ28" s="1001"/>
      <c r="BA28" s="1595"/>
      <c r="BB28" s="1098"/>
      <c r="BC28" s="1604"/>
      <c r="BD28" s="1156"/>
      <c r="BE28" s="1644">
        <v>7</v>
      </c>
      <c r="BF28" s="1644"/>
      <c r="BG28" s="1699">
        <v>4</v>
      </c>
      <c r="BH28" s="1699"/>
      <c r="BI28" s="1699"/>
      <c r="BJ28" s="1699"/>
      <c r="BK28" s="1803"/>
      <c r="BL28" s="1803"/>
      <c r="BM28" s="1005"/>
      <c r="BN28" s="1005"/>
      <c r="BO28" s="1005"/>
      <c r="BP28" s="1005"/>
    </row>
    <row r="29" spans="1:68" x14ac:dyDescent="0.2">
      <c r="A29" s="57" t="s">
        <v>50</v>
      </c>
      <c r="B29" s="67"/>
      <c r="C29" s="67"/>
      <c r="D29" s="67"/>
      <c r="E29" s="67">
        <v>2</v>
      </c>
      <c r="F29" s="68"/>
      <c r="G29" s="67"/>
      <c r="H29" s="68"/>
      <c r="I29" s="67">
        <v>3</v>
      </c>
      <c r="J29" s="68"/>
      <c r="K29" s="68">
        <v>4</v>
      </c>
      <c r="L29" s="68"/>
      <c r="M29" s="68"/>
      <c r="N29" s="68"/>
      <c r="O29" s="68"/>
      <c r="P29" s="68"/>
      <c r="Q29" s="68"/>
      <c r="R29" s="68"/>
      <c r="S29" s="67"/>
      <c r="T29" s="68"/>
      <c r="U29" s="67"/>
      <c r="V29" s="69"/>
      <c r="W29" s="381">
        <v>23</v>
      </c>
      <c r="X29" s="68"/>
      <c r="Y29" s="383">
        <v>3</v>
      </c>
      <c r="Z29" s="383"/>
      <c r="AA29" s="383"/>
      <c r="AB29" s="68"/>
      <c r="AC29" s="383">
        <v>12</v>
      </c>
      <c r="AD29" s="383"/>
      <c r="AE29" s="379">
        <v>7</v>
      </c>
      <c r="AF29" s="53"/>
      <c r="AG29" s="379">
        <v>5</v>
      </c>
      <c r="AH29" s="53"/>
      <c r="AI29" s="68"/>
      <c r="AJ29" s="68"/>
      <c r="AK29" s="383">
        <v>4</v>
      </c>
      <c r="AL29" s="68"/>
      <c r="AM29" s="68"/>
      <c r="AN29" s="68"/>
      <c r="AO29" s="67"/>
      <c r="AP29" s="67"/>
      <c r="AQ29" s="67"/>
      <c r="AR29" s="67"/>
      <c r="AS29" s="836"/>
      <c r="AT29" s="67"/>
      <c r="AU29" s="836"/>
      <c r="AV29" s="67"/>
      <c r="AW29" s="67"/>
      <c r="AX29" s="67"/>
      <c r="AY29" s="67"/>
      <c r="AZ29" s="67"/>
      <c r="BA29" s="67"/>
      <c r="BB29" s="67"/>
      <c r="BC29" s="67"/>
      <c r="BD29" s="67"/>
      <c r="BE29" s="67"/>
      <c r="BF29" s="67"/>
      <c r="BG29" s="67"/>
      <c r="BH29" s="67"/>
      <c r="BI29" s="67"/>
      <c r="BJ29" s="67"/>
      <c r="BK29" s="67"/>
      <c r="BL29" s="67"/>
      <c r="BM29" s="1007"/>
      <c r="BN29" s="1007"/>
      <c r="BO29" s="1007"/>
      <c r="BP29" s="1007"/>
    </row>
    <row r="30" spans="1:68" ht="12" thickBot="1" x14ac:dyDescent="0.25">
      <c r="A30" s="61" t="s">
        <v>51</v>
      </c>
      <c r="B30" s="62"/>
      <c r="C30" s="62"/>
      <c r="D30" s="62">
        <f>18+9+222</f>
        <v>249</v>
      </c>
      <c r="E30" s="62">
        <f>30+2+314</f>
        <v>346</v>
      </c>
      <c r="F30" s="63">
        <f>43</f>
        <v>43</v>
      </c>
      <c r="G30" s="62">
        <f>11+5+70</f>
        <v>86</v>
      </c>
      <c r="H30" s="63">
        <f>8+5</f>
        <v>13</v>
      </c>
      <c r="I30" s="62">
        <f>3+22+268+6</f>
        <v>299</v>
      </c>
      <c r="J30" s="63">
        <f>3+47</f>
        <v>50</v>
      </c>
      <c r="K30" s="63">
        <v>208</v>
      </c>
      <c r="L30" s="63">
        <v>6</v>
      </c>
      <c r="M30" s="378">
        <v>408</v>
      </c>
      <c r="N30" s="378">
        <v>55</v>
      </c>
      <c r="O30" s="63">
        <v>33</v>
      </c>
      <c r="P30" s="63">
        <v>18</v>
      </c>
      <c r="Q30" s="63">
        <v>191</v>
      </c>
      <c r="R30" s="63">
        <v>49</v>
      </c>
      <c r="S30" s="376">
        <v>40</v>
      </c>
      <c r="T30" s="63">
        <v>13</v>
      </c>
      <c r="U30" s="376">
        <v>691</v>
      </c>
      <c r="V30" s="64">
        <v>11</v>
      </c>
      <c r="W30" s="376">
        <v>1591</v>
      </c>
      <c r="X30" s="63">
        <v>53</v>
      </c>
      <c r="Y30" s="378">
        <v>178</v>
      </c>
      <c r="Z30" s="378">
        <v>0</v>
      </c>
      <c r="AA30" s="378">
        <v>498</v>
      </c>
      <c r="AB30" s="63">
        <v>0</v>
      </c>
      <c r="AC30" s="378">
        <v>369</v>
      </c>
      <c r="AD30" s="378">
        <v>0</v>
      </c>
      <c r="AE30" s="378">
        <v>357</v>
      </c>
      <c r="AF30" s="63"/>
      <c r="AG30" s="63">
        <v>484</v>
      </c>
      <c r="AH30" s="63"/>
      <c r="AI30" s="402">
        <v>776</v>
      </c>
      <c r="AJ30" s="63"/>
      <c r="AK30" s="63">
        <v>124</v>
      </c>
      <c r="AL30" s="63"/>
      <c r="AM30" s="63">
        <v>106</v>
      </c>
      <c r="AN30" s="63"/>
      <c r="AO30" s="62">
        <v>407</v>
      </c>
      <c r="AP30" s="62"/>
      <c r="AQ30" s="397">
        <v>539</v>
      </c>
      <c r="AR30" s="397"/>
      <c r="AS30" s="833">
        <v>172</v>
      </c>
      <c r="AT30" s="511"/>
      <c r="AU30" s="833">
        <v>130</v>
      </c>
      <c r="AV30" s="647"/>
      <c r="AW30" s="1105">
        <v>179</v>
      </c>
      <c r="AX30" s="807"/>
      <c r="AY30" s="1163">
        <v>30</v>
      </c>
      <c r="AZ30" s="998"/>
      <c r="BA30" s="1594">
        <v>10</v>
      </c>
      <c r="BB30" s="1105"/>
      <c r="BC30" s="1607">
        <v>11</v>
      </c>
      <c r="BD30" s="1163"/>
      <c r="BE30" s="1647"/>
      <c r="BF30" s="1647"/>
      <c r="BG30" s="1701">
        <v>18</v>
      </c>
      <c r="BH30" s="1701"/>
      <c r="BI30" s="1701">
        <v>6</v>
      </c>
      <c r="BJ30" s="1701"/>
      <c r="BK30" s="1804"/>
      <c r="BL30" s="1804"/>
      <c r="BM30" s="1006"/>
      <c r="BN30" s="1006"/>
      <c r="BO30" s="1006"/>
      <c r="BP30" s="1006"/>
    </row>
    <row r="31" spans="1:68" s="74" customFormat="1" x14ac:dyDescent="0.2">
      <c r="A31" s="70" t="s">
        <v>216</v>
      </c>
      <c r="B31" s="71"/>
      <c r="C31" s="71"/>
      <c r="D31" s="71"/>
      <c r="E31" s="1897">
        <f>SUM(E7,E9,E11,E13,E15:F15,E17:F17,E19:F19,E21:F21,E23:F23,E25:F25,E27:F27,E29:F29,)</f>
        <v>6</v>
      </c>
      <c r="F31" s="1898"/>
      <c r="G31" s="71">
        <f>SUM(G7,G9,G11,G13,G15,G17,G19,G21,G23,G25,G27,G29)</f>
        <v>0</v>
      </c>
      <c r="H31" s="72">
        <f>SUM(H7,H9,H11,H13,H15,H17,H19,H21,H23,H25,H27,H29)</f>
        <v>0</v>
      </c>
      <c r="I31" s="71">
        <f t="shared" ref="I31:AP32" si="0">SUM(I7,I9,I11,I13,I15,I17,I19,I21,I23,I25,I27,I29)</f>
        <v>9</v>
      </c>
      <c r="J31" s="72">
        <f t="shared" si="0"/>
        <v>0</v>
      </c>
      <c r="K31" s="72">
        <f t="shared" si="0"/>
        <v>4</v>
      </c>
      <c r="L31" s="72">
        <f t="shared" si="0"/>
        <v>3</v>
      </c>
      <c r="M31" s="72">
        <f t="shared" si="0"/>
        <v>4</v>
      </c>
      <c r="N31" s="72">
        <f t="shared" si="0"/>
        <v>0</v>
      </c>
      <c r="O31" s="72">
        <f t="shared" si="0"/>
        <v>44</v>
      </c>
      <c r="P31" s="72">
        <f t="shared" si="0"/>
        <v>0</v>
      </c>
      <c r="Q31" s="72">
        <f t="shared" si="0"/>
        <v>3</v>
      </c>
      <c r="R31" s="72">
        <f t="shared" si="0"/>
        <v>0</v>
      </c>
      <c r="S31" s="71">
        <f t="shared" si="0"/>
        <v>0</v>
      </c>
      <c r="T31" s="72">
        <f t="shared" si="0"/>
        <v>0</v>
      </c>
      <c r="U31" s="71">
        <f t="shared" si="0"/>
        <v>9</v>
      </c>
      <c r="V31" s="73">
        <f t="shared" si="0"/>
        <v>0</v>
      </c>
      <c r="W31" s="71">
        <f t="shared" si="0"/>
        <v>130</v>
      </c>
      <c r="X31" s="72">
        <f t="shared" si="0"/>
        <v>0</v>
      </c>
      <c r="Y31" s="72">
        <f>SUM(Y7,Y9,Y11,Y13,Y15,Y17,Y19,Y21,Y23,Y25,Y27,Y29)</f>
        <v>35</v>
      </c>
      <c r="Z31" s="72">
        <f t="shared" si="0"/>
        <v>9</v>
      </c>
      <c r="AA31" s="72">
        <f>SUM(AA7,AA9,AA11,AA13,AA15,AA17,AA19,AA21,AA23,AA25,AA27,AA29)</f>
        <v>19</v>
      </c>
      <c r="AB31" s="72">
        <f t="shared" si="0"/>
        <v>0</v>
      </c>
      <c r="AC31" s="72">
        <f>SUM(AC7,AC9,AC11,AC13,AC15,AC17,AC19,AC21,AC23,AC25,AC27,AC29)</f>
        <v>38</v>
      </c>
      <c r="AD31" s="72">
        <f t="shared" si="0"/>
        <v>0</v>
      </c>
      <c r="AE31" s="72">
        <f t="shared" si="0"/>
        <v>10</v>
      </c>
      <c r="AF31" s="72">
        <f t="shared" si="0"/>
        <v>0</v>
      </c>
      <c r="AG31" s="72">
        <f t="shared" si="0"/>
        <v>10</v>
      </c>
      <c r="AH31" s="72">
        <f t="shared" si="0"/>
        <v>0</v>
      </c>
      <c r="AI31" s="72">
        <f t="shared" si="0"/>
        <v>56</v>
      </c>
      <c r="AJ31" s="72">
        <f t="shared" si="0"/>
        <v>0</v>
      </c>
      <c r="AK31" s="72">
        <f t="shared" si="0"/>
        <v>15</v>
      </c>
      <c r="AL31" s="72">
        <f t="shared" si="0"/>
        <v>0</v>
      </c>
      <c r="AM31" s="72">
        <f t="shared" si="0"/>
        <v>7</v>
      </c>
      <c r="AN31" s="72">
        <f t="shared" si="0"/>
        <v>0</v>
      </c>
      <c r="AO31" s="71">
        <f t="shared" si="0"/>
        <v>0</v>
      </c>
      <c r="AP31" s="71">
        <f t="shared" si="0"/>
        <v>0</v>
      </c>
      <c r="AQ31" s="401">
        <f t="shared" ref="AQ31:AT32" si="1">SUM(AQ7,AQ9,AQ11,AQ13,AQ15,AQ17,AQ19,AQ21,AQ23,AQ25,AQ27,AQ29)</f>
        <v>9</v>
      </c>
      <c r="AR31" s="401">
        <f t="shared" si="1"/>
        <v>0</v>
      </c>
      <c r="AS31" s="509">
        <f t="shared" si="1"/>
        <v>12</v>
      </c>
      <c r="AT31" s="509">
        <f t="shared" si="1"/>
        <v>0</v>
      </c>
      <c r="AU31" s="645">
        <f t="shared" ref="AU31:AV31" si="2">SUM(AU7,AU9,AU11,AU13,AU15,AU17,AU19,AU21,AU23,AU25,AU27,AU29)</f>
        <v>26</v>
      </c>
      <c r="AV31" s="645">
        <f t="shared" si="2"/>
        <v>0</v>
      </c>
      <c r="AW31" s="815">
        <f t="shared" ref="AW31:AX31" si="3">SUM(AW7,AW9,AW11,AW13,AW15,AW17,AW19,AW21,AW23,AW25,AW27,AW29)</f>
        <v>0</v>
      </c>
      <c r="AX31" s="815">
        <f t="shared" si="3"/>
        <v>0</v>
      </c>
      <c r="AY31" s="1003">
        <f t="shared" ref="AY31:AZ31" si="4">SUM(AY7,AY9,AY11,AY13,AY15,AY17,AY19,AY21,AY23,AY25,AY27,AY29)</f>
        <v>1</v>
      </c>
      <c r="AZ31" s="1003">
        <f t="shared" si="4"/>
        <v>0</v>
      </c>
      <c r="BA31" s="1100">
        <f t="shared" ref="BA31:BB31" si="5">SUM(BA7,BA9,BA11,BA13,BA15,BA17,BA19,BA21,BA23,BA25,BA27,BA29)</f>
        <v>0</v>
      </c>
      <c r="BB31" s="1100">
        <f t="shared" si="5"/>
        <v>0</v>
      </c>
      <c r="BC31" s="1158">
        <f t="shared" ref="BC31:BD31" si="6">SUM(BC7,BC9,BC11,BC13,BC15,BC17,BC19,BC21,BC23,BC25,BC27,BC29)</f>
        <v>0</v>
      </c>
      <c r="BD31" s="1158">
        <f t="shared" si="6"/>
        <v>0</v>
      </c>
      <c r="BE31" s="1554">
        <f t="shared" ref="BE31:BF31" si="7">SUM(BE7,BE9,BE11,BE13,BE15,BE17,BE19,BE21,BE23,BE25,BE27,BE29)</f>
        <v>0</v>
      </c>
      <c r="BF31" s="1554">
        <f t="shared" si="7"/>
        <v>0</v>
      </c>
      <c r="BG31" s="1606">
        <f t="shared" ref="BG31:BH31" si="8">SUM(BG7,BG9,BG11,BG13,BG15,BG17,BG19,BG21,BG23,BG25,BG27,BG29)</f>
        <v>0</v>
      </c>
      <c r="BH31" s="1606">
        <f t="shared" si="8"/>
        <v>0</v>
      </c>
      <c r="BI31" s="1646">
        <f t="shared" ref="BI31:BJ31" si="9">SUM(BI7,BI9,BI11,BI13,BI15,BI17,BI19,BI21,BI23,BI25,BI27,BI29)</f>
        <v>0</v>
      </c>
      <c r="BJ31" s="1646">
        <f t="shared" si="9"/>
        <v>0</v>
      </c>
      <c r="BK31" s="1664">
        <f t="shared" ref="BK31:BL31" si="10">SUM(BK7,BK9,BK11,BK13,BK15,BK17,BK19,BK21,BK23,BK25,BK27,BK29)</f>
        <v>0</v>
      </c>
      <c r="BL31" s="1664">
        <f t="shared" si="10"/>
        <v>0</v>
      </c>
      <c r="BM31" s="1700">
        <f t="shared" ref="BM31:BN31" si="11">SUM(BM7,BM9,BM11,BM13,BM15,BM17,BM19,BM21,BM23,BM25,BM27,BM29)</f>
        <v>0</v>
      </c>
      <c r="BN31" s="1700">
        <f t="shared" si="11"/>
        <v>0</v>
      </c>
      <c r="BO31" s="1733">
        <f t="shared" ref="BO31:BP31" si="12">SUM(BO7,BO9,BO11,BO13,BO15,BO17,BO19,BO21,BO23,BO25,BO27,BO29)</f>
        <v>0</v>
      </c>
      <c r="BP31" s="1733">
        <f t="shared" si="12"/>
        <v>0</v>
      </c>
    </row>
    <row r="32" spans="1:68" ht="12" thickBot="1" x14ac:dyDescent="0.25">
      <c r="A32" s="75" t="s">
        <v>217</v>
      </c>
      <c r="B32" s="62"/>
      <c r="C32" s="62"/>
      <c r="D32" s="62"/>
      <c r="E32" s="1899">
        <f>SUM(E8,E10,E12,E14,E16:F16,E18:F18,E20:F20,E22:F22,E24:F24,E26:F26,E28:F28,E30:F30,)</f>
        <v>1347</v>
      </c>
      <c r="F32" s="1900"/>
      <c r="G32" s="62">
        <f>SUM(G8,G10,G12,G14,G16,G18,G20,G22,G24,G26,G28,G30)</f>
        <v>1536</v>
      </c>
      <c r="H32" s="63">
        <f>SUM(H8,H10,H12,H14,H16,H18,H20,H22,H24,H26,H28,H30)</f>
        <v>1321</v>
      </c>
      <c r="I32" s="62">
        <f t="shared" si="0"/>
        <v>1010</v>
      </c>
      <c r="J32" s="63">
        <f t="shared" si="0"/>
        <v>1119</v>
      </c>
      <c r="K32" s="63">
        <f t="shared" si="0"/>
        <v>968</v>
      </c>
      <c r="L32" s="63">
        <f t="shared" si="0"/>
        <v>519</v>
      </c>
      <c r="M32" s="63">
        <f t="shared" si="0"/>
        <v>1504</v>
      </c>
      <c r="N32" s="63">
        <f t="shared" si="0"/>
        <v>563</v>
      </c>
      <c r="O32" s="63">
        <f t="shared" si="0"/>
        <v>1684</v>
      </c>
      <c r="P32" s="63">
        <f t="shared" si="0"/>
        <v>1580</v>
      </c>
      <c r="Q32" s="63">
        <f t="shared" si="0"/>
        <v>650</v>
      </c>
      <c r="R32" s="63">
        <f t="shared" si="0"/>
        <v>94</v>
      </c>
      <c r="S32" s="62">
        <f t="shared" si="0"/>
        <v>451</v>
      </c>
      <c r="T32" s="63">
        <f t="shared" si="0"/>
        <v>1005</v>
      </c>
      <c r="U32" s="62">
        <f t="shared" si="0"/>
        <v>1350</v>
      </c>
      <c r="V32" s="64">
        <f t="shared" si="0"/>
        <v>375</v>
      </c>
      <c r="W32" s="62">
        <f t="shared" si="0"/>
        <v>2778</v>
      </c>
      <c r="X32" s="63">
        <f t="shared" si="0"/>
        <v>96</v>
      </c>
      <c r="Y32" s="63">
        <f>SUM(Y8,Y10,Y12,Y14,Y16,Y18,Y20,Y22,Y24,Y26,Y28,Y30)</f>
        <v>1483</v>
      </c>
      <c r="Z32" s="63">
        <f t="shared" si="0"/>
        <v>75</v>
      </c>
      <c r="AA32" s="63">
        <f>SUM(AA8,AA10,AA12,AA14,AA16,AA18,AA20,AA22,AA24,AA26,AA28,AA30)</f>
        <v>814</v>
      </c>
      <c r="AB32" s="63">
        <f t="shared" si="0"/>
        <v>0</v>
      </c>
      <c r="AC32" s="63">
        <f>SUM(AC8,AC10,AC12,AC14,AC16,AC18,AC20,AC22,AC24,AC26,AC28,AC30)</f>
        <v>865</v>
      </c>
      <c r="AD32" s="63">
        <f t="shared" si="0"/>
        <v>0</v>
      </c>
      <c r="AE32" s="63">
        <f t="shared" si="0"/>
        <v>849</v>
      </c>
      <c r="AF32" s="63">
        <f t="shared" si="0"/>
        <v>0</v>
      </c>
      <c r="AG32" s="63">
        <f t="shared" si="0"/>
        <v>964</v>
      </c>
      <c r="AH32" s="63">
        <f t="shared" si="0"/>
        <v>0</v>
      </c>
      <c r="AI32" s="63">
        <f t="shared" si="0"/>
        <v>1646</v>
      </c>
      <c r="AJ32" s="63">
        <f t="shared" si="0"/>
        <v>0</v>
      </c>
      <c r="AK32" s="63">
        <f t="shared" si="0"/>
        <v>715</v>
      </c>
      <c r="AL32" s="63">
        <f t="shared" si="0"/>
        <v>0</v>
      </c>
      <c r="AM32" s="63">
        <f t="shared" si="0"/>
        <v>353</v>
      </c>
      <c r="AN32" s="63">
        <f t="shared" si="0"/>
        <v>0</v>
      </c>
      <c r="AO32" s="62">
        <f t="shared" si="0"/>
        <v>805</v>
      </c>
      <c r="AP32" s="62">
        <f t="shared" si="0"/>
        <v>0</v>
      </c>
      <c r="AQ32" s="397">
        <f t="shared" si="1"/>
        <v>853</v>
      </c>
      <c r="AR32" s="397">
        <f t="shared" si="1"/>
        <v>0</v>
      </c>
      <c r="AS32" s="511">
        <f t="shared" si="1"/>
        <v>718</v>
      </c>
      <c r="AT32" s="511">
        <f t="shared" si="1"/>
        <v>0</v>
      </c>
      <c r="AU32" s="647">
        <f t="shared" ref="AU32:AV32" si="13">SUM(AU8,AU10,AU12,AU14,AU16,AU18,AU20,AU22,AU24,AU26,AU28,AU30)</f>
        <v>405</v>
      </c>
      <c r="AV32" s="647">
        <f t="shared" si="13"/>
        <v>0</v>
      </c>
      <c r="AW32" s="816">
        <f t="shared" ref="AW32:AX32" si="14">SUM(AW8,AW10,AW12,AW14,AW16,AW18,AW20,AW22,AW24,AW26,AW28,AW30)</f>
        <v>283</v>
      </c>
      <c r="AX32" s="816">
        <f t="shared" si="14"/>
        <v>0</v>
      </c>
      <c r="AY32" s="998">
        <f t="shared" ref="AY32:AZ32" si="15">SUM(AY8,AY10,AY12,AY14,AY16,AY18,AY20,AY22,AY24,AY26,AY28,AY30)</f>
        <v>259</v>
      </c>
      <c r="AZ32" s="998">
        <f t="shared" si="15"/>
        <v>0</v>
      </c>
      <c r="BA32" s="1105">
        <f t="shared" ref="BA32:BB32" si="16">SUM(BA8,BA10,BA12,BA14,BA16,BA18,BA20,BA22,BA24,BA26,BA28,BA30)</f>
        <v>96</v>
      </c>
      <c r="BB32" s="1105">
        <f t="shared" si="16"/>
        <v>0</v>
      </c>
      <c r="BC32" s="1163">
        <f t="shared" ref="BC32:BD32" si="17">SUM(BC8,BC10,BC12,BC14,BC16,BC18,BC20,BC22,BC24,BC26,BC28,BC30)</f>
        <v>24</v>
      </c>
      <c r="BD32" s="1163">
        <f t="shared" si="17"/>
        <v>0</v>
      </c>
      <c r="BE32" s="1551">
        <f t="shared" ref="BE32:BF32" si="18">SUM(BE8,BE10,BE12,BE14,BE16,BE18,BE20,BE22,BE24,BE26,BE28,BE30)</f>
        <v>39</v>
      </c>
      <c r="BF32" s="1551">
        <f t="shared" si="18"/>
        <v>0</v>
      </c>
      <c r="BG32" s="1607">
        <f t="shared" ref="BG32:BH32" si="19">SUM(BG8,BG10,BG12,BG14,BG16,BG18,BG20,BG22,BG24,BG26,BG28,BG30)</f>
        <v>40</v>
      </c>
      <c r="BH32" s="1607">
        <f t="shared" si="19"/>
        <v>0</v>
      </c>
      <c r="BI32" s="1647">
        <f t="shared" ref="BI32:BJ32" si="20">SUM(BI8,BI10,BI12,BI14,BI16,BI18,BI20,BI22,BI24,BI26,BI28,BI30)</f>
        <v>22</v>
      </c>
      <c r="BJ32" s="1647">
        <f t="shared" si="20"/>
        <v>0</v>
      </c>
      <c r="BK32" s="1665">
        <f t="shared" ref="BK32:BL32" si="21">SUM(BK8,BK10,BK12,BK14,BK16,BK18,BK20,BK22,BK24,BK26,BK28,BK30)</f>
        <v>0</v>
      </c>
      <c r="BL32" s="1665">
        <f t="shared" si="21"/>
        <v>0</v>
      </c>
      <c r="BM32" s="1701">
        <f t="shared" ref="BM32:BN32" si="22">SUM(BM8,BM10,BM12,BM14,BM16,BM18,BM20,BM22,BM24,BM26,BM28,BM30)</f>
        <v>12</v>
      </c>
      <c r="BN32" s="1701">
        <f t="shared" si="22"/>
        <v>0</v>
      </c>
      <c r="BO32" s="1734">
        <f t="shared" ref="BO32:BP32" si="23">SUM(BO8,BO10,BO12,BO14,BO16,BO18,BO20,BO22,BO24,BO26,BO28,BO30)</f>
        <v>12</v>
      </c>
      <c r="BP32" s="1734">
        <f t="shared" si="23"/>
        <v>0</v>
      </c>
    </row>
    <row r="33" spans="1:68" s="24" customFormat="1" ht="12" thickBot="1" x14ac:dyDescent="0.25">
      <c r="A33" s="22" t="s">
        <v>218</v>
      </c>
      <c r="B33" s="23"/>
      <c r="C33" s="23"/>
      <c r="D33" s="23"/>
      <c r="E33" s="1894">
        <f>E31+E32</f>
        <v>1353</v>
      </c>
      <c r="F33" s="1895"/>
      <c r="G33" s="76">
        <f t="shared" ref="G33:AE33" si="24">SUM(G31:G32)</f>
        <v>1536</v>
      </c>
      <c r="H33" s="77">
        <f t="shared" si="24"/>
        <v>1321</v>
      </c>
      <c r="I33" s="76">
        <f t="shared" si="24"/>
        <v>1019</v>
      </c>
      <c r="J33" s="77">
        <f t="shared" si="24"/>
        <v>1119</v>
      </c>
      <c r="K33" s="77">
        <f t="shared" si="24"/>
        <v>972</v>
      </c>
      <c r="L33" s="77">
        <f t="shared" si="24"/>
        <v>522</v>
      </c>
      <c r="M33" s="77">
        <f t="shared" si="24"/>
        <v>1508</v>
      </c>
      <c r="N33" s="77">
        <f t="shared" si="24"/>
        <v>563</v>
      </c>
      <c r="O33" s="77">
        <f t="shared" si="24"/>
        <v>1728</v>
      </c>
      <c r="P33" s="77">
        <f t="shared" si="24"/>
        <v>1580</v>
      </c>
      <c r="Q33" s="77">
        <f t="shared" si="24"/>
        <v>653</v>
      </c>
      <c r="R33" s="77">
        <f t="shared" si="24"/>
        <v>94</v>
      </c>
      <c r="S33" s="76">
        <f t="shared" si="24"/>
        <v>451</v>
      </c>
      <c r="T33" s="77">
        <f t="shared" si="24"/>
        <v>1005</v>
      </c>
      <c r="U33" s="76">
        <f t="shared" si="24"/>
        <v>1359</v>
      </c>
      <c r="V33" s="78">
        <f t="shared" si="24"/>
        <v>375</v>
      </c>
      <c r="W33" s="76">
        <f t="shared" si="24"/>
        <v>2908</v>
      </c>
      <c r="X33" s="77">
        <f t="shared" si="24"/>
        <v>96</v>
      </c>
      <c r="Y33" s="77">
        <f t="shared" si="24"/>
        <v>1518</v>
      </c>
      <c r="Z33" s="77">
        <f>SUM(Z31:Z32)</f>
        <v>84</v>
      </c>
      <c r="AA33" s="77">
        <f t="shared" si="24"/>
        <v>833</v>
      </c>
      <c r="AB33" s="77">
        <f>SUM(AB31:AB32)</f>
        <v>0</v>
      </c>
      <c r="AC33" s="77">
        <f t="shared" si="24"/>
        <v>903</v>
      </c>
      <c r="AD33" s="77">
        <f>SUM(AD31:AD32)</f>
        <v>0</v>
      </c>
      <c r="AE33" s="77">
        <f t="shared" si="24"/>
        <v>859</v>
      </c>
      <c r="AF33" s="77">
        <f>SUM(AF31:AF32)</f>
        <v>0</v>
      </c>
      <c r="AG33" s="77">
        <f>SUM(AG31:AG32)</f>
        <v>974</v>
      </c>
      <c r="AH33" s="77">
        <f>SUM(AH31:AH32)</f>
        <v>0</v>
      </c>
      <c r="AI33" s="77">
        <f t="shared" ref="AI33:AP33" si="25">SUM(AI31:AI32)</f>
        <v>1702</v>
      </c>
      <c r="AJ33" s="77">
        <f t="shared" si="25"/>
        <v>0</v>
      </c>
      <c r="AK33" s="77">
        <f t="shared" si="25"/>
        <v>730</v>
      </c>
      <c r="AL33" s="77">
        <f t="shared" si="25"/>
        <v>0</v>
      </c>
      <c r="AM33" s="77">
        <f t="shared" si="25"/>
        <v>360</v>
      </c>
      <c r="AN33" s="77">
        <f t="shared" si="25"/>
        <v>0</v>
      </c>
      <c r="AO33" s="77">
        <f t="shared" si="25"/>
        <v>805</v>
      </c>
      <c r="AP33" s="77">
        <f t="shared" si="25"/>
        <v>0</v>
      </c>
      <c r="AQ33" s="77">
        <f t="shared" ref="AQ33:AX33" si="26">SUM(AQ31:AQ32)</f>
        <v>862</v>
      </c>
      <c r="AR33" s="77">
        <f t="shared" si="26"/>
        <v>0</v>
      </c>
      <c r="AS33" s="77">
        <f t="shared" si="26"/>
        <v>730</v>
      </c>
      <c r="AT33" s="77">
        <f t="shared" si="26"/>
        <v>0</v>
      </c>
      <c r="AU33" s="77">
        <f t="shared" si="26"/>
        <v>431</v>
      </c>
      <c r="AV33" s="77">
        <f t="shared" si="26"/>
        <v>0</v>
      </c>
      <c r="AW33" s="77">
        <f t="shared" si="26"/>
        <v>283</v>
      </c>
      <c r="AX33" s="77">
        <f t="shared" si="26"/>
        <v>0</v>
      </c>
      <c r="AY33" s="77">
        <f t="shared" ref="AY33:AZ33" si="27">SUM(AY31:AY32)</f>
        <v>260</v>
      </c>
      <c r="AZ33" s="77">
        <f t="shared" si="27"/>
        <v>0</v>
      </c>
      <c r="BA33" s="77">
        <f t="shared" ref="BA33:BB33" si="28">SUM(BA31:BA32)</f>
        <v>96</v>
      </c>
      <c r="BB33" s="77">
        <f t="shared" si="28"/>
        <v>0</v>
      </c>
      <c r="BC33" s="77">
        <f t="shared" ref="BC33:BD33" si="29">SUM(BC31:BC32)</f>
        <v>24</v>
      </c>
      <c r="BD33" s="77">
        <f t="shared" si="29"/>
        <v>0</v>
      </c>
      <c r="BE33" s="77">
        <f t="shared" ref="BE33:BF33" si="30">SUM(BE31:BE32)</f>
        <v>39</v>
      </c>
      <c r="BF33" s="77">
        <f t="shared" si="30"/>
        <v>0</v>
      </c>
      <c r="BG33" s="77">
        <f t="shared" ref="BG33:BH33" si="31">SUM(BG31:BG32)</f>
        <v>40</v>
      </c>
      <c r="BH33" s="77">
        <f t="shared" si="31"/>
        <v>0</v>
      </c>
      <c r="BI33" s="77">
        <f t="shared" ref="BI33:BJ33" si="32">SUM(BI31:BI32)</f>
        <v>22</v>
      </c>
      <c r="BJ33" s="77">
        <f t="shared" si="32"/>
        <v>0</v>
      </c>
      <c r="BK33" s="77">
        <f t="shared" ref="BK33:BL33" si="33">SUM(BK31:BK32)</f>
        <v>0</v>
      </c>
      <c r="BL33" s="77">
        <f t="shared" si="33"/>
        <v>0</v>
      </c>
      <c r="BM33" s="77">
        <f t="shared" ref="BM33:BN33" si="34">SUM(BM31:BM32)</f>
        <v>12</v>
      </c>
      <c r="BN33" s="77">
        <f t="shared" si="34"/>
        <v>0</v>
      </c>
      <c r="BO33" s="77">
        <f t="shared" ref="BO33:BP33" si="35">SUM(BO31:BO32)</f>
        <v>12</v>
      </c>
      <c r="BP33" s="77">
        <f t="shared" si="35"/>
        <v>0</v>
      </c>
    </row>
    <row r="34" spans="1:68" s="27" customFormat="1" x14ac:dyDescent="0.2">
      <c r="A34" s="79" t="s">
        <v>74</v>
      </c>
      <c r="B34" s="25"/>
      <c r="C34" s="25"/>
      <c r="D34" s="80"/>
      <c r="E34" s="81">
        <f>SUM(D16,D18,D20,D22,D24,D26)</f>
        <v>260</v>
      </c>
      <c r="F34" s="82"/>
      <c r="G34" s="81">
        <f>SUM(E16,E18,E20,E22,E24,E26)</f>
        <v>108</v>
      </c>
      <c r="H34" s="82"/>
      <c r="I34" s="81">
        <f>SUM(G16,G18,G20,G22,G24,G26)</f>
        <v>102</v>
      </c>
      <c r="J34" s="82"/>
      <c r="K34" s="81">
        <f>SUM(I16,I18,I20,I22,I24,I26)</f>
        <v>173</v>
      </c>
      <c r="L34" s="82"/>
      <c r="M34" s="81">
        <f>SUM(K16,K18,K20,K22,K24,K26)</f>
        <v>105</v>
      </c>
      <c r="N34" s="82"/>
      <c r="O34" s="81">
        <f>SUM(M16,M18,M20,M22,M24,M26)</f>
        <v>239</v>
      </c>
      <c r="P34" s="82"/>
      <c r="Q34" s="81">
        <f>SUM(O16,O18,O20,O22,O24,O26)</f>
        <v>249</v>
      </c>
      <c r="R34" s="82"/>
      <c r="S34" s="81">
        <f>SUM(Q16,Q18,Q20,Q22,Q24,Q26)</f>
        <v>110</v>
      </c>
      <c r="T34" s="82"/>
      <c r="U34" s="81">
        <f>SUM(S16,S18,S20,S22,S24,S26)</f>
        <v>90</v>
      </c>
      <c r="V34" s="83"/>
      <c r="W34" s="84">
        <f>SUM(U16,U18,U20,U22,U24,U26)</f>
        <v>155</v>
      </c>
      <c r="X34" s="85"/>
      <c r="Y34" s="86">
        <f>SUM(W16,W18,W20,W22,W24,W26)</f>
        <v>150</v>
      </c>
      <c r="Z34" s="82"/>
      <c r="AA34" s="86">
        <f>SUM(Y16,Y18,Y20,Y22,Y24,Y26)</f>
        <v>156</v>
      </c>
      <c r="AB34" s="82"/>
      <c r="AC34" s="86">
        <f>SUM(AA16,AA18,AA20,AA22,AA24,AA26)</f>
        <v>90</v>
      </c>
      <c r="AD34" s="82"/>
      <c r="AE34" s="86">
        <f>SUM(AC16,AC18,AC20,AC22,AC24,AC26)</f>
        <v>63</v>
      </c>
      <c r="AF34" s="82"/>
      <c r="AG34" s="86">
        <f>SUM(AE16,AE18,AE20,AE22,AE24,AE26)</f>
        <v>94</v>
      </c>
      <c r="AH34" s="82"/>
      <c r="AI34" s="86">
        <f>SUM(AG16,AG18,AG20,AG22,AG24,AG26)</f>
        <v>42</v>
      </c>
      <c r="AJ34" s="82"/>
      <c r="AK34" s="86">
        <f>SUM(AI16,AI18,AI20,AI22,AI24,AI26)</f>
        <v>69</v>
      </c>
      <c r="AL34" s="82"/>
      <c r="AM34" s="86">
        <f>SUM(AK16,AK18,AK20,AK22,AK24,AK26)</f>
        <v>38</v>
      </c>
      <c r="AN34" s="82"/>
      <c r="AO34" s="86">
        <f>SUM(AM16,AM18,AM20,AM22,AM24,AM26)</f>
        <v>44</v>
      </c>
      <c r="AP34" s="82"/>
      <c r="AQ34" s="86">
        <f>SUM(AO16,AO18,AO20,AO22,AO24,AO26)</f>
        <v>90</v>
      </c>
      <c r="AR34" s="82"/>
      <c r="AS34" s="86">
        <f>SUM(AQ16,AQ18,AQ20,AQ22,AQ24,AQ26)</f>
        <v>46</v>
      </c>
      <c r="AT34" s="85"/>
      <c r="AU34" s="86">
        <f>SUM(AS16,AS18,AS20,AS22,AS24,AS26)</f>
        <v>35</v>
      </c>
      <c r="AV34" s="85"/>
      <c r="AW34" s="86">
        <f>SUM(AU16,AU18,AU20,AU22,AU24,AU26)</f>
        <v>0</v>
      </c>
      <c r="AX34" s="85"/>
      <c r="AY34" s="86">
        <f>SUM(AW16,AW18,AW20,AW22,AW24,AW26)</f>
        <v>13</v>
      </c>
      <c r="AZ34" s="514"/>
      <c r="BA34" s="86">
        <f t="shared" ref="BA34:BC34" si="36">SUM(AY16,AY18,AY20,AY22,AY24,AY26)</f>
        <v>11</v>
      </c>
      <c r="BB34" s="82"/>
      <c r="BC34" s="86">
        <f t="shared" si="36"/>
        <v>19</v>
      </c>
      <c r="BD34" s="82"/>
      <c r="BE34" s="86">
        <f t="shared" ref="BE34" si="37">SUM(BC16,BC18,BC20,BC22,BC24,BC26)</f>
        <v>0</v>
      </c>
      <c r="BF34" s="82"/>
      <c r="BG34" s="86">
        <f t="shared" ref="BG34" si="38">SUM(BE16,BE18,BE20,BE22,BE24,BE26)</f>
        <v>15</v>
      </c>
      <c r="BH34" s="82"/>
      <c r="BI34" s="86">
        <f t="shared" ref="BI34" si="39">SUM(BG16,BG18,BG20,BG22,BG24,BG26)</f>
        <v>0</v>
      </c>
      <c r="BJ34" s="82"/>
      <c r="BK34" s="86">
        <f t="shared" ref="BK34" si="40">SUM(BI16,BI18,BI20,BI22,BI24,BI26)</f>
        <v>16</v>
      </c>
      <c r="BL34" s="82"/>
      <c r="BM34" s="86">
        <f t="shared" ref="BM34" si="41">SUM(BK16,BK18,BK20,BK22,BK24,BK26)</f>
        <v>0</v>
      </c>
      <c r="BN34" s="82"/>
      <c r="BO34" s="86">
        <f t="shared" ref="BO34" si="42">SUM(BM16,BM18,BM20,BM22,BM24,BM26)</f>
        <v>12</v>
      </c>
      <c r="BP34" s="82"/>
    </row>
    <row r="35" spans="1:68" x14ac:dyDescent="0.2">
      <c r="A35" s="87" t="s">
        <v>75</v>
      </c>
      <c r="E35" s="113" t="str">
        <f>E37</f>
        <v>1991-1992</v>
      </c>
      <c r="F35" s="88"/>
      <c r="G35" s="100" t="str">
        <f>G37</f>
        <v>1992-1993</v>
      </c>
      <c r="H35" s="89"/>
      <c r="I35" s="100" t="str">
        <f>I37</f>
        <v>1993-1994</v>
      </c>
      <c r="J35" s="91"/>
      <c r="K35" s="100" t="str">
        <f>K37</f>
        <v>1994-1995</v>
      </c>
      <c r="L35" s="91"/>
      <c r="M35" s="100" t="str">
        <f>M37</f>
        <v>1995-1996</v>
      </c>
      <c r="N35" s="91"/>
      <c r="O35" s="100" t="str">
        <f>O37</f>
        <v>1996-1997</v>
      </c>
      <c r="P35" s="91"/>
      <c r="Q35" s="100" t="str">
        <f>Q37</f>
        <v>1997-1998</v>
      </c>
      <c r="R35" s="91"/>
      <c r="S35" s="100" t="str">
        <f>S37</f>
        <v>1998-1999</v>
      </c>
      <c r="T35" s="91"/>
      <c r="U35" s="100" t="str">
        <f>U37</f>
        <v>1999-2000</v>
      </c>
      <c r="V35" s="92"/>
      <c r="W35" s="100" t="str">
        <f>W37</f>
        <v>2000-2001</v>
      </c>
      <c r="X35" s="91"/>
      <c r="Y35" s="100" t="str">
        <f>Y37</f>
        <v>2001-2002</v>
      </c>
      <c r="Z35" s="91"/>
      <c r="AA35" s="100" t="str">
        <f>AA37</f>
        <v>2002-2003</v>
      </c>
      <c r="AB35" s="91"/>
      <c r="AC35" s="100" t="str">
        <f>AC37</f>
        <v>2003-2004</v>
      </c>
      <c r="AD35" s="91"/>
      <c r="AE35" s="100" t="str">
        <f>AE37</f>
        <v>2004-2005</v>
      </c>
      <c r="AF35" s="91"/>
      <c r="AG35" s="100" t="str">
        <f>AG37</f>
        <v>2005-2006</v>
      </c>
      <c r="AH35" s="91"/>
      <c r="AI35" s="100" t="str">
        <f>AI37</f>
        <v>2006-2007</v>
      </c>
      <c r="AJ35" s="91"/>
      <c r="AK35" s="100" t="str">
        <f>AK37</f>
        <v>2007-2008</v>
      </c>
      <c r="AL35" s="91"/>
      <c r="AM35" s="100" t="str">
        <f>AM37</f>
        <v>2008-2009</v>
      </c>
      <c r="AN35" s="89"/>
      <c r="AO35" s="100" t="str">
        <f>AO37</f>
        <v>2009-2010</v>
      </c>
      <c r="AP35" s="91"/>
      <c r="AQ35" s="100" t="str">
        <f>AQ37</f>
        <v>2010-2011</v>
      </c>
      <c r="AR35" s="91"/>
      <c r="AS35" s="100" t="str">
        <f>AS37</f>
        <v>2011-2012</v>
      </c>
      <c r="AT35" s="43"/>
      <c r="AU35" s="100" t="str">
        <f>AU37</f>
        <v>2012-2013</v>
      </c>
      <c r="AV35" s="43"/>
      <c r="AW35" s="100" t="str">
        <f>AW37</f>
        <v>2013-14</v>
      </c>
      <c r="AX35" s="43"/>
      <c r="AY35" s="100" t="s">
        <v>298</v>
      </c>
      <c r="AZ35" s="43"/>
      <c r="BA35" s="90" t="s">
        <v>335</v>
      </c>
      <c r="BB35" s="91"/>
      <c r="BC35" s="101" t="s">
        <v>364</v>
      </c>
      <c r="BD35" s="91"/>
      <c r="BE35" s="101" t="s">
        <v>384</v>
      </c>
      <c r="BF35" s="91"/>
      <c r="BG35" s="101" t="s">
        <v>446</v>
      </c>
      <c r="BH35" s="91"/>
      <c r="BI35" s="101" t="s">
        <v>467</v>
      </c>
      <c r="BJ35" s="91"/>
      <c r="BK35" s="101" t="s">
        <v>477</v>
      </c>
      <c r="BL35" s="91"/>
      <c r="BM35" s="101" t="s">
        <v>487</v>
      </c>
      <c r="BN35" s="91"/>
      <c r="BO35" s="101" t="s">
        <v>492</v>
      </c>
      <c r="BP35" s="91"/>
    </row>
    <row r="36" spans="1:68" s="27" customFormat="1" x14ac:dyDescent="0.2">
      <c r="A36" s="94" t="s">
        <v>76</v>
      </c>
      <c r="B36" s="25"/>
      <c r="C36" s="25"/>
      <c r="D36" s="25"/>
      <c r="E36" s="320"/>
      <c r="F36" s="34"/>
      <c r="G36" s="95">
        <f>SUM(E28,E30,G8,G10,G12,G14)</f>
        <v>1721</v>
      </c>
      <c r="H36" s="96"/>
      <c r="I36" s="95">
        <f>SUM(G28,G30,I8,I10,I12,I14)</f>
        <v>600</v>
      </c>
      <c r="J36" s="96"/>
      <c r="K36" s="95">
        <f>SUM(I28,I30,K8,K10,K12,K14)</f>
        <v>987</v>
      </c>
      <c r="L36" s="96"/>
      <c r="M36" s="95">
        <f>SUM(K28,K30,M8,M10,M12,M14)</f>
        <v>1025</v>
      </c>
      <c r="N36" s="96"/>
      <c r="O36" s="95">
        <f>SUM(M28,M30,O8,O10,O12,O14)</f>
        <v>1839</v>
      </c>
      <c r="P36" s="96"/>
      <c r="Q36" s="95">
        <f>SUM(O28,O30,Q8,Q10,Q12,Q14)</f>
        <v>347</v>
      </c>
      <c r="R36" s="96"/>
      <c r="S36" s="95">
        <f>SUM(Q28,Q30,S8,S10,S12,S14)</f>
        <v>561</v>
      </c>
      <c r="T36" s="96"/>
      <c r="U36" s="97">
        <f>SUM(S28,S30,U8,U10,U12,U14)</f>
        <v>497</v>
      </c>
      <c r="V36" s="98"/>
      <c r="W36" s="97">
        <f>SUM(U28,U30,W8,W10,W12,W14)</f>
        <v>1572</v>
      </c>
      <c r="X36" s="13"/>
      <c r="Y36" s="95">
        <f>SUM(W28,W30,Y8,Y10,Y12,Y14)</f>
        <v>2860</v>
      </c>
      <c r="Z36" s="96"/>
      <c r="AA36" s="95">
        <f>SUM(Y28,Y30,AA8,AA10,AA12,AA14)</f>
        <v>467</v>
      </c>
      <c r="AB36" s="96"/>
      <c r="AC36" s="95">
        <f>SUM(AA28,AA30,AC8,AC10,AC12,AC14)</f>
        <v>936</v>
      </c>
      <c r="AD36" s="96"/>
      <c r="AE36" s="95">
        <f>SUM(AC28,AC30,AE8,AE10,AE12,AE14)</f>
        <v>740</v>
      </c>
      <c r="AF36" s="96"/>
      <c r="AG36" s="95">
        <f>SUM(AE28,AE30,AG8,AG10,AG12,AG14)</f>
        <v>782</v>
      </c>
      <c r="AH36" s="96"/>
      <c r="AI36" s="95">
        <f>SUM(AG28,AG30,AI8,AI10,AI12,AI14)</f>
        <v>1233</v>
      </c>
      <c r="AJ36" s="96"/>
      <c r="AK36" s="95">
        <f>SUM(AI28,AI30,AK8,AK10,AK12,AK14)</f>
        <v>1373</v>
      </c>
      <c r="AL36" s="96"/>
      <c r="AM36" s="95">
        <f>SUM(AK28,AK30,AM8,AM10,AM12,AM14)</f>
        <v>352</v>
      </c>
      <c r="AN36" s="96"/>
      <c r="AO36" s="95">
        <f>SUM(AM28,AM30,AO8,AO10,AO12,AO14)</f>
        <v>280</v>
      </c>
      <c r="AP36" s="96"/>
      <c r="AQ36" s="95">
        <f>SUM(AO28,AO30,AQ8,AQ10,AQ12,AQ14)</f>
        <v>675</v>
      </c>
      <c r="AR36" s="96"/>
      <c r="AS36" s="95">
        <f>SUM(AQ28,AQ30,AS8,AS10,AS12,AS14)</f>
        <v>1156</v>
      </c>
      <c r="AT36" s="12"/>
      <c r="AU36" s="95">
        <f>SUM(AS28,AS30,AU8,AU10,AU12,AU14)</f>
        <v>466</v>
      </c>
      <c r="AV36" s="12"/>
      <c r="AW36" s="95">
        <f>SUM(AU28,AU30,AW8,AW10,AW12,AW14)</f>
        <v>260</v>
      </c>
      <c r="AX36" s="12"/>
      <c r="AY36" s="95">
        <f>SUM(AW28,AW30,AY8,AY10,AY12,AY14)</f>
        <v>393</v>
      </c>
      <c r="AZ36" s="514"/>
      <c r="BA36" s="95">
        <f t="shared" ref="BA36:BC36" si="43">SUM(AY28,AY30,BA8,BA10,BA12,BA14)</f>
        <v>121</v>
      </c>
      <c r="BB36" s="96"/>
      <c r="BC36" s="95">
        <f t="shared" si="43"/>
        <v>23</v>
      </c>
      <c r="BD36" s="96"/>
      <c r="BE36" s="95">
        <f t="shared" ref="BE36" si="44">SUM(BC28,BC30,BE8,BE10,BE12,BE14)</f>
        <v>28</v>
      </c>
      <c r="BF36" s="96"/>
      <c r="BG36" s="95">
        <f t="shared" ref="BG36" si="45">SUM(BE28,BE30,BG8,BG10,BG12,BG14)</f>
        <v>25</v>
      </c>
      <c r="BH36" s="96"/>
      <c r="BI36" s="95">
        <f t="shared" ref="BI36" si="46">SUM(BG28,BG30,BI8,BI10,BI12,BI14)</f>
        <v>22</v>
      </c>
      <c r="BJ36" s="96"/>
      <c r="BK36" s="95">
        <f t="shared" ref="BK36" si="47">SUM(BI28,BI30,BK8,BK10,BK12,BK14)</f>
        <v>6</v>
      </c>
      <c r="BL36" s="96"/>
      <c r="BM36" s="95">
        <f t="shared" ref="BM36" si="48">SUM(BK28,BK30,BM8,BM10,BM12,BM14)</f>
        <v>0</v>
      </c>
      <c r="BN36" s="96"/>
      <c r="BO36" s="95">
        <f t="shared" ref="BO36" si="49">SUM(BM28,BM30,BO8,BO10,BO12,BO14)</f>
        <v>12</v>
      </c>
      <c r="BP36" s="96"/>
    </row>
    <row r="37" spans="1:68" s="21" customFormat="1" x14ac:dyDescent="0.2">
      <c r="A37" s="87" t="s">
        <v>77</v>
      </c>
      <c r="B37" s="5"/>
      <c r="C37" s="5"/>
      <c r="D37" s="99"/>
      <c r="E37" s="100" t="s">
        <v>53</v>
      </c>
      <c r="G37" s="101" t="s">
        <v>54</v>
      </c>
      <c r="H37" s="102"/>
      <c r="I37" s="101" t="s">
        <v>55</v>
      </c>
      <c r="J37" s="102"/>
      <c r="K37" s="101" t="s">
        <v>56</v>
      </c>
      <c r="L37" s="102"/>
      <c r="M37" s="101" t="s">
        <v>57</v>
      </c>
      <c r="N37" s="102"/>
      <c r="O37" s="101" t="s">
        <v>58</v>
      </c>
      <c r="P37" s="102"/>
      <c r="Q37" s="101" t="s">
        <v>59</v>
      </c>
      <c r="R37" s="102"/>
      <c r="S37" s="101" t="s">
        <v>60</v>
      </c>
      <c r="T37" s="102"/>
      <c r="U37" s="103" t="s">
        <v>61</v>
      </c>
      <c r="V37" s="104"/>
      <c r="W37" s="105" t="s">
        <v>62</v>
      </c>
      <c r="X37" s="106"/>
      <c r="Y37" s="101" t="s">
        <v>63</v>
      </c>
      <c r="Z37" s="102"/>
      <c r="AA37" s="101" t="s">
        <v>64</v>
      </c>
      <c r="AB37" s="102"/>
      <c r="AC37" s="101" t="s">
        <v>65</v>
      </c>
      <c r="AD37" s="102"/>
      <c r="AE37" s="101" t="s">
        <v>66</v>
      </c>
      <c r="AF37" s="102"/>
      <c r="AG37" s="101" t="s">
        <v>67</v>
      </c>
      <c r="AH37" s="102"/>
      <c r="AI37" s="101" t="s">
        <v>68</v>
      </c>
      <c r="AJ37" s="102"/>
      <c r="AK37" s="101" t="s">
        <v>69</v>
      </c>
      <c r="AL37" s="102"/>
      <c r="AM37" s="101" t="s">
        <v>70</v>
      </c>
      <c r="AN37" s="102"/>
      <c r="AO37" s="101" t="s">
        <v>71</v>
      </c>
      <c r="AP37" s="102"/>
      <c r="AQ37" s="101" t="s">
        <v>119</v>
      </c>
      <c r="AR37" s="102"/>
      <c r="AS37" s="107" t="s">
        <v>120</v>
      </c>
      <c r="AT37" s="107"/>
      <c r="AU37" s="107" t="s">
        <v>121</v>
      </c>
      <c r="AV37" s="107"/>
      <c r="AW37" s="107" t="s">
        <v>286</v>
      </c>
      <c r="AX37" s="107"/>
      <c r="AY37" s="107" t="s">
        <v>298</v>
      </c>
      <c r="AZ37" s="107"/>
      <c r="BA37" s="101" t="s">
        <v>335</v>
      </c>
      <c r="BB37" s="102"/>
      <c r="BC37" s="101" t="s">
        <v>364</v>
      </c>
      <c r="BD37" s="102"/>
      <c r="BE37" s="101" t="s">
        <v>384</v>
      </c>
      <c r="BF37" s="102"/>
      <c r="BG37" s="101" t="s">
        <v>446</v>
      </c>
      <c r="BH37" s="102"/>
      <c r="BI37" s="101" t="s">
        <v>467</v>
      </c>
      <c r="BJ37" s="102"/>
      <c r="BK37" s="101" t="s">
        <v>477</v>
      </c>
      <c r="BL37" s="102"/>
      <c r="BM37" s="101" t="s">
        <v>487</v>
      </c>
      <c r="BN37" s="102"/>
      <c r="BO37" s="101" t="s">
        <v>492</v>
      </c>
      <c r="BP37" s="102"/>
    </row>
    <row r="38" spans="1:68" s="27" customFormat="1" x14ac:dyDescent="0.2">
      <c r="A38" s="108" t="s">
        <v>78</v>
      </c>
      <c r="B38" s="25"/>
      <c r="C38" s="25"/>
      <c r="D38" s="25"/>
      <c r="E38" s="109"/>
      <c r="F38" s="319"/>
      <c r="G38" s="110"/>
      <c r="H38" s="111">
        <f>SUM(F20,F22,F24,F26,F28,F30,H8,H10,H12,H14,H16,H18)</f>
        <v>1340</v>
      </c>
      <c r="I38" s="110"/>
      <c r="J38" s="111">
        <f>SUM(H20,H22,H24,H26,H28,H30,J8,J10,J12,J14,J16,J18)</f>
        <v>1084</v>
      </c>
      <c r="K38" s="110"/>
      <c r="L38" s="111">
        <f>SUM(J20,J22,J24,J26,J28,J30,L8,L10,L12,L14,L16,L18)</f>
        <v>588</v>
      </c>
      <c r="M38" s="110"/>
      <c r="N38" s="111">
        <f>SUM(L20,L22,L24,L26,L28,L30,N8,N10,N12,N14,N16,N18)</f>
        <v>484</v>
      </c>
      <c r="O38" s="110"/>
      <c r="P38" s="111">
        <f>SUM(N20,N22,N24,N26,N28,N30,P8,P10,P12,P14,P16,P18)</f>
        <v>1632</v>
      </c>
      <c r="Q38" s="110"/>
      <c r="R38" s="111">
        <f>SUM(P20,P22,P24,P26,P28,P30,R8,R10,R12,R14,R16,R18)</f>
        <v>71</v>
      </c>
      <c r="S38" s="110"/>
      <c r="T38" s="111">
        <f>SUM(R20,R22,R24,R26,R28,R30,T8,T10,T12,T14,T16,T18)</f>
        <v>1044</v>
      </c>
      <c r="U38" s="13"/>
      <c r="V38" s="112">
        <f>SUM(T20,T22,T24,T26,T28,T30,V8,V10,V12,V14,V16,V18)</f>
        <v>376</v>
      </c>
      <c r="W38" s="13"/>
      <c r="X38" s="8">
        <f>SUM(V20,V22,V24,V26,V28,V30,X8,X10,X12,X14,X16,X18)</f>
        <v>62</v>
      </c>
      <c r="Y38" s="110"/>
      <c r="Z38" s="111">
        <f>SUM(X20,X22,X24,X26,X28,X30,Z8,Z10,Z12,Z14,Z16,Z18)</f>
        <v>132</v>
      </c>
      <c r="AA38" s="110"/>
      <c r="AB38" s="111">
        <f>SUM(Z20,Z22,Z24,Z26,Z28,Z30,AB8,AB10,AB12,AB14,AB16,AB18)</f>
        <v>0</v>
      </c>
      <c r="AC38" s="110"/>
      <c r="AD38" s="111">
        <f>SUM(AB20,AB22,AB24,AB26,AB28,AB30,AD8,AD10,AD12,AD14,AD16,AD18)</f>
        <v>0</v>
      </c>
      <c r="AE38" s="110"/>
      <c r="AF38" s="111">
        <f>SUM(AD20,AD22,AD24,AD26,AD28,AD30,AF8,AF10,AF12,AF14,AF16,AF18)</f>
        <v>0</v>
      </c>
      <c r="AG38" s="110"/>
      <c r="AH38" s="111">
        <f>SUM(AF20,AF22,AF24,AF26,AF28,AF30,AH8,AH10,AH12,AH14,AH16,AH18)</f>
        <v>0</v>
      </c>
      <c r="AI38" s="110"/>
      <c r="AJ38" s="111">
        <f>SUM(AH20,AH22,AH24,AH26,AH28,AH30,AJ8,AJ10,AJ12,AJ14,AJ16,AJ18)</f>
        <v>0</v>
      </c>
      <c r="AK38" s="110"/>
      <c r="AL38" s="111">
        <f>SUM(AJ20,AJ22,AJ24,AJ26,AJ28,AJ30,AL8,AL10,AL12,AL14,AL16,AL18)</f>
        <v>0</v>
      </c>
      <c r="AM38" s="110"/>
      <c r="AN38" s="111">
        <f>SUM(AL20,AL22,AL24,AL26,AL28,AL30,AN8,AN10,AN12,AN14,AN16,AN18)</f>
        <v>0</v>
      </c>
      <c r="AO38" s="110"/>
      <c r="AP38" s="111">
        <f>SUM(AN20,AN22,AN24,AN26,AN28,AN30,AP8,AP10,AP12,AP14,AP16,AP18)</f>
        <v>0</v>
      </c>
      <c r="AQ38" s="110"/>
      <c r="AR38" s="111">
        <f>SUM(AP20,AP22,AP24,AP26,AP28,AP30,AR8,AR10,AR12,AR14,AR16,AR18)</f>
        <v>0</v>
      </c>
      <c r="AS38" s="514"/>
      <c r="AT38" s="111">
        <f>SUM(AR20,AR22,AR24,AR26,AR28,AR30,AT8,AT10,AT12,AT14,AT16,AT18)</f>
        <v>0</v>
      </c>
      <c r="AU38" s="514"/>
      <c r="AV38" s="111">
        <f>SUM(AT20,AT22,AT24,AT26,AT28,AT30,AV8,AV10,AV12,AV14,AV16,AV18)</f>
        <v>0</v>
      </c>
      <c r="AW38" s="514"/>
      <c r="AX38" s="111">
        <f>SUM(AV20,AV22,AV24,AV26,AV28,AV30,AX8,AX10,AX12,AX14,AX16,AX18)</f>
        <v>0</v>
      </c>
      <c r="AY38" s="514"/>
      <c r="AZ38" s="1166">
        <f>SUM(AX20,AX22,AX24,AX26,AX28,AX30,AZ8,AZ10,AZ12,AZ14,AZ16,AZ18)</f>
        <v>0</v>
      </c>
      <c r="BA38" s="109"/>
      <c r="BB38" s="111">
        <f t="shared" ref="BB38:BD38" si="50">SUM(AZ20,AZ22,AZ24,AZ26,AZ28,AZ30,BB8,BB10,BB12,BB14,BB16,BB18)</f>
        <v>0</v>
      </c>
      <c r="BC38" s="109"/>
      <c r="BD38" s="111">
        <f t="shared" si="50"/>
        <v>0</v>
      </c>
      <c r="BE38" s="109"/>
      <c r="BF38" s="111">
        <f t="shared" ref="BF38" si="51">SUM(BD20,BD22,BD24,BD26,BD28,BD30,BF8,BF10,BF12,BF14,BF16,BF18)</f>
        <v>0</v>
      </c>
      <c r="BG38" s="109"/>
      <c r="BH38" s="111">
        <f t="shared" ref="BH38" si="52">SUM(BF20,BF22,BF24,BF26,BF28,BF30,BH8,BH10,BH12,BH14,BH16,BH18)</f>
        <v>0</v>
      </c>
      <c r="BI38" s="109"/>
      <c r="BJ38" s="111">
        <f t="shared" ref="BJ38" si="53">SUM(BH20,BH22,BH24,BH26,BH28,BH30,BJ8,BJ10,BJ12,BJ14,BJ16,BJ18)</f>
        <v>0</v>
      </c>
      <c r="BK38" s="109"/>
      <c r="BL38" s="111">
        <f t="shared" ref="BL38" si="54">SUM(BJ20,BJ22,BJ24,BJ26,BJ28,BJ30,BL8,BL10,BL12,BL14,BL16,BL18)</f>
        <v>0</v>
      </c>
      <c r="BM38" s="109"/>
      <c r="BN38" s="1774">
        <f t="shared" ref="BN38" si="55">SUM(BL20,BL22,BL24,BL26,BL28,BL30,BN8,BN10,BN12,BN14,BN16,BN18)</f>
        <v>0</v>
      </c>
      <c r="BO38" s="109"/>
      <c r="BP38" s="1774">
        <f t="shared" ref="BP38" si="56">SUM(BN20,BN22,BN24,BN26,BN28,BN30,BP8,BP10,BP12,BP14,BP16,BP18)</f>
        <v>0</v>
      </c>
    </row>
    <row r="39" spans="1:68" s="21" customFormat="1" x14ac:dyDescent="0.2">
      <c r="A39" s="87" t="s">
        <v>79</v>
      </c>
      <c r="B39" s="5"/>
      <c r="C39" s="5"/>
      <c r="D39" s="5"/>
      <c r="E39" s="113" t="s">
        <v>53</v>
      </c>
      <c r="F39" s="36"/>
      <c r="G39" s="103" t="s">
        <v>54</v>
      </c>
      <c r="H39" s="106"/>
      <c r="I39" s="103" t="s">
        <v>55</v>
      </c>
      <c r="J39" s="106"/>
      <c r="K39" s="103" t="s">
        <v>56</v>
      </c>
      <c r="L39" s="106"/>
      <c r="M39" s="103" t="s">
        <v>57</v>
      </c>
      <c r="N39" s="106"/>
      <c r="O39" s="103" t="s">
        <v>58</v>
      </c>
      <c r="P39" s="106"/>
      <c r="Q39" s="103" t="s">
        <v>59</v>
      </c>
      <c r="R39" s="106"/>
      <c r="S39" s="103" t="s">
        <v>60</v>
      </c>
      <c r="T39" s="106"/>
      <c r="U39" s="103" t="s">
        <v>61</v>
      </c>
      <c r="V39" s="92"/>
      <c r="W39" s="105" t="s">
        <v>62</v>
      </c>
      <c r="X39" s="114"/>
      <c r="Y39" s="103" t="s">
        <v>63</v>
      </c>
      <c r="Z39" s="106"/>
      <c r="AA39" s="103" t="s">
        <v>64</v>
      </c>
      <c r="AB39" s="106"/>
      <c r="AC39" s="103" t="s">
        <v>65</v>
      </c>
      <c r="AD39" s="106"/>
      <c r="AE39" s="103" t="s">
        <v>66</v>
      </c>
      <c r="AF39" s="106"/>
      <c r="AG39" s="103" t="s">
        <v>67</v>
      </c>
      <c r="AH39" s="106"/>
      <c r="AI39" s="103" t="s">
        <v>68</v>
      </c>
      <c r="AJ39" s="106"/>
      <c r="AK39" s="103" t="s">
        <v>69</v>
      </c>
      <c r="AL39" s="106"/>
      <c r="AM39" s="103" t="s">
        <v>70</v>
      </c>
      <c r="AN39" s="106"/>
      <c r="AO39" s="103" t="s">
        <v>71</v>
      </c>
      <c r="AP39" s="106"/>
      <c r="AQ39" s="103" t="s">
        <v>119</v>
      </c>
      <c r="AR39" s="106"/>
      <c r="AS39" s="107" t="s">
        <v>120</v>
      </c>
      <c r="AT39" s="107"/>
      <c r="AU39" s="107" t="s">
        <v>121</v>
      </c>
      <c r="AV39" s="107"/>
      <c r="AW39" s="107" t="s">
        <v>286</v>
      </c>
      <c r="AX39" s="107"/>
      <c r="AY39" s="107" t="s">
        <v>298</v>
      </c>
      <c r="AZ39" s="107"/>
      <c r="BA39" s="101" t="s">
        <v>335</v>
      </c>
      <c r="BB39" s="102"/>
      <c r="BC39" s="101" t="s">
        <v>364</v>
      </c>
      <c r="BD39" s="102"/>
      <c r="BE39" s="101" t="s">
        <v>384</v>
      </c>
      <c r="BF39" s="102"/>
      <c r="BG39" s="101" t="s">
        <v>446</v>
      </c>
      <c r="BH39" s="102"/>
      <c r="BI39" s="101" t="s">
        <v>467</v>
      </c>
      <c r="BJ39" s="102"/>
      <c r="BK39" s="101" t="s">
        <v>477</v>
      </c>
      <c r="BL39" s="102"/>
      <c r="BM39" s="101" t="s">
        <v>487</v>
      </c>
      <c r="BN39" s="102"/>
      <c r="BO39" s="101" t="s">
        <v>492</v>
      </c>
      <c r="BP39" s="102"/>
    </row>
    <row r="40" spans="1:68" s="116" customFormat="1" x14ac:dyDescent="0.2">
      <c r="A40" s="115" t="s">
        <v>52</v>
      </c>
      <c r="B40" s="115"/>
      <c r="C40" s="115"/>
      <c r="D40" s="115"/>
      <c r="E40" s="115"/>
      <c r="F40" s="115"/>
      <c r="G40" s="1896">
        <f>SUM(G34,G36,H38)</f>
        <v>3169</v>
      </c>
      <c r="H40" s="1875"/>
      <c r="I40" s="1884">
        <f>SUM(I34,I36,J38)</f>
        <v>1786</v>
      </c>
      <c r="J40" s="1875"/>
      <c r="K40" s="1884">
        <f>SUM(K34,K36,L38)</f>
        <v>1748</v>
      </c>
      <c r="L40" s="1875"/>
      <c r="M40" s="1884">
        <f>SUM(M34,M36,N38)</f>
        <v>1614</v>
      </c>
      <c r="N40" s="1875"/>
      <c r="O40" s="1884">
        <f>SUM(O34,O36,P38)</f>
        <v>3710</v>
      </c>
      <c r="P40" s="1875"/>
      <c r="Q40" s="1884">
        <f>SUM(Q34,Q36,R38)</f>
        <v>667</v>
      </c>
      <c r="R40" s="1875"/>
      <c r="S40" s="1884">
        <f>SUM(S34,S36,T38)</f>
        <v>1715</v>
      </c>
      <c r="T40" s="1875"/>
      <c r="U40" s="1882">
        <f>SUM(U34,U36,V38)</f>
        <v>963</v>
      </c>
      <c r="V40" s="1883"/>
      <c r="W40" s="1874">
        <f>SUM(W34,W36,X38)</f>
        <v>1789</v>
      </c>
      <c r="X40" s="1875"/>
      <c r="Y40" s="1874">
        <f>SUM(Y34,Y36,Z38)</f>
        <v>3142</v>
      </c>
      <c r="Z40" s="1875"/>
      <c r="AA40" s="1874">
        <f>SUM(AA34,AA36,AB38)</f>
        <v>623</v>
      </c>
      <c r="AB40" s="1875"/>
      <c r="AC40" s="1874">
        <f>SUM(AC34,AC36,AD38)</f>
        <v>1026</v>
      </c>
      <c r="AD40" s="1875"/>
      <c r="AE40" s="1874">
        <f>SUM(AE34,AE36,AF38)</f>
        <v>803</v>
      </c>
      <c r="AF40" s="1875"/>
      <c r="AG40" s="1874">
        <f>SUM(AG34,AG36,AH38)</f>
        <v>876</v>
      </c>
      <c r="AH40" s="1875"/>
      <c r="AI40" s="1874">
        <f>SUM(AI34,AI36,AJ38)</f>
        <v>1275</v>
      </c>
      <c r="AJ40" s="1875"/>
      <c r="AK40" s="1874">
        <f>SUM(AK34,AK36,AL38)</f>
        <v>1442</v>
      </c>
      <c r="AL40" s="1875"/>
      <c r="AM40" s="1874">
        <f>SUM(AM34,AM36,AN38)</f>
        <v>390</v>
      </c>
      <c r="AN40" s="1875"/>
      <c r="AO40" s="1874">
        <f>SUM(AO34,AO36,AP38)</f>
        <v>324</v>
      </c>
      <c r="AP40" s="1875"/>
      <c r="AQ40" s="1874">
        <f>SUM(AQ34,AQ36,AR38)</f>
        <v>765</v>
      </c>
      <c r="AR40" s="1875"/>
      <c r="AS40" s="1868">
        <f>SUM(AS34,AS36,AT38)</f>
        <v>1202</v>
      </c>
      <c r="AT40" s="1869"/>
      <c r="AU40" s="1868">
        <f>SUM(AU34,AU36,AV38)</f>
        <v>501</v>
      </c>
      <c r="AV40" s="1869"/>
      <c r="AW40" s="1868">
        <f>SUM(AW34,AW36,AX38)</f>
        <v>260</v>
      </c>
      <c r="AX40" s="1869"/>
      <c r="AY40" s="1868">
        <f>SUM(AY34,AY36,AZ38)</f>
        <v>406</v>
      </c>
      <c r="AZ40" s="1873"/>
      <c r="BA40" s="1868">
        <f>SUM(BA34,BA36,BB38)</f>
        <v>132</v>
      </c>
      <c r="BB40" s="1869"/>
      <c r="BC40" s="1868">
        <f>SUM(BC34,BC36,BD38)</f>
        <v>42</v>
      </c>
      <c r="BD40" s="1869"/>
      <c r="BE40" s="1868">
        <f>SUM(BE34,BE36,BF38)</f>
        <v>28</v>
      </c>
      <c r="BF40" s="1869"/>
      <c r="BG40" s="1868">
        <f>SUM(BG34,BG36,BH38)</f>
        <v>40</v>
      </c>
      <c r="BH40" s="1869"/>
      <c r="BI40" s="1868">
        <f>SUM(BI34,BI36,BJ38)</f>
        <v>22</v>
      </c>
      <c r="BJ40" s="1869"/>
      <c r="BK40" s="1868">
        <f>SUM(BK34,BK36,BL38)</f>
        <v>22</v>
      </c>
      <c r="BL40" s="1869"/>
      <c r="BM40" s="1868">
        <f>SUM(BM34,BM36,BN38)</f>
        <v>0</v>
      </c>
      <c r="BN40" s="1869"/>
      <c r="BO40" s="1868">
        <f>SUM(BO34,BO36,BP38)</f>
        <v>24</v>
      </c>
      <c r="BP40" s="1869"/>
    </row>
    <row r="41" spans="1:68" s="74" customFormat="1" x14ac:dyDescent="0.2">
      <c r="A41" s="117"/>
      <c r="B41" s="117"/>
      <c r="C41" s="117"/>
      <c r="D41" s="117"/>
      <c r="E41" s="117"/>
      <c r="F41" s="117"/>
      <c r="G41" s="30" t="s">
        <v>80</v>
      </c>
      <c r="H41" s="118"/>
      <c r="I41" s="119"/>
      <c r="J41" s="119"/>
      <c r="K41" s="119"/>
      <c r="L41" s="119"/>
      <c r="M41" s="119"/>
      <c r="N41" s="119"/>
      <c r="O41" s="119"/>
      <c r="P41" s="119"/>
      <c r="Q41" s="121"/>
      <c r="R41" s="121"/>
      <c r="S41" s="7"/>
      <c r="T41" s="7"/>
      <c r="U41" s="7"/>
      <c r="V41" s="7"/>
      <c r="W41" s="122" t="s">
        <v>144</v>
      </c>
      <c r="X41" s="123"/>
      <c r="Y41" s="123"/>
      <c r="Z41" s="123"/>
      <c r="AA41" s="120"/>
      <c r="AB41" s="120"/>
      <c r="AC41" s="120"/>
      <c r="AD41" s="120"/>
      <c r="AE41" s="120"/>
      <c r="AF41" s="120"/>
      <c r="AG41" s="121"/>
      <c r="AH41" s="121"/>
      <c r="AI41" s="121"/>
      <c r="AJ41" s="121"/>
      <c r="AK41" s="121"/>
      <c r="AL41" s="121"/>
      <c r="AM41" s="121"/>
      <c r="AN41" s="121"/>
      <c r="AO41" s="121"/>
      <c r="AP41" s="121"/>
      <c r="AQ41" s="121"/>
      <c r="AR41" s="121"/>
      <c r="AS41" s="121"/>
      <c r="AT41" s="121"/>
      <c r="AU41" s="121"/>
      <c r="AV41" s="121"/>
      <c r="AW41" s="121"/>
      <c r="AX41" s="121"/>
      <c r="AY41" s="121"/>
      <c r="AZ41" s="121"/>
      <c r="BA41" s="121"/>
      <c r="BB41" s="121"/>
      <c r="BC41" s="121"/>
      <c r="BD41" s="121"/>
    </row>
    <row r="42" spans="1:68" x14ac:dyDescent="0.2">
      <c r="H42" s="21" t="s">
        <v>81</v>
      </c>
      <c r="N42" s="124"/>
      <c r="O42" s="124"/>
      <c r="P42" s="124"/>
    </row>
    <row r="43" spans="1:68" x14ac:dyDescent="0.2">
      <c r="A43" s="14"/>
      <c r="B43" s="14"/>
      <c r="C43" s="14"/>
      <c r="D43" s="14"/>
      <c r="E43" s="14"/>
      <c r="F43" s="14"/>
      <c r="G43" s="31" t="s">
        <v>82</v>
      </c>
      <c r="H43" s="15"/>
      <c r="I43" s="125"/>
      <c r="J43" s="125"/>
      <c r="K43" s="125"/>
      <c r="L43" s="125"/>
      <c r="M43" s="125"/>
      <c r="N43" s="125"/>
      <c r="O43" s="125"/>
      <c r="P43" s="125"/>
      <c r="X43" s="124"/>
      <c r="Y43" s="124"/>
      <c r="Z43" s="124"/>
      <c r="AA43" s="124"/>
      <c r="AB43" s="124"/>
      <c r="AC43" s="124"/>
      <c r="AD43" s="124"/>
      <c r="AE43" s="124"/>
      <c r="AF43" s="124"/>
      <c r="AG43" s="124"/>
    </row>
    <row r="44" spans="1:68" x14ac:dyDescent="0.2">
      <c r="H44" s="21" t="s">
        <v>83</v>
      </c>
    </row>
  </sheetData>
  <mergeCells count="67">
    <mergeCell ref="BO40:BP40"/>
    <mergeCell ref="O40:P40"/>
    <mergeCell ref="Q40:R40"/>
    <mergeCell ref="E11:F11"/>
    <mergeCell ref="E7:F7"/>
    <mergeCell ref="E33:F33"/>
    <mergeCell ref="G40:H40"/>
    <mergeCell ref="I40:J40"/>
    <mergeCell ref="K40:L40"/>
    <mergeCell ref="M40:N40"/>
    <mergeCell ref="E12:F12"/>
    <mergeCell ref="E13:F13"/>
    <mergeCell ref="E31:F31"/>
    <mergeCell ref="E32:F32"/>
    <mergeCell ref="E14:F14"/>
    <mergeCell ref="E8:F8"/>
    <mergeCell ref="E9:F9"/>
    <mergeCell ref="E10:F10"/>
    <mergeCell ref="E5:F5"/>
    <mergeCell ref="G5:H5"/>
    <mergeCell ref="I5:J5"/>
    <mergeCell ref="K5:L5"/>
    <mergeCell ref="M5:N5"/>
    <mergeCell ref="AO5:AP5"/>
    <mergeCell ref="AM5:AN5"/>
    <mergeCell ref="AC5:AD5"/>
    <mergeCell ref="AE5:AF5"/>
    <mergeCell ref="AG5:AH5"/>
    <mergeCell ref="AI5:AJ5"/>
    <mergeCell ref="AK5:AL5"/>
    <mergeCell ref="O5:P5"/>
    <mergeCell ref="Y40:Z40"/>
    <mergeCell ref="AA40:AB40"/>
    <mergeCell ref="AC40:AD40"/>
    <mergeCell ref="Q5:R5"/>
    <mergeCell ref="AE40:AF40"/>
    <mergeCell ref="AA5:AB5"/>
    <mergeCell ref="S5:T5"/>
    <mergeCell ref="U5:V5"/>
    <mergeCell ref="W5:X5"/>
    <mergeCell ref="Y5:Z5"/>
    <mergeCell ref="W40:X40"/>
    <mergeCell ref="U40:V40"/>
    <mergeCell ref="S40:T40"/>
    <mergeCell ref="AG40:AH40"/>
    <mergeCell ref="AI40:AJ40"/>
    <mergeCell ref="AK40:AL40"/>
    <mergeCell ref="AM40:AN40"/>
    <mergeCell ref="AO40:AP40"/>
    <mergeCell ref="AS5:AT5"/>
    <mergeCell ref="AS40:AT40"/>
    <mergeCell ref="AU5:AV5"/>
    <mergeCell ref="AU40:AV40"/>
    <mergeCell ref="AQ5:AR5"/>
    <mergeCell ref="AQ40:AR40"/>
    <mergeCell ref="BM40:BN40"/>
    <mergeCell ref="AW5:AX5"/>
    <mergeCell ref="AW40:AX40"/>
    <mergeCell ref="AY5:AZ5"/>
    <mergeCell ref="BE40:BF40"/>
    <mergeCell ref="BA5:BB5"/>
    <mergeCell ref="BA40:BB40"/>
    <mergeCell ref="BC40:BD40"/>
    <mergeCell ref="AY40:AZ40"/>
    <mergeCell ref="BK40:BL40"/>
    <mergeCell ref="BI40:BJ40"/>
    <mergeCell ref="BG40:BH40"/>
  </mergeCells>
  <pageMargins left="0.17" right="0.17" top="0.75" bottom="0.75" header="0.3" footer="0.3"/>
  <pageSetup scale="48" orientation="landscape"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R65"/>
  <sheetViews>
    <sheetView zoomScale="80" zoomScaleNormal="80" workbookViewId="0">
      <pane xSplit="1" ySplit="2" topLeftCell="DD3" activePane="bottomRight" state="frozen"/>
      <selection pane="topRight" activeCell="B1" sqref="B1"/>
      <selection pane="bottomLeft" activeCell="A3" sqref="A3"/>
      <selection pane="bottomRight" activeCell="DS12" sqref="DS12"/>
    </sheetView>
  </sheetViews>
  <sheetFormatPr defaultColWidth="9.140625" defaultRowHeight="11.25" x14ac:dyDescent="0.2"/>
  <cols>
    <col min="1" max="1" width="42.5703125" style="17" customWidth="1"/>
    <col min="2" max="3" width="5" style="18" bestFit="1" customWidth="1"/>
    <col min="4" max="4" width="5.5703125" style="18" customWidth="1"/>
    <col min="5" max="5" width="4.85546875" style="18" customWidth="1"/>
    <col min="6" max="7" width="5" style="18" bestFit="1" customWidth="1"/>
    <col min="8" max="9" width="5" style="18" customWidth="1"/>
    <col min="10" max="43" width="5" style="18" bestFit="1" customWidth="1"/>
    <col min="44" max="53" width="5" style="17" bestFit="1" customWidth="1"/>
    <col min="54" max="54" width="4.85546875" style="17" customWidth="1"/>
    <col min="55" max="55" width="7.85546875" style="17" customWidth="1"/>
    <col min="56" max="56" width="4.42578125" style="17" bestFit="1" customWidth="1"/>
    <col min="57" max="57" width="7.5703125" style="17" customWidth="1"/>
    <col min="58" max="58" width="4.5703125" style="18" customWidth="1"/>
    <col min="59" max="59" width="6.5703125" style="18" customWidth="1"/>
    <col min="60" max="60" width="7.140625" style="18" customWidth="1"/>
    <col min="61" max="61" width="6.140625" style="18" customWidth="1"/>
    <col min="62" max="62" width="6.42578125" style="18" customWidth="1"/>
    <col min="63" max="63" width="7.42578125" style="18" customWidth="1"/>
    <col min="64" max="68" width="7" style="18" customWidth="1"/>
    <col min="69" max="117" width="8.140625" style="18" customWidth="1"/>
    <col min="118" max="16384" width="9.140625" style="18"/>
  </cols>
  <sheetData>
    <row r="1" spans="1:148" x14ac:dyDescent="0.2">
      <c r="A1" s="4" t="s">
        <v>167</v>
      </c>
      <c r="B1" s="322"/>
      <c r="C1" s="323"/>
      <c r="D1" s="323"/>
      <c r="E1" s="323"/>
      <c r="F1" s="323"/>
      <c r="G1" s="323"/>
      <c r="H1" s="323"/>
      <c r="I1" s="323"/>
      <c r="J1" s="323"/>
      <c r="K1" s="323"/>
      <c r="L1" s="323"/>
      <c r="M1" s="323"/>
      <c r="N1" s="323"/>
      <c r="O1" s="323"/>
      <c r="P1" s="323"/>
      <c r="Q1" s="323"/>
      <c r="R1" s="323"/>
      <c r="S1" s="323"/>
      <c r="T1" s="323"/>
      <c r="U1" s="323"/>
      <c r="V1" s="323"/>
      <c r="W1" s="323"/>
      <c r="X1" s="323"/>
      <c r="Y1" s="323"/>
      <c r="Z1" s="323"/>
      <c r="AA1" s="323"/>
      <c r="AB1" s="323"/>
      <c r="AC1" s="323"/>
      <c r="AD1" s="323"/>
      <c r="AE1" s="323"/>
      <c r="AF1" s="323"/>
      <c r="AG1" s="323"/>
      <c r="AH1" s="323"/>
      <c r="AI1" s="354"/>
      <c r="AJ1" s="323"/>
      <c r="AK1" s="323"/>
      <c r="AL1" s="323"/>
      <c r="AM1" s="323"/>
      <c r="AN1" s="323"/>
      <c r="AO1" s="323"/>
      <c r="AP1" s="323"/>
      <c r="AQ1" s="323"/>
    </row>
    <row r="2" spans="1:148" x14ac:dyDescent="0.2">
      <c r="A2" s="324"/>
      <c r="B2" s="325">
        <v>1984</v>
      </c>
      <c r="C2" s="325">
        <v>1984</v>
      </c>
      <c r="D2" s="325">
        <v>1985</v>
      </c>
      <c r="E2" s="325">
        <v>1985</v>
      </c>
      <c r="F2" s="325">
        <v>1986</v>
      </c>
      <c r="G2" s="345">
        <v>1986</v>
      </c>
      <c r="H2" s="322">
        <v>1987</v>
      </c>
      <c r="I2" s="325">
        <v>1987</v>
      </c>
      <c r="J2" s="325">
        <v>1988</v>
      </c>
      <c r="K2" s="325">
        <v>1988</v>
      </c>
      <c r="L2" s="325">
        <v>1989</v>
      </c>
      <c r="M2" s="325">
        <v>1989</v>
      </c>
      <c r="N2" s="325">
        <v>1990</v>
      </c>
      <c r="O2" s="325">
        <v>1990</v>
      </c>
      <c r="P2" s="33">
        <v>1991</v>
      </c>
      <c r="Q2" s="322">
        <v>1991</v>
      </c>
      <c r="R2" s="325">
        <v>1992</v>
      </c>
      <c r="S2" s="325">
        <v>1992</v>
      </c>
      <c r="T2" s="325">
        <v>1993</v>
      </c>
      <c r="U2" s="325">
        <v>1993</v>
      </c>
      <c r="V2" s="325">
        <v>1994</v>
      </c>
      <c r="W2" s="325">
        <v>1994</v>
      </c>
      <c r="X2" s="325">
        <v>1995</v>
      </c>
      <c r="Y2" s="325">
        <v>1995</v>
      </c>
      <c r="Z2" s="325">
        <v>1996</v>
      </c>
      <c r="AA2" s="325">
        <v>1996</v>
      </c>
      <c r="AB2" s="33">
        <v>1997</v>
      </c>
      <c r="AC2" s="322">
        <v>1997</v>
      </c>
      <c r="AD2" s="325">
        <v>1998</v>
      </c>
      <c r="AE2" s="325">
        <v>1998</v>
      </c>
      <c r="AF2" s="33">
        <v>1999</v>
      </c>
      <c r="AG2" s="322">
        <v>1999</v>
      </c>
      <c r="AH2" s="345">
        <v>2000</v>
      </c>
      <c r="AI2" s="355">
        <v>2000</v>
      </c>
      <c r="AJ2" s="322">
        <v>2001</v>
      </c>
      <c r="AK2" s="325">
        <v>2001</v>
      </c>
      <c r="AL2" s="325">
        <v>2002</v>
      </c>
      <c r="AM2" s="325">
        <v>2002</v>
      </c>
      <c r="AN2" s="33">
        <v>2003</v>
      </c>
      <c r="AO2" s="322">
        <v>2003</v>
      </c>
      <c r="AP2" s="325">
        <v>2004</v>
      </c>
      <c r="AQ2" s="325">
        <v>2004</v>
      </c>
      <c r="AR2" s="28">
        <v>2005</v>
      </c>
      <c r="AS2" s="28">
        <v>2005</v>
      </c>
      <c r="AT2" s="326">
        <v>2006</v>
      </c>
      <c r="AU2" s="326">
        <v>2006</v>
      </c>
      <c r="AV2" s="326">
        <v>2007</v>
      </c>
      <c r="AW2" s="326">
        <v>2007</v>
      </c>
      <c r="AX2" s="28">
        <v>2008</v>
      </c>
      <c r="AY2" s="28">
        <v>2008</v>
      </c>
      <c r="AZ2" s="28">
        <v>2009</v>
      </c>
      <c r="BA2" s="28">
        <v>2009</v>
      </c>
      <c r="BB2" s="33">
        <v>2010</v>
      </c>
      <c r="BC2" s="33">
        <v>2010</v>
      </c>
      <c r="BD2" s="33">
        <v>2011</v>
      </c>
      <c r="BE2" s="33">
        <v>2011</v>
      </c>
      <c r="BF2" s="28">
        <v>2012</v>
      </c>
      <c r="BG2" s="716"/>
      <c r="BH2" s="714"/>
      <c r="BI2" s="714"/>
      <c r="BJ2" s="714"/>
      <c r="BK2" s="363"/>
      <c r="BL2" s="28">
        <v>2013</v>
      </c>
      <c r="BM2" s="716"/>
      <c r="BN2" s="714"/>
      <c r="BO2" s="714"/>
      <c r="BP2" s="714"/>
      <c r="BQ2" s="739"/>
      <c r="BR2" s="28">
        <v>2014</v>
      </c>
      <c r="BS2" s="716"/>
      <c r="BT2" s="714"/>
      <c r="BU2" s="714"/>
      <c r="BV2" s="714"/>
      <c r="BW2" s="739"/>
      <c r="BX2" s="28">
        <v>2015</v>
      </c>
      <c r="BY2" s="716"/>
      <c r="BZ2" s="714"/>
      <c r="CA2" s="714"/>
      <c r="CB2" s="714"/>
      <c r="CC2" s="739"/>
      <c r="CD2" s="28">
        <v>2016</v>
      </c>
      <c r="CE2" s="716"/>
      <c r="CF2" s="714"/>
      <c r="CG2" s="714"/>
      <c r="CH2" s="714"/>
      <c r="CI2" s="739"/>
      <c r="CJ2" s="28">
        <v>2017</v>
      </c>
      <c r="CK2" s="716"/>
      <c r="CL2" s="714"/>
      <c r="CM2" s="714"/>
      <c r="CN2" s="714"/>
      <c r="CO2" s="739"/>
      <c r="CP2" s="28">
        <v>2018</v>
      </c>
      <c r="CQ2" s="716"/>
      <c r="CR2" s="714"/>
      <c r="CS2" s="714"/>
      <c r="CT2" s="714"/>
      <c r="CU2" s="739"/>
      <c r="CV2" s="28">
        <v>2019</v>
      </c>
      <c r="CW2" s="716"/>
      <c r="CX2" s="714"/>
      <c r="CY2" s="714"/>
      <c r="CZ2" s="714"/>
      <c r="DA2" s="739"/>
      <c r="DB2" s="28">
        <v>2020</v>
      </c>
      <c r="DC2" s="716"/>
      <c r="DD2" s="714"/>
      <c r="DE2" s="714"/>
      <c r="DF2" s="714"/>
      <c r="DG2" s="739"/>
      <c r="DH2" s="28">
        <v>2021</v>
      </c>
      <c r="DI2" s="716"/>
      <c r="DJ2" s="714"/>
      <c r="DK2" s="714"/>
      <c r="DL2" s="714"/>
      <c r="DM2" s="739"/>
      <c r="DN2" s="28">
        <v>2022</v>
      </c>
      <c r="DO2" s="716"/>
      <c r="DP2" s="714"/>
      <c r="DQ2" s="714"/>
      <c r="DR2" s="714"/>
      <c r="DS2" s="739"/>
      <c r="DT2" s="28">
        <v>2023</v>
      </c>
      <c r="DU2" s="716"/>
      <c r="DV2" s="714"/>
      <c r="DW2" s="714"/>
      <c r="DX2" s="714"/>
      <c r="DY2" s="739"/>
      <c r="DZ2" s="28">
        <v>2024</v>
      </c>
      <c r="EA2" s="716"/>
      <c r="EB2" s="714"/>
      <c r="EC2" s="714"/>
      <c r="ED2" s="714"/>
      <c r="EE2" s="739"/>
    </row>
    <row r="3" spans="1:148" ht="15" x14ac:dyDescent="0.25">
      <c r="A3" s="327" t="s">
        <v>87</v>
      </c>
      <c r="B3" s="325" t="s">
        <v>22</v>
      </c>
      <c r="C3" s="322" t="s">
        <v>23</v>
      </c>
      <c r="D3" s="325" t="s">
        <v>22</v>
      </c>
      <c r="E3" s="322" t="s">
        <v>23</v>
      </c>
      <c r="F3" s="325" t="s">
        <v>22</v>
      </c>
      <c r="G3" s="346" t="s">
        <v>23</v>
      </c>
      <c r="H3" s="322" t="s">
        <v>22</v>
      </c>
      <c r="I3" s="322" t="s">
        <v>23</v>
      </c>
      <c r="J3" s="325" t="s">
        <v>22</v>
      </c>
      <c r="K3" s="322" t="s">
        <v>23</v>
      </c>
      <c r="L3" s="325" t="s">
        <v>22</v>
      </c>
      <c r="M3" s="322" t="s">
        <v>23</v>
      </c>
      <c r="N3" s="325" t="s">
        <v>22</v>
      </c>
      <c r="O3" s="322" t="s">
        <v>23</v>
      </c>
      <c r="P3" s="1189" t="s">
        <v>22</v>
      </c>
      <c r="Q3" s="322" t="s">
        <v>23</v>
      </c>
      <c r="R3" s="325" t="s">
        <v>22</v>
      </c>
      <c r="S3" s="322" t="s">
        <v>23</v>
      </c>
      <c r="T3" s="325" t="s">
        <v>22</v>
      </c>
      <c r="U3" s="322" t="s">
        <v>23</v>
      </c>
      <c r="V3" s="325" t="s">
        <v>22</v>
      </c>
      <c r="W3" s="322" t="s">
        <v>23</v>
      </c>
      <c r="X3" s="325" t="s">
        <v>22</v>
      </c>
      <c r="Y3" s="322" t="s">
        <v>23</v>
      </c>
      <c r="Z3" s="325" t="s">
        <v>22</v>
      </c>
      <c r="AA3" s="322" t="s">
        <v>23</v>
      </c>
      <c r="AB3" s="1189" t="s">
        <v>22</v>
      </c>
      <c r="AC3" s="322" t="s">
        <v>23</v>
      </c>
      <c r="AD3" s="325" t="s">
        <v>22</v>
      </c>
      <c r="AE3" s="322" t="s">
        <v>23</v>
      </c>
      <c r="AF3" s="1189" t="s">
        <v>22</v>
      </c>
      <c r="AG3" s="322" t="s">
        <v>23</v>
      </c>
      <c r="AH3" s="345" t="s">
        <v>22</v>
      </c>
      <c r="AI3" s="356" t="s">
        <v>23</v>
      </c>
      <c r="AJ3" s="322" t="s">
        <v>22</v>
      </c>
      <c r="AK3" s="322" t="s">
        <v>23</v>
      </c>
      <c r="AL3" s="325" t="s">
        <v>22</v>
      </c>
      <c r="AM3" s="322" t="s">
        <v>23</v>
      </c>
      <c r="AN3" s="1189" t="s">
        <v>22</v>
      </c>
      <c r="AO3" s="322" t="s">
        <v>23</v>
      </c>
      <c r="AP3" s="327" t="s">
        <v>22</v>
      </c>
      <c r="AQ3" s="325" t="s">
        <v>23</v>
      </c>
      <c r="AR3" s="1189" t="s">
        <v>22</v>
      </c>
      <c r="AS3" s="1188" t="s">
        <v>23</v>
      </c>
      <c r="AT3" s="1189" t="s">
        <v>22</v>
      </c>
      <c r="AU3" s="1188" t="s">
        <v>23</v>
      </c>
      <c r="AV3" s="1189" t="s">
        <v>22</v>
      </c>
      <c r="AW3" s="1188" t="s">
        <v>23</v>
      </c>
      <c r="AX3" s="1189" t="s">
        <v>22</v>
      </c>
      <c r="AY3" s="1188" t="s">
        <v>23</v>
      </c>
      <c r="AZ3" s="1189" t="s">
        <v>22</v>
      </c>
      <c r="BA3" s="1108" t="s">
        <v>23</v>
      </c>
      <c r="BB3" s="364" t="s">
        <v>22</v>
      </c>
      <c r="BC3" s="363" t="s">
        <v>23</v>
      </c>
      <c r="BD3" s="364" t="s">
        <v>22</v>
      </c>
      <c r="BE3" s="363" t="s">
        <v>23</v>
      </c>
      <c r="BF3" s="271" t="s">
        <v>257</v>
      </c>
      <c r="BG3" s="266" t="s">
        <v>172</v>
      </c>
      <c r="BH3" s="682" t="s">
        <v>261</v>
      </c>
      <c r="BI3" s="266" t="s">
        <v>259</v>
      </c>
      <c r="BJ3" s="266" t="s">
        <v>173</v>
      </c>
      <c r="BK3" s="715" t="s">
        <v>262</v>
      </c>
      <c r="BL3" s="271" t="s">
        <v>257</v>
      </c>
      <c r="BM3" s="266" t="s">
        <v>172</v>
      </c>
      <c r="BN3" s="682" t="s">
        <v>261</v>
      </c>
      <c r="BO3" s="266" t="s">
        <v>259</v>
      </c>
      <c r="BP3" s="266" t="s">
        <v>173</v>
      </c>
      <c r="BQ3" s="715" t="s">
        <v>262</v>
      </c>
      <c r="BR3" s="271" t="s">
        <v>257</v>
      </c>
      <c r="BS3" s="266" t="s">
        <v>172</v>
      </c>
      <c r="BT3" s="682" t="s">
        <v>261</v>
      </c>
      <c r="BU3" s="266" t="s">
        <v>259</v>
      </c>
      <c r="BV3" s="266" t="s">
        <v>173</v>
      </c>
      <c r="BW3" s="715" t="s">
        <v>262</v>
      </c>
      <c r="BX3" s="271" t="s">
        <v>257</v>
      </c>
      <c r="BY3" s="266" t="s">
        <v>172</v>
      </c>
      <c r="BZ3" s="682" t="s">
        <v>261</v>
      </c>
      <c r="CA3" s="266" t="s">
        <v>259</v>
      </c>
      <c r="CB3" s="266" t="s">
        <v>173</v>
      </c>
      <c r="CC3" s="715" t="s">
        <v>262</v>
      </c>
      <c r="CD3" s="271" t="s">
        <v>257</v>
      </c>
      <c r="CE3" s="266" t="s">
        <v>172</v>
      </c>
      <c r="CF3" s="682" t="s">
        <v>261</v>
      </c>
      <c r="CG3" s="266" t="s">
        <v>259</v>
      </c>
      <c r="CH3" s="266" t="s">
        <v>173</v>
      </c>
      <c r="CI3" s="715" t="s">
        <v>262</v>
      </c>
      <c r="CJ3" s="271" t="s">
        <v>257</v>
      </c>
      <c r="CK3" s="266" t="s">
        <v>172</v>
      </c>
      <c r="CL3" s="682" t="s">
        <v>261</v>
      </c>
      <c r="CM3" s="266" t="s">
        <v>259</v>
      </c>
      <c r="CN3" s="266" t="s">
        <v>173</v>
      </c>
      <c r="CO3" s="715" t="s">
        <v>262</v>
      </c>
      <c r="CP3" s="271" t="s">
        <v>257</v>
      </c>
      <c r="CQ3" s="266" t="s">
        <v>172</v>
      </c>
      <c r="CR3" s="682" t="s">
        <v>261</v>
      </c>
      <c r="CS3" s="266" t="s">
        <v>259</v>
      </c>
      <c r="CT3" s="266" t="s">
        <v>173</v>
      </c>
      <c r="CU3" s="715" t="s">
        <v>262</v>
      </c>
      <c r="CV3" s="271" t="s">
        <v>257</v>
      </c>
      <c r="CW3" s="266" t="s">
        <v>172</v>
      </c>
      <c r="CX3" s="682" t="s">
        <v>261</v>
      </c>
      <c r="CY3" s="266" t="s">
        <v>259</v>
      </c>
      <c r="CZ3" s="266" t="s">
        <v>173</v>
      </c>
      <c r="DA3" s="715" t="s">
        <v>262</v>
      </c>
      <c r="DB3" s="271" t="s">
        <v>257</v>
      </c>
      <c r="DC3" s="266" t="s">
        <v>172</v>
      </c>
      <c r="DD3" s="682" t="s">
        <v>261</v>
      </c>
      <c r="DE3" s="266" t="s">
        <v>259</v>
      </c>
      <c r="DF3" s="266" t="s">
        <v>173</v>
      </c>
      <c r="DG3" s="715" t="s">
        <v>262</v>
      </c>
      <c r="DH3" s="271" t="s">
        <v>257</v>
      </c>
      <c r="DI3" s="266" t="s">
        <v>172</v>
      </c>
      <c r="DJ3" s="682" t="s">
        <v>261</v>
      </c>
      <c r="DK3" s="266" t="s">
        <v>259</v>
      </c>
      <c r="DL3" s="266" t="s">
        <v>173</v>
      </c>
      <c r="DM3" s="715" t="s">
        <v>262</v>
      </c>
      <c r="DN3" s="271" t="s">
        <v>257</v>
      </c>
      <c r="DO3" s="266" t="s">
        <v>172</v>
      </c>
      <c r="DP3" s="682" t="s">
        <v>261</v>
      </c>
      <c r="DQ3" s="266" t="s">
        <v>259</v>
      </c>
      <c r="DR3" s="266" t="s">
        <v>173</v>
      </c>
      <c r="DS3" s="715" t="s">
        <v>262</v>
      </c>
      <c r="DT3" s="271" t="s">
        <v>257</v>
      </c>
      <c r="DU3" s="266" t="s">
        <v>172</v>
      </c>
      <c r="DV3" s="682" t="s">
        <v>261</v>
      </c>
      <c r="DW3" s="266" t="s">
        <v>259</v>
      </c>
      <c r="DX3" s="266" t="s">
        <v>173</v>
      </c>
      <c r="DY3" s="715" t="s">
        <v>262</v>
      </c>
      <c r="DZ3" s="271" t="s">
        <v>257</v>
      </c>
      <c r="EA3" s="266" t="s">
        <v>172</v>
      </c>
      <c r="EB3" s="682" t="s">
        <v>261</v>
      </c>
      <c r="EC3" s="266" t="s">
        <v>259</v>
      </c>
      <c r="ED3" s="266" t="s">
        <v>173</v>
      </c>
      <c r="EE3" s="715" t="s">
        <v>262</v>
      </c>
      <c r="EH3" t="s">
        <v>432</v>
      </c>
      <c r="EI3" t="s">
        <v>433</v>
      </c>
      <c r="EJ3"/>
      <c r="EK3"/>
      <c r="EL3"/>
      <c r="EM3"/>
      <c r="EN3"/>
      <c r="EO3"/>
      <c r="EP3"/>
      <c r="EQ3"/>
      <c r="ER3" s="361"/>
    </row>
    <row r="4" spans="1:148" s="361" customFormat="1" ht="15" x14ac:dyDescent="0.25">
      <c r="A4" s="333">
        <v>1</v>
      </c>
      <c r="B4" s="329"/>
      <c r="C4" s="330"/>
      <c r="D4" s="329"/>
      <c r="E4" s="330"/>
      <c r="F4" s="329"/>
      <c r="G4" s="348"/>
      <c r="H4" s="330"/>
      <c r="I4" s="330"/>
      <c r="J4" s="329"/>
      <c r="K4" s="330"/>
      <c r="L4" s="329"/>
      <c r="M4" s="330"/>
      <c r="N4" s="329"/>
      <c r="O4" s="330"/>
      <c r="P4" s="343"/>
      <c r="Q4" s="330"/>
      <c r="R4" s="329"/>
      <c r="S4" s="330"/>
      <c r="T4" s="329"/>
      <c r="U4" s="330"/>
      <c r="V4" s="329"/>
      <c r="W4" s="330"/>
      <c r="X4" s="329"/>
      <c r="Y4" s="330"/>
      <c r="Z4" s="329"/>
      <c r="AA4" s="330"/>
      <c r="AB4" s="343"/>
      <c r="AC4" s="330"/>
      <c r="AD4" s="329"/>
      <c r="AE4" s="330"/>
      <c r="AF4" s="343"/>
      <c r="AG4" s="330"/>
      <c r="AH4" s="343"/>
      <c r="AI4" s="358"/>
      <c r="AJ4" s="330"/>
      <c r="AK4" s="330"/>
      <c r="AL4" s="329"/>
      <c r="AM4" s="330"/>
      <c r="AN4" s="343"/>
      <c r="AO4" s="330"/>
      <c r="AP4" s="343"/>
      <c r="AQ4" s="348"/>
      <c r="AR4" s="17"/>
      <c r="AS4" s="367"/>
      <c r="AT4" s="17"/>
      <c r="AU4" s="367"/>
      <c r="AV4" s="17"/>
      <c r="AW4" s="367"/>
      <c r="AX4" s="17"/>
      <c r="AY4" s="367"/>
      <c r="AZ4" s="17"/>
      <c r="BA4" s="367"/>
      <c r="BB4" s="368"/>
      <c r="BC4" s="367"/>
      <c r="BD4" s="368"/>
      <c r="BE4" s="367"/>
      <c r="BF4" s="350"/>
      <c r="BH4" s="725"/>
      <c r="BK4" s="732"/>
      <c r="BL4" s="350"/>
      <c r="BN4" s="725"/>
      <c r="BQ4" s="732"/>
      <c r="BR4" s="350"/>
      <c r="BT4" s="725"/>
      <c r="BW4" s="732"/>
      <c r="BX4" s="350"/>
      <c r="BZ4" s="725"/>
      <c r="CC4" s="732"/>
      <c r="CD4" s="350"/>
      <c r="CF4" s="725"/>
      <c r="CI4" s="732"/>
      <c r="CJ4" s="1129"/>
      <c r="CK4" s="725"/>
      <c r="CL4" s="725"/>
      <c r="CM4" s="725"/>
      <c r="CN4" s="725"/>
      <c r="CO4" s="732"/>
      <c r="CP4" s="350"/>
      <c r="CR4" s="725"/>
      <c r="CU4" s="732"/>
      <c r="CV4" s="1129"/>
      <c r="CW4" s="725"/>
      <c r="CX4" s="725"/>
      <c r="CY4" s="725"/>
      <c r="CZ4" s="725"/>
      <c r="DA4" s="732"/>
      <c r="DB4" s="1129"/>
      <c r="DC4" s="725"/>
      <c r="DD4" s="725"/>
      <c r="DE4" s="725"/>
      <c r="DF4" s="725"/>
      <c r="DG4" s="732"/>
      <c r="DH4" s="1129"/>
      <c r="DI4" s="725"/>
      <c r="DJ4" s="725"/>
      <c r="DK4" s="725"/>
      <c r="DL4" s="725"/>
      <c r="DM4" s="732"/>
      <c r="DN4" s="1129"/>
      <c r="DO4" s="725"/>
      <c r="DP4" s="725"/>
      <c r="DQ4" s="725"/>
      <c r="DR4" s="725"/>
      <c r="DS4" s="1783"/>
      <c r="DT4" s="1642"/>
      <c r="DU4" s="1642"/>
      <c r="DV4" s="1642"/>
      <c r="DW4" s="1642"/>
      <c r="DX4" s="1642"/>
      <c r="DY4" s="1013"/>
      <c r="DZ4" s="1642"/>
      <c r="EA4" s="1642"/>
      <c r="EB4" s="1642"/>
      <c r="EC4" s="1642"/>
      <c r="ED4" s="1642"/>
      <c r="EE4" s="1013"/>
      <c r="EH4" t="s">
        <v>470</v>
      </c>
      <c r="EI4"/>
      <c r="EJ4"/>
      <c r="EK4"/>
      <c r="EL4"/>
      <c r="EM4"/>
      <c r="EN4"/>
      <c r="EO4"/>
      <c r="EP4"/>
      <c r="EQ4"/>
    </row>
    <row r="5" spans="1:148" s="361" customFormat="1" ht="15.75" thickBot="1" x14ac:dyDescent="0.3">
      <c r="A5" s="333">
        <v>2</v>
      </c>
      <c r="B5" s="329"/>
      <c r="C5" s="330"/>
      <c r="D5" s="329"/>
      <c r="E5" s="330"/>
      <c r="F5" s="329"/>
      <c r="G5" s="348"/>
      <c r="H5" s="330"/>
      <c r="I5" s="330"/>
      <c r="J5" s="329"/>
      <c r="K5" s="330"/>
      <c r="L5" s="329"/>
      <c r="M5" s="330"/>
      <c r="N5" s="329"/>
      <c r="O5" s="330"/>
      <c r="P5" s="343"/>
      <c r="Q5" s="330"/>
      <c r="R5" s="329"/>
      <c r="S5" s="330"/>
      <c r="T5" s="329"/>
      <c r="U5" s="330"/>
      <c r="V5" s="329"/>
      <c r="W5" s="330"/>
      <c r="X5" s="329"/>
      <c r="Y5" s="330"/>
      <c r="Z5" s="329"/>
      <c r="AA5" s="330"/>
      <c r="AB5" s="343"/>
      <c r="AC5" s="330"/>
      <c r="AD5" s="329"/>
      <c r="AE5" s="330"/>
      <c r="AF5" s="343"/>
      <c r="AG5" s="330"/>
      <c r="AH5" s="343"/>
      <c r="AI5" s="358"/>
      <c r="AJ5" s="330"/>
      <c r="AK5" s="330"/>
      <c r="AL5" s="329"/>
      <c r="AM5" s="330"/>
      <c r="AN5" s="343"/>
      <c r="AO5" s="330"/>
      <c r="AP5" s="343"/>
      <c r="AQ5" s="348"/>
      <c r="AR5" s="17"/>
      <c r="AS5" s="367"/>
      <c r="AT5" s="17"/>
      <c r="AU5" s="367"/>
      <c r="AV5" s="17"/>
      <c r="AW5" s="367"/>
      <c r="AX5" s="17"/>
      <c r="AY5" s="367"/>
      <c r="AZ5" s="17"/>
      <c r="BA5" s="367"/>
      <c r="BB5" s="368"/>
      <c r="BC5" s="367"/>
      <c r="BD5" s="368"/>
      <c r="BE5" s="367"/>
      <c r="BF5" s="350"/>
      <c r="BH5" s="725"/>
      <c r="BK5" s="732"/>
      <c r="BL5" s="350"/>
      <c r="BN5" s="725"/>
      <c r="BQ5" s="732"/>
      <c r="BR5" s="350"/>
      <c r="BT5" s="725"/>
      <c r="BW5" s="732"/>
      <c r="BX5" s="350"/>
      <c r="BZ5" s="725"/>
      <c r="CC5" s="732"/>
      <c r="CD5" s="350"/>
      <c r="CF5" s="725"/>
      <c r="CI5" s="732"/>
      <c r="CJ5" s="1129"/>
      <c r="CK5" s="725"/>
      <c r="CL5" s="725"/>
      <c r="CM5" s="725"/>
      <c r="CN5" s="725"/>
      <c r="CO5" s="732"/>
      <c r="CP5" s="350"/>
      <c r="CR5" s="725"/>
      <c r="CU5" s="732"/>
      <c r="CV5" s="1129"/>
      <c r="CW5" s="725"/>
      <c r="CX5" s="725"/>
      <c r="CY5" s="725"/>
      <c r="CZ5" s="725"/>
      <c r="DA5" s="732"/>
      <c r="DB5" s="1129"/>
      <c r="DC5" s="725"/>
      <c r="DD5" s="725"/>
      <c r="DE5" s="725"/>
      <c r="DF5" s="725"/>
      <c r="DG5" s="732"/>
      <c r="DH5" s="1129"/>
      <c r="DI5" s="725"/>
      <c r="DJ5" s="725"/>
      <c r="DK5" s="725"/>
      <c r="DL5" s="725"/>
      <c r="DM5" s="732"/>
      <c r="DN5" s="1129"/>
      <c r="DO5" s="725"/>
      <c r="DP5" s="725"/>
      <c r="DQ5" s="725"/>
      <c r="DR5" s="725"/>
      <c r="DS5" s="1783"/>
      <c r="DT5" s="1642"/>
      <c r="DU5" s="1642"/>
      <c r="DV5" s="1642"/>
      <c r="DW5" s="1642"/>
      <c r="DX5" s="1642"/>
      <c r="DY5" s="1013"/>
      <c r="DZ5" s="1642"/>
      <c r="EA5" s="1642"/>
      <c r="EB5" s="1642"/>
      <c r="EC5" s="1642"/>
      <c r="ED5" s="1642"/>
      <c r="EE5" s="1013"/>
      <c r="EH5" t="s">
        <v>434</v>
      </c>
      <c r="EI5" t="s">
        <v>435</v>
      </c>
      <c r="EJ5"/>
      <c r="EK5"/>
      <c r="EL5"/>
      <c r="EM5"/>
      <c r="EN5"/>
      <c r="EO5"/>
      <c r="EP5"/>
      <c r="EQ5"/>
    </row>
    <row r="6" spans="1:148" s="361" customFormat="1" ht="15" x14ac:dyDescent="0.25">
      <c r="A6" s="333">
        <v>3</v>
      </c>
      <c r="B6" s="329"/>
      <c r="C6" s="330"/>
      <c r="D6" s="329"/>
      <c r="E6" s="330"/>
      <c r="F6" s="329"/>
      <c r="G6" s="348"/>
      <c r="H6" s="330"/>
      <c r="I6" s="330"/>
      <c r="J6" s="329"/>
      <c r="K6" s="330"/>
      <c r="L6" s="329"/>
      <c r="M6" s="330"/>
      <c r="N6" s="329"/>
      <c r="O6" s="330"/>
      <c r="P6" s="343"/>
      <c r="Q6" s="330"/>
      <c r="R6" s="329"/>
      <c r="S6" s="330"/>
      <c r="T6" s="329"/>
      <c r="U6" s="330"/>
      <c r="V6" s="329"/>
      <c r="W6" s="330"/>
      <c r="X6" s="329"/>
      <c r="Y6" s="330"/>
      <c r="Z6" s="329"/>
      <c r="AA6" s="330"/>
      <c r="AB6" s="343"/>
      <c r="AC6" s="330"/>
      <c r="AD6" s="329"/>
      <c r="AE6" s="330"/>
      <c r="AF6" s="343"/>
      <c r="AG6" s="330"/>
      <c r="AH6" s="343"/>
      <c r="AI6" s="358"/>
      <c r="AJ6" s="330"/>
      <c r="AK6" s="330"/>
      <c r="AL6" s="329"/>
      <c r="AM6" s="330"/>
      <c r="AN6" s="343"/>
      <c r="AO6" s="330"/>
      <c r="AP6" s="343"/>
      <c r="AQ6" s="348"/>
      <c r="AR6" s="17"/>
      <c r="AS6" s="367"/>
      <c r="AT6" s="17"/>
      <c r="AU6" s="367"/>
      <c r="AV6" s="17"/>
      <c r="AW6" s="367"/>
      <c r="AX6" s="17"/>
      <c r="AY6" s="367"/>
      <c r="AZ6" s="17"/>
      <c r="BA6" s="367"/>
      <c r="BB6" s="368"/>
      <c r="BC6" s="367"/>
      <c r="BD6" s="368"/>
      <c r="BE6" s="367"/>
      <c r="BF6" s="350"/>
      <c r="BH6" s="725"/>
      <c r="BK6" s="732"/>
      <c r="BL6" s="350"/>
      <c r="BN6" s="725"/>
      <c r="BQ6" s="732"/>
      <c r="BR6" s="350"/>
      <c r="BT6" s="725"/>
      <c r="BW6" s="732"/>
      <c r="BX6" s="350"/>
      <c r="BZ6" s="725"/>
      <c r="CC6" s="732"/>
      <c r="CD6" s="350"/>
      <c r="CF6" s="725"/>
      <c r="CI6" s="732"/>
      <c r="CJ6" s="1129"/>
      <c r="CK6" s="725"/>
      <c r="CL6" s="725"/>
      <c r="CM6" s="725"/>
      <c r="CN6" s="725"/>
      <c r="CO6" s="732"/>
      <c r="CP6" s="350"/>
      <c r="CR6" s="725"/>
      <c r="CU6" s="732"/>
      <c r="CV6" s="1129"/>
      <c r="CW6" s="725"/>
      <c r="CX6" s="725"/>
      <c r="CY6" s="725"/>
      <c r="CZ6" s="725"/>
      <c r="DA6" s="732"/>
      <c r="DB6" s="1129"/>
      <c r="DC6" s="725"/>
      <c r="DD6" s="725"/>
      <c r="DE6" s="725"/>
      <c r="DF6" s="725"/>
      <c r="DG6" s="732"/>
      <c r="DH6" s="1129"/>
      <c r="DI6" s="725"/>
      <c r="DJ6" s="725"/>
      <c r="DK6" s="725"/>
      <c r="DL6" s="725"/>
      <c r="DM6" s="732"/>
      <c r="DN6" s="1129"/>
      <c r="DO6" s="725"/>
      <c r="DP6" s="725"/>
      <c r="DQ6" s="725"/>
      <c r="DR6" s="725"/>
      <c r="DS6" s="1783"/>
      <c r="DT6" s="1642"/>
      <c r="DU6" s="1642"/>
      <c r="DV6" s="1642"/>
      <c r="DW6" s="1642"/>
      <c r="DX6" s="1642"/>
      <c r="DY6" s="1013"/>
      <c r="DZ6" s="1642"/>
      <c r="EA6" s="1642"/>
      <c r="EB6" s="1642"/>
      <c r="EC6" s="1642"/>
      <c r="ED6" s="1642"/>
      <c r="EE6" s="1013"/>
      <c r="EH6" s="1531"/>
      <c r="EI6" s="1532" t="s">
        <v>439</v>
      </c>
      <c r="EJ6" s="1533"/>
      <c r="EK6" s="1533" t="s">
        <v>441</v>
      </c>
      <c r="EL6" s="1532" t="s">
        <v>440</v>
      </c>
      <c r="EM6" s="1533"/>
      <c r="EN6" s="1534" t="s">
        <v>442</v>
      </c>
      <c r="EO6" s="1533" t="s">
        <v>88</v>
      </c>
      <c r="EP6" s="1533"/>
      <c r="EQ6" s="1535"/>
    </row>
    <row r="7" spans="1:148" s="361" customFormat="1" ht="15" x14ac:dyDescent="0.25">
      <c r="A7" s="333">
        <v>4</v>
      </c>
      <c r="B7" s="329"/>
      <c r="C7" s="330"/>
      <c r="D7" s="329"/>
      <c r="E7" s="330"/>
      <c r="F7" s="329"/>
      <c r="G7" s="348"/>
      <c r="H7" s="330"/>
      <c r="I7" s="330"/>
      <c r="J7" s="329"/>
      <c r="K7" s="330"/>
      <c r="L7" s="329"/>
      <c r="M7" s="330"/>
      <c r="N7" s="329"/>
      <c r="O7" s="330"/>
      <c r="P7" s="343"/>
      <c r="Q7" s="330"/>
      <c r="R7" s="329"/>
      <c r="S7" s="330"/>
      <c r="T7" s="329"/>
      <c r="U7" s="330"/>
      <c r="V7" s="329"/>
      <c r="W7" s="330"/>
      <c r="X7" s="329"/>
      <c r="Y7" s="330"/>
      <c r="Z7" s="329"/>
      <c r="AA7" s="330"/>
      <c r="AB7" s="343"/>
      <c r="AC7" s="330"/>
      <c r="AD7" s="329"/>
      <c r="AE7" s="330"/>
      <c r="AF7" s="343"/>
      <c r="AG7" s="330"/>
      <c r="AH7" s="343"/>
      <c r="AI7" s="358"/>
      <c r="AJ7" s="330"/>
      <c r="AK7" s="330"/>
      <c r="AL7" s="329"/>
      <c r="AM7" s="330"/>
      <c r="AN7" s="343"/>
      <c r="AO7" s="330"/>
      <c r="AP7" s="343"/>
      <c r="AQ7" s="348"/>
      <c r="AR7" s="17"/>
      <c r="AS7" s="367"/>
      <c r="AT7" s="17"/>
      <c r="AU7" s="367"/>
      <c r="AV7" s="17"/>
      <c r="AW7" s="367"/>
      <c r="AX7" s="17"/>
      <c r="AY7" s="367"/>
      <c r="AZ7" s="17"/>
      <c r="BA7" s="367"/>
      <c r="BB7" s="368"/>
      <c r="BC7" s="367"/>
      <c r="BD7" s="368"/>
      <c r="BE7" s="367"/>
      <c r="BF7" s="350"/>
      <c r="BH7" s="725"/>
      <c r="BK7" s="732"/>
      <c r="BL7" s="350"/>
      <c r="BN7" s="725"/>
      <c r="BQ7" s="732"/>
      <c r="BR7" s="350"/>
      <c r="BT7" s="725"/>
      <c r="BW7" s="732"/>
      <c r="BX7" s="350"/>
      <c r="BZ7" s="725"/>
      <c r="CC7" s="732"/>
      <c r="CD7" s="350"/>
      <c r="CF7" s="725"/>
      <c r="CI7" s="732"/>
      <c r="CJ7" s="1129"/>
      <c r="CK7" s="725"/>
      <c r="CL7" s="725"/>
      <c r="CM7" s="725"/>
      <c r="CN7" s="725"/>
      <c r="CO7" s="732"/>
      <c r="CP7" s="350"/>
      <c r="CR7" s="725"/>
      <c r="CU7" s="732"/>
      <c r="CV7" s="1129"/>
      <c r="CW7" s="725"/>
      <c r="CX7" s="725"/>
      <c r="CY7" s="725"/>
      <c r="CZ7" s="725"/>
      <c r="DA7" s="732"/>
      <c r="DH7" s="1129"/>
      <c r="DI7" s="725"/>
      <c r="DJ7" s="725"/>
      <c r="DK7" s="725"/>
      <c r="DL7" s="725"/>
      <c r="DM7" s="732"/>
      <c r="DN7" s="1129"/>
      <c r="DO7" s="725"/>
      <c r="DP7" s="725"/>
      <c r="DQ7" s="725"/>
      <c r="DR7" s="725"/>
      <c r="DS7" s="1783"/>
      <c r="DT7" s="1642"/>
      <c r="DU7" s="1642"/>
      <c r="DV7" s="1642"/>
      <c r="DW7" s="1642"/>
      <c r="DX7" s="1642"/>
      <c r="DY7" s="1013"/>
      <c r="DZ7" s="1642"/>
      <c r="EA7" s="1642"/>
      <c r="EB7" s="1642"/>
      <c r="EC7" s="1642"/>
      <c r="ED7" s="1642"/>
      <c r="EE7" s="1013"/>
      <c r="EH7" s="1536" t="s">
        <v>438</v>
      </c>
      <c r="EI7" s="1526" t="s">
        <v>436</v>
      </c>
      <c r="EJ7" s="1527" t="s">
        <v>437</v>
      </c>
      <c r="EK7" s="1527"/>
      <c r="EL7" s="1526" t="s">
        <v>436</v>
      </c>
      <c r="EM7" s="1527" t="s">
        <v>437</v>
      </c>
      <c r="EN7" s="506"/>
      <c r="EO7" s="1527"/>
      <c r="EP7" s="1527" t="s">
        <v>443</v>
      </c>
      <c r="EQ7" s="1537" t="s">
        <v>444</v>
      </c>
    </row>
    <row r="8" spans="1:148" s="361" customFormat="1" ht="15" x14ac:dyDescent="0.25">
      <c r="A8" s="333">
        <v>5</v>
      </c>
      <c r="B8" s="329"/>
      <c r="C8" s="330"/>
      <c r="D8" s="329"/>
      <c r="E8" s="330"/>
      <c r="F8" s="329"/>
      <c r="G8" s="348"/>
      <c r="H8" s="330"/>
      <c r="I8" s="330"/>
      <c r="J8" s="329"/>
      <c r="K8" s="330"/>
      <c r="L8" s="329"/>
      <c r="M8" s="330"/>
      <c r="N8" s="329"/>
      <c r="O8" s="330"/>
      <c r="P8" s="343"/>
      <c r="Q8" s="330"/>
      <c r="R8" s="329"/>
      <c r="S8" s="330"/>
      <c r="T8" s="329"/>
      <c r="U8" s="330"/>
      <c r="V8" s="329"/>
      <c r="W8" s="330"/>
      <c r="X8" s="329"/>
      <c r="Y8" s="330"/>
      <c r="Z8" s="329"/>
      <c r="AA8" s="330"/>
      <c r="AB8" s="343"/>
      <c r="AC8" s="330"/>
      <c r="AD8" s="329"/>
      <c r="AE8" s="330"/>
      <c r="AF8" s="343"/>
      <c r="AG8" s="330"/>
      <c r="AH8" s="343"/>
      <c r="AI8" s="358"/>
      <c r="AJ8" s="330"/>
      <c r="AK8" s="330"/>
      <c r="AL8" s="329"/>
      <c r="AM8" s="330"/>
      <c r="AN8" s="343"/>
      <c r="AO8" s="330"/>
      <c r="AP8" s="343"/>
      <c r="AQ8" s="348"/>
      <c r="AR8" s="17"/>
      <c r="AS8" s="367"/>
      <c r="AT8" s="17"/>
      <c r="AU8" s="367"/>
      <c r="AV8" s="17"/>
      <c r="AW8" s="367"/>
      <c r="AX8" s="17"/>
      <c r="AY8" s="367"/>
      <c r="AZ8" s="17"/>
      <c r="BA8" s="367"/>
      <c r="BB8" s="368"/>
      <c r="BC8" s="367"/>
      <c r="BD8" s="368"/>
      <c r="BE8" s="367"/>
      <c r="BF8" s="350"/>
      <c r="BH8" s="725"/>
      <c r="BK8" s="732"/>
      <c r="BL8" s="350"/>
      <c r="BN8" s="725"/>
      <c r="BQ8" s="732"/>
      <c r="BR8" s="350"/>
      <c r="BT8" s="725"/>
      <c r="BW8" s="732"/>
      <c r="BX8" s="350"/>
      <c r="BZ8" s="725"/>
      <c r="CC8" s="732"/>
      <c r="CD8" s="350"/>
      <c r="CF8" s="725"/>
      <c r="CI8" s="732"/>
      <c r="CJ8" s="1490">
        <f t="shared" ref="CJ8:CJ21" si="0">EJ8</f>
        <v>0</v>
      </c>
      <c r="CK8" s="1491">
        <f t="shared" ref="CK8:CK21" si="1">EI8</f>
        <v>0</v>
      </c>
      <c r="CL8" s="725">
        <f t="shared" ref="CL8" si="2">CJ8+CK8*CN$62</f>
        <v>0</v>
      </c>
      <c r="CM8" s="1491">
        <f>EM8*0.185</f>
        <v>1.1099999999999999</v>
      </c>
      <c r="CN8" s="1491">
        <f>EL8*0.185</f>
        <v>0.185</v>
      </c>
      <c r="CO8" s="732">
        <f t="shared" ref="CO8:CO21" si="3">CM8+CN8*CN$62</f>
        <v>1.1262429999999999</v>
      </c>
      <c r="CP8" s="350"/>
      <c r="CR8" s="725"/>
      <c r="CU8" s="732"/>
      <c r="CV8" s="1129"/>
      <c r="CW8" s="725"/>
      <c r="CX8" s="725"/>
      <c r="CY8" s="725"/>
      <c r="CZ8" s="725"/>
      <c r="DA8" s="732"/>
      <c r="DB8" s="1490"/>
      <c r="DC8" s="1491"/>
      <c r="DD8" s="1611"/>
      <c r="DE8" s="1491"/>
      <c r="DF8" s="1491"/>
      <c r="DG8" s="1608"/>
      <c r="DH8" s="1129"/>
      <c r="DI8" s="725"/>
      <c r="DJ8" s="725"/>
      <c r="DK8" s="725"/>
      <c r="DL8" s="725"/>
      <c r="DM8" s="732"/>
      <c r="DN8" s="1129"/>
      <c r="DO8" s="725"/>
      <c r="DP8" s="725"/>
      <c r="DQ8" s="725"/>
      <c r="DR8" s="725"/>
      <c r="DS8" s="1783"/>
      <c r="DT8" s="1642"/>
      <c r="DU8" s="1642"/>
      <c r="DV8" s="1642"/>
      <c r="DW8" s="1642"/>
      <c r="DX8" s="1642"/>
      <c r="DY8" s="1013"/>
      <c r="DZ8" s="1642"/>
      <c r="EA8" s="1642"/>
      <c r="EB8" s="1642"/>
      <c r="EC8" s="1642"/>
      <c r="ED8" s="1642"/>
      <c r="EE8" s="1013"/>
      <c r="EH8" s="1538">
        <v>5</v>
      </c>
      <c r="EI8" s="1530"/>
      <c r="EJ8" s="1530"/>
      <c r="EK8" s="1530"/>
      <c r="EL8" s="1530">
        <v>1</v>
      </c>
      <c r="EM8" s="1530">
        <v>6</v>
      </c>
      <c r="EN8" s="1530">
        <v>7</v>
      </c>
      <c r="EO8" s="1530">
        <v>7</v>
      </c>
      <c r="EP8" s="1530">
        <v>7</v>
      </c>
      <c r="EQ8" s="1539"/>
    </row>
    <row r="9" spans="1:148" s="361" customFormat="1" ht="15" x14ac:dyDescent="0.25">
      <c r="A9" s="333">
        <v>6</v>
      </c>
      <c r="B9" s="329"/>
      <c r="C9" s="330"/>
      <c r="D9" s="329"/>
      <c r="E9" s="330"/>
      <c r="F9" s="329"/>
      <c r="G9" s="348"/>
      <c r="H9" s="330"/>
      <c r="I9" s="330"/>
      <c r="J9" s="329"/>
      <c r="K9" s="330"/>
      <c r="L9" s="329"/>
      <c r="M9" s="330"/>
      <c r="N9" s="329"/>
      <c r="O9" s="330"/>
      <c r="P9" s="343"/>
      <c r="Q9" s="330"/>
      <c r="R9" s="329"/>
      <c r="S9" s="330"/>
      <c r="T9" s="329"/>
      <c r="U9" s="330"/>
      <c r="V9" s="329"/>
      <c r="W9" s="330"/>
      <c r="X9" s="329"/>
      <c r="Y9" s="330"/>
      <c r="Z9" s="329"/>
      <c r="AA9" s="330"/>
      <c r="AB9" s="343"/>
      <c r="AC9" s="330"/>
      <c r="AD9" s="329"/>
      <c r="AE9" s="330"/>
      <c r="AF9" s="343"/>
      <c r="AG9" s="330"/>
      <c r="AH9" s="343"/>
      <c r="AI9" s="358"/>
      <c r="AJ9" s="330"/>
      <c r="AK9" s="330"/>
      <c r="AL9" s="329"/>
      <c r="AM9" s="330"/>
      <c r="AN9" s="343"/>
      <c r="AO9" s="330"/>
      <c r="AP9" s="343"/>
      <c r="AQ9" s="348"/>
      <c r="AR9" s="17"/>
      <c r="AS9" s="367"/>
      <c r="AT9" s="17"/>
      <c r="AU9" s="367"/>
      <c r="AV9" s="17"/>
      <c r="AW9" s="367"/>
      <c r="AX9" s="17"/>
      <c r="AY9" s="367"/>
      <c r="AZ9" s="17"/>
      <c r="BA9" s="367"/>
      <c r="BB9" s="368"/>
      <c r="BC9" s="367"/>
      <c r="BD9" s="368"/>
      <c r="BE9" s="367"/>
      <c r="BF9" s="350"/>
      <c r="BH9" s="725"/>
      <c r="BK9" s="732"/>
      <c r="BL9" s="350"/>
      <c r="BN9" s="725"/>
      <c r="BQ9" s="732"/>
      <c r="BR9" s="350"/>
      <c r="BT9" s="725"/>
      <c r="BW9" s="732"/>
      <c r="BX9" s="350"/>
      <c r="BZ9" s="725"/>
      <c r="CC9" s="732"/>
      <c r="CD9" s="350"/>
      <c r="CF9" s="725"/>
      <c r="CI9" s="732"/>
      <c r="CJ9" s="1490">
        <f t="shared" si="0"/>
        <v>0</v>
      </c>
      <c r="CK9" s="1491">
        <f t="shared" si="1"/>
        <v>0</v>
      </c>
      <c r="CL9" s="725">
        <f t="shared" ref="CL9:CL21" si="4">CJ9+CK9*CN$62</f>
        <v>0</v>
      </c>
      <c r="CM9" s="1491">
        <f t="shared" ref="CM9:CM21" si="5">EM9*0.185</f>
        <v>0.55499999999999994</v>
      </c>
      <c r="CN9" s="1491">
        <f t="shared" ref="CN9:CN21" si="6">EL9*0.185</f>
        <v>0</v>
      </c>
      <c r="CO9" s="732">
        <f t="shared" si="3"/>
        <v>0.55499999999999994</v>
      </c>
      <c r="CP9" s="350"/>
      <c r="CR9" s="725"/>
      <c r="CU9" s="732"/>
      <c r="CV9" s="1129"/>
      <c r="CW9" s="725"/>
      <c r="CX9" s="725"/>
      <c r="CY9" s="725"/>
      <c r="CZ9" s="725"/>
      <c r="DA9" s="732"/>
      <c r="DB9" s="1490"/>
      <c r="DC9" s="1491"/>
      <c r="DD9" s="1611"/>
      <c r="DE9" s="1491"/>
      <c r="DF9" s="1491"/>
      <c r="DG9" s="1608"/>
      <c r="DH9" s="1129"/>
      <c r="DI9" s="725"/>
      <c r="DJ9" s="725"/>
      <c r="DK9" s="725"/>
      <c r="DL9" s="725"/>
      <c r="DM9" s="732"/>
      <c r="DN9" s="1129"/>
      <c r="DO9" s="725"/>
      <c r="DP9" s="725"/>
      <c r="DQ9" s="725"/>
      <c r="DR9" s="725"/>
      <c r="DS9" s="1783"/>
      <c r="DT9" s="1642"/>
      <c r="DU9" s="1642"/>
      <c r="DV9" s="1642"/>
      <c r="DW9" s="1642"/>
      <c r="DX9" s="1642"/>
      <c r="DY9" s="1013"/>
      <c r="DZ9" s="1642"/>
      <c r="EA9" s="1642"/>
      <c r="EB9" s="1642"/>
      <c r="EC9" s="1642"/>
      <c r="ED9" s="1642"/>
      <c r="EE9" s="1013"/>
      <c r="EH9" s="1538">
        <v>6</v>
      </c>
      <c r="EI9" s="1530"/>
      <c r="EJ9" s="1530"/>
      <c r="EK9" s="1530"/>
      <c r="EL9" s="1530"/>
      <c r="EM9" s="1530">
        <v>3</v>
      </c>
      <c r="EN9" s="1530">
        <v>3</v>
      </c>
      <c r="EO9" s="1530">
        <v>3</v>
      </c>
      <c r="EP9" s="1530">
        <v>3</v>
      </c>
      <c r="EQ9" s="1539"/>
    </row>
    <row r="10" spans="1:148" s="361" customFormat="1" ht="15" x14ac:dyDescent="0.25">
      <c r="A10" s="333">
        <v>7</v>
      </c>
      <c r="B10" s="329"/>
      <c r="C10" s="330"/>
      <c r="D10" s="329"/>
      <c r="E10" s="330"/>
      <c r="F10" s="329"/>
      <c r="G10" s="348"/>
      <c r="H10" s="330"/>
      <c r="I10" s="330"/>
      <c r="J10" s="329"/>
      <c r="K10" s="330"/>
      <c r="L10" s="329"/>
      <c r="M10" s="330"/>
      <c r="N10" s="329"/>
      <c r="O10" s="330"/>
      <c r="P10" s="343"/>
      <c r="Q10" s="330"/>
      <c r="R10" s="329"/>
      <c r="S10" s="330"/>
      <c r="T10" s="329"/>
      <c r="U10" s="330"/>
      <c r="V10" s="329"/>
      <c r="W10" s="330"/>
      <c r="X10" s="329"/>
      <c r="Y10" s="330"/>
      <c r="Z10" s="329"/>
      <c r="AA10" s="330"/>
      <c r="AB10" s="343"/>
      <c r="AC10" s="330"/>
      <c r="AD10" s="329"/>
      <c r="AE10" s="330"/>
      <c r="AF10" s="343"/>
      <c r="AG10" s="330"/>
      <c r="AH10" s="343"/>
      <c r="AI10" s="358"/>
      <c r="AJ10" s="330"/>
      <c r="AK10" s="330"/>
      <c r="AL10" s="329"/>
      <c r="AM10" s="330"/>
      <c r="AN10" s="343"/>
      <c r="AO10" s="330"/>
      <c r="AP10" s="343"/>
      <c r="AQ10" s="348"/>
      <c r="AR10" s="17"/>
      <c r="AS10" s="367"/>
      <c r="AT10" s="17"/>
      <c r="AU10" s="367"/>
      <c r="AV10" s="17"/>
      <c r="AW10" s="367"/>
      <c r="AX10" s="17"/>
      <c r="AY10" s="367"/>
      <c r="AZ10" s="17"/>
      <c r="BA10" s="367"/>
      <c r="BB10" s="368"/>
      <c r="BC10" s="367"/>
      <c r="BD10" s="368"/>
      <c r="BE10" s="367"/>
      <c r="BF10" s="350"/>
      <c r="BH10" s="725"/>
      <c r="BK10" s="732"/>
      <c r="BL10" s="350"/>
      <c r="BN10" s="725"/>
      <c r="BQ10" s="732"/>
      <c r="BR10" s="350"/>
      <c r="BT10" s="725"/>
      <c r="BW10" s="732"/>
      <c r="BX10" s="350"/>
      <c r="BZ10" s="725"/>
      <c r="CC10" s="732"/>
      <c r="CD10" s="350"/>
      <c r="CF10" s="725"/>
      <c r="CI10" s="732"/>
      <c r="CJ10" s="1490">
        <f t="shared" si="0"/>
        <v>0</v>
      </c>
      <c r="CK10" s="1491">
        <f t="shared" si="1"/>
        <v>0</v>
      </c>
      <c r="CL10" s="725">
        <f t="shared" si="4"/>
        <v>0</v>
      </c>
      <c r="CM10" s="1491">
        <f t="shared" si="5"/>
        <v>2.4049999999999998</v>
      </c>
      <c r="CN10" s="1491">
        <f t="shared" si="6"/>
        <v>0</v>
      </c>
      <c r="CO10" s="732">
        <f t="shared" si="3"/>
        <v>2.4049999999999998</v>
      </c>
      <c r="CP10" s="350"/>
      <c r="CR10" s="725"/>
      <c r="CU10" s="732"/>
      <c r="CV10" s="1129"/>
      <c r="CW10" s="725"/>
      <c r="CX10" s="725"/>
      <c r="CY10" s="725"/>
      <c r="CZ10" s="725"/>
      <c r="DA10" s="732"/>
      <c r="DB10" s="1490"/>
      <c r="DC10" s="1491"/>
      <c r="DD10" s="1611"/>
      <c r="DE10" s="1491"/>
      <c r="DF10" s="1491"/>
      <c r="DG10" s="1608"/>
      <c r="DH10" s="1129"/>
      <c r="DI10" s="725"/>
      <c r="DJ10" s="725"/>
      <c r="DK10" s="725"/>
      <c r="DL10" s="725"/>
      <c r="DM10" s="732"/>
      <c r="DN10" s="1129"/>
      <c r="DO10" s="725"/>
      <c r="DP10" s="725"/>
      <c r="DQ10" s="725"/>
      <c r="DR10" s="725"/>
      <c r="DS10" s="1783"/>
      <c r="DT10" s="1642"/>
      <c r="DU10" s="1642"/>
      <c r="DV10" s="1642"/>
      <c r="DW10" s="1642"/>
      <c r="DX10" s="1642"/>
      <c r="DY10" s="1013"/>
      <c r="DZ10" s="1642"/>
      <c r="EA10" s="1642"/>
      <c r="EB10" s="1642"/>
      <c r="EC10" s="1642"/>
      <c r="ED10" s="1642"/>
      <c r="EE10" s="1013"/>
      <c r="EH10" s="1538">
        <v>7</v>
      </c>
      <c r="EI10" s="1530"/>
      <c r="EJ10" s="1530"/>
      <c r="EK10" s="1530"/>
      <c r="EL10" s="1530"/>
      <c r="EM10" s="1530">
        <v>13</v>
      </c>
      <c r="EN10" s="1530">
        <v>13</v>
      </c>
      <c r="EO10" s="1530">
        <v>13</v>
      </c>
      <c r="EP10" s="1530">
        <v>14</v>
      </c>
      <c r="EQ10" s="1540">
        <v>1</v>
      </c>
    </row>
    <row r="11" spans="1:148" s="361" customFormat="1" ht="15" x14ac:dyDescent="0.25">
      <c r="A11" s="333">
        <v>8</v>
      </c>
      <c r="B11" s="329"/>
      <c r="C11" s="330"/>
      <c r="D11" s="329"/>
      <c r="E11" s="330"/>
      <c r="F11" s="329"/>
      <c r="G11" s="348"/>
      <c r="H11" s="330"/>
      <c r="I11" s="330"/>
      <c r="J11" s="329"/>
      <c r="K11" s="330"/>
      <c r="L11" s="329"/>
      <c r="M11" s="330"/>
      <c r="N11" s="329"/>
      <c r="O11" s="330"/>
      <c r="P11" s="343"/>
      <c r="Q11" s="330"/>
      <c r="R11" s="329"/>
      <c r="S11" s="330"/>
      <c r="T11" s="329"/>
      <c r="U11" s="330"/>
      <c r="V11" s="329"/>
      <c r="W11" s="330"/>
      <c r="X11" s="329"/>
      <c r="Y11" s="330"/>
      <c r="Z11" s="329"/>
      <c r="AA11" s="330"/>
      <c r="AB11" s="343"/>
      <c r="AC11" s="330"/>
      <c r="AD11" s="329"/>
      <c r="AE11" s="330"/>
      <c r="AF11" s="343"/>
      <c r="AG11" s="330"/>
      <c r="AH11" s="343"/>
      <c r="AI11" s="358"/>
      <c r="AJ11" s="330"/>
      <c r="AK11" s="330"/>
      <c r="AL11" s="329"/>
      <c r="AM11" s="330"/>
      <c r="AN11" s="343"/>
      <c r="AO11" s="330"/>
      <c r="AP11" s="343"/>
      <c r="AQ11" s="348"/>
      <c r="AR11" s="17"/>
      <c r="AS11" s="367"/>
      <c r="AT11" s="17"/>
      <c r="AU11" s="367"/>
      <c r="AV11" s="17"/>
      <c r="AW11" s="367"/>
      <c r="AX11" s="17"/>
      <c r="AY11" s="367"/>
      <c r="AZ11" s="17"/>
      <c r="BA11" s="367"/>
      <c r="BB11" s="368"/>
      <c r="BC11" s="367"/>
      <c r="BD11" s="368"/>
      <c r="BE11" s="367"/>
      <c r="BF11" s="350"/>
      <c r="BH11" s="725"/>
      <c r="BK11" s="732"/>
      <c r="BL11" s="350"/>
      <c r="BN11" s="725"/>
      <c r="BQ11" s="732"/>
      <c r="BR11" s="350"/>
      <c r="BT11" s="725"/>
      <c r="BW11" s="732"/>
      <c r="BX11" s="350"/>
      <c r="BZ11" s="725"/>
      <c r="CC11" s="732"/>
      <c r="CD11" s="350"/>
      <c r="CF11" s="725"/>
      <c r="CI11" s="732"/>
      <c r="CJ11" s="1490">
        <f t="shared" si="0"/>
        <v>0</v>
      </c>
      <c r="CK11" s="1491">
        <f t="shared" si="1"/>
        <v>0</v>
      </c>
      <c r="CL11" s="725">
        <f t="shared" si="4"/>
        <v>0</v>
      </c>
      <c r="CM11" s="1491">
        <f t="shared" si="5"/>
        <v>3.33</v>
      </c>
      <c r="CN11" s="1491">
        <f t="shared" si="6"/>
        <v>0</v>
      </c>
      <c r="CO11" s="732">
        <f t="shared" si="3"/>
        <v>3.33</v>
      </c>
      <c r="CP11" s="350"/>
      <c r="CR11" s="725"/>
      <c r="CU11" s="732"/>
      <c r="CV11" s="1490">
        <v>0</v>
      </c>
      <c r="CW11" s="1491">
        <v>0</v>
      </c>
      <c r="CX11" s="1611">
        <f t="shared" ref="CX11:CX20" si="7">CV11+CW11*CZ$62</f>
        <v>0</v>
      </c>
      <c r="CY11" s="1491">
        <f>2*0.185</f>
        <v>0.37</v>
      </c>
      <c r="CZ11" s="1491">
        <v>0</v>
      </c>
      <c r="DA11" s="1608">
        <f t="shared" ref="DA11:DA20" si="8">CY11+CZ11*CZ$62</f>
        <v>0.37</v>
      </c>
      <c r="DB11" s="1490">
        <v>0</v>
      </c>
      <c r="DC11" s="1491">
        <v>0</v>
      </c>
      <c r="DD11" s="1611">
        <f>DB11+DC11*DF$62</f>
        <v>0</v>
      </c>
      <c r="DE11" s="1491">
        <f>16*0.185</f>
        <v>2.96</v>
      </c>
      <c r="DF11" s="1491">
        <f>0*0.185</f>
        <v>0</v>
      </c>
      <c r="DG11" s="1608">
        <f>DE11+DF11*DF$62</f>
        <v>2.96</v>
      </c>
      <c r="DH11" s="1129"/>
      <c r="DI11" s="725"/>
      <c r="DJ11" s="725"/>
      <c r="DK11" s="725"/>
      <c r="DL11" s="725"/>
      <c r="DM11" s="732"/>
      <c r="DN11" s="350">
        <v>1</v>
      </c>
      <c r="DO11" s="361">
        <v>0</v>
      </c>
      <c r="DP11" s="1611">
        <f>DN11+DO11*DR$62</f>
        <v>1</v>
      </c>
      <c r="DQ11" s="1724">
        <f>21*0.185</f>
        <v>3.8849999999999998</v>
      </c>
      <c r="DR11" s="1491">
        <f>1*0.185</f>
        <v>0.185</v>
      </c>
      <c r="DS11" s="1784">
        <f>DQ11+DR11*DR$62</f>
        <v>3.8999849999999996</v>
      </c>
      <c r="DT11" s="1011">
        <v>1</v>
      </c>
      <c r="DU11" s="1011">
        <v>0</v>
      </c>
      <c r="DV11" s="1611">
        <f>DT11+DU11*DX$62</f>
        <v>1</v>
      </c>
      <c r="DW11" s="1724">
        <f>6*0.185</f>
        <v>1.1099999999999999</v>
      </c>
      <c r="DX11" s="1491">
        <f>0*0.185</f>
        <v>0</v>
      </c>
      <c r="DY11" s="1784">
        <f>DW11+DX11*DX$62</f>
        <v>1.1099999999999999</v>
      </c>
      <c r="DZ11" s="1642"/>
      <c r="EA11" s="1642"/>
      <c r="EB11" s="1642"/>
      <c r="EC11" s="1704"/>
      <c r="ED11" s="1642"/>
      <c r="EE11" s="1705"/>
      <c r="EF11" s="361">
        <f>DE11/0.185</f>
        <v>16</v>
      </c>
      <c r="EG11" s="361">
        <f>DF11/0.185</f>
        <v>0</v>
      </c>
      <c r="EH11" s="1538">
        <v>8</v>
      </c>
      <c r="EI11" s="1530"/>
      <c r="EJ11" s="1530"/>
      <c r="EK11" s="1530"/>
      <c r="EL11" s="1530"/>
      <c r="EM11" s="1530">
        <v>18</v>
      </c>
      <c r="EN11" s="1530">
        <v>18</v>
      </c>
      <c r="EO11" s="1530">
        <v>18</v>
      </c>
      <c r="EP11" s="1530">
        <v>19</v>
      </c>
      <c r="EQ11" s="1540">
        <v>1</v>
      </c>
    </row>
    <row r="12" spans="1:148" s="361" customFormat="1" ht="15" x14ac:dyDescent="0.25">
      <c r="A12" s="333">
        <v>9</v>
      </c>
      <c r="B12" s="329"/>
      <c r="C12" s="330"/>
      <c r="D12" s="329"/>
      <c r="E12" s="330"/>
      <c r="F12" s="329"/>
      <c r="G12" s="348"/>
      <c r="H12" s="330"/>
      <c r="I12" s="330"/>
      <c r="J12" s="329"/>
      <c r="K12" s="330"/>
      <c r="L12" s="329"/>
      <c r="M12" s="330"/>
      <c r="N12" s="329"/>
      <c r="O12" s="330"/>
      <c r="P12" s="343"/>
      <c r="Q12" s="330"/>
      <c r="R12" s="329"/>
      <c r="S12" s="330"/>
      <c r="T12" s="329"/>
      <c r="U12" s="330"/>
      <c r="V12" s="329"/>
      <c r="W12" s="330"/>
      <c r="X12" s="329"/>
      <c r="Y12" s="330"/>
      <c r="Z12" s="329"/>
      <c r="AA12" s="330"/>
      <c r="AB12" s="343"/>
      <c r="AC12" s="330"/>
      <c r="AD12" s="329"/>
      <c r="AE12" s="330"/>
      <c r="AF12" s="343"/>
      <c r="AG12" s="330"/>
      <c r="AH12" s="343"/>
      <c r="AI12" s="358"/>
      <c r="AJ12" s="330"/>
      <c r="AK12" s="330"/>
      <c r="AL12" s="329"/>
      <c r="AM12" s="330"/>
      <c r="AN12" s="343"/>
      <c r="AO12" s="330"/>
      <c r="AP12" s="343"/>
      <c r="AQ12" s="348"/>
      <c r="AR12" s="17"/>
      <c r="AS12" s="367"/>
      <c r="AT12" s="17"/>
      <c r="AU12" s="367"/>
      <c r="AV12" s="17"/>
      <c r="AW12" s="367"/>
      <c r="AX12" s="17"/>
      <c r="AY12" s="367"/>
      <c r="AZ12" s="17"/>
      <c r="BA12" s="367"/>
      <c r="BB12" s="368"/>
      <c r="BC12" s="367"/>
      <c r="BD12" s="368"/>
      <c r="BE12" s="367"/>
      <c r="BF12" s="350"/>
      <c r="BH12" s="725"/>
      <c r="BK12" s="732"/>
      <c r="BL12" s="350"/>
      <c r="BN12" s="725"/>
      <c r="BQ12" s="732"/>
      <c r="BR12" s="350"/>
      <c r="BT12" s="725"/>
      <c r="BW12" s="732"/>
      <c r="BX12" s="350"/>
      <c r="BZ12" s="725"/>
      <c r="CC12" s="732"/>
      <c r="CD12" s="350"/>
      <c r="CF12" s="725"/>
      <c r="CI12" s="732"/>
      <c r="CJ12" s="1490">
        <f t="shared" si="0"/>
        <v>1</v>
      </c>
      <c r="CK12" s="1491">
        <f t="shared" si="1"/>
        <v>0</v>
      </c>
      <c r="CL12" s="725">
        <f t="shared" si="4"/>
        <v>1</v>
      </c>
      <c r="CM12" s="1491">
        <f t="shared" si="5"/>
        <v>4.2549999999999999</v>
      </c>
      <c r="CN12" s="1491">
        <f t="shared" si="6"/>
        <v>0.185</v>
      </c>
      <c r="CO12" s="732">
        <f t="shared" si="3"/>
        <v>4.2712430000000001</v>
      </c>
      <c r="CP12" s="350"/>
      <c r="CR12" s="725"/>
      <c r="CU12" s="732"/>
      <c r="CV12" s="1490"/>
      <c r="CW12" s="1491"/>
      <c r="CX12" s="1618"/>
      <c r="CY12" s="1491"/>
      <c r="CZ12" s="1491"/>
      <c r="DA12" s="1608"/>
      <c r="DB12" s="1490">
        <v>1</v>
      </c>
      <c r="DC12" s="1491">
        <v>0</v>
      </c>
      <c r="DD12" s="1611">
        <f t="shared" ref="DD12:DD15" si="9">DB12+DC12*DF$62</f>
        <v>1</v>
      </c>
      <c r="DE12" s="1491">
        <f>18*0.185</f>
        <v>3.33</v>
      </c>
      <c r="DF12" s="1491">
        <f>0*0.185</f>
        <v>0</v>
      </c>
      <c r="DG12" s="1608">
        <f t="shared" ref="DG12:DG15" si="10">DE12+DF12*DF$62</f>
        <v>3.33</v>
      </c>
      <c r="DH12" s="1129"/>
      <c r="DI12" s="725"/>
      <c r="DJ12" s="725"/>
      <c r="DK12" s="725"/>
      <c r="DL12" s="725"/>
      <c r="DM12" s="732"/>
      <c r="DN12" s="350">
        <v>0</v>
      </c>
      <c r="DO12" s="361">
        <v>0</v>
      </c>
      <c r="DP12" s="1611">
        <f t="shared" ref="DP12:DP20" si="11">DN12+DO12*DR$62</f>
        <v>0</v>
      </c>
      <c r="DQ12" s="1491">
        <f>27*0.185</f>
        <v>4.9950000000000001</v>
      </c>
      <c r="DR12" s="1491">
        <f>2*0.185</f>
        <v>0.37</v>
      </c>
      <c r="DS12" s="1784">
        <f t="shared" ref="DS12:DS21" si="12">DQ12+DR12*DR$62</f>
        <v>5.0249699999999997</v>
      </c>
      <c r="DT12" s="1011">
        <v>1</v>
      </c>
      <c r="DU12" s="1011">
        <v>0</v>
      </c>
      <c r="DV12" s="1611">
        <f t="shared" ref="DV12:DV20" si="13">DT12+DU12*DX$62</f>
        <v>1</v>
      </c>
      <c r="DW12" s="1491">
        <f>13*0.185</f>
        <v>2.4049999999999998</v>
      </c>
      <c r="DX12" s="1491">
        <f>0*0.185</f>
        <v>0</v>
      </c>
      <c r="DY12" s="1784">
        <f t="shared" ref="DY12:DY20" si="14">DW12+DX12*DX$62</f>
        <v>2.4049999999999998</v>
      </c>
      <c r="DZ12" s="1642"/>
      <c r="EA12" s="1642"/>
      <c r="EB12" s="1642"/>
      <c r="EC12" s="1642"/>
      <c r="ED12" s="1642"/>
      <c r="EE12" s="1013"/>
      <c r="EF12" s="361">
        <f t="shared" ref="EF12:EF20" si="15">DE12/0.185</f>
        <v>18</v>
      </c>
      <c r="EG12" s="361">
        <f t="shared" ref="EG12:EG20" si="16">DF12/0.185</f>
        <v>0</v>
      </c>
      <c r="EH12" s="1538">
        <v>9</v>
      </c>
      <c r="EI12" s="1530"/>
      <c r="EJ12" s="1530">
        <v>1</v>
      </c>
      <c r="EK12" s="1530">
        <v>1</v>
      </c>
      <c r="EL12" s="1530">
        <v>1</v>
      </c>
      <c r="EM12" s="1530">
        <v>23</v>
      </c>
      <c r="EN12" s="1530">
        <v>24</v>
      </c>
      <c r="EO12" s="1530">
        <v>25</v>
      </c>
      <c r="EP12" s="1530">
        <v>26</v>
      </c>
      <c r="EQ12" s="1540">
        <v>1</v>
      </c>
    </row>
    <row r="13" spans="1:148" s="361" customFormat="1" ht="15" x14ac:dyDescent="0.25">
      <c r="A13" s="333">
        <v>10</v>
      </c>
      <c r="B13" s="329"/>
      <c r="C13" s="330"/>
      <c r="D13" s="329"/>
      <c r="E13" s="330"/>
      <c r="F13" s="329"/>
      <c r="G13" s="348"/>
      <c r="H13" s="330"/>
      <c r="I13" s="330"/>
      <c r="J13" s="329"/>
      <c r="K13" s="330"/>
      <c r="L13" s="329"/>
      <c r="M13" s="330"/>
      <c r="N13" s="329"/>
      <c r="O13" s="330"/>
      <c r="P13" s="343"/>
      <c r="Q13" s="330"/>
      <c r="R13" s="329"/>
      <c r="S13" s="330"/>
      <c r="T13" s="329"/>
      <c r="U13" s="330"/>
      <c r="V13" s="329"/>
      <c r="W13" s="330"/>
      <c r="X13" s="329"/>
      <c r="Y13" s="330"/>
      <c r="Z13" s="329"/>
      <c r="AA13" s="330"/>
      <c r="AB13" s="343"/>
      <c r="AC13" s="330"/>
      <c r="AD13" s="329"/>
      <c r="AE13" s="330"/>
      <c r="AF13" s="343"/>
      <c r="AG13" s="330"/>
      <c r="AH13" s="343"/>
      <c r="AI13" s="358"/>
      <c r="AJ13" s="330"/>
      <c r="AK13" s="330"/>
      <c r="AL13" s="329"/>
      <c r="AM13" s="330"/>
      <c r="AN13" s="343"/>
      <c r="AO13" s="330"/>
      <c r="AP13" s="343"/>
      <c r="AQ13" s="348"/>
      <c r="AR13" s="17"/>
      <c r="AS13" s="367"/>
      <c r="AT13" s="17"/>
      <c r="AU13" s="367"/>
      <c r="AV13" s="17"/>
      <c r="AW13" s="367"/>
      <c r="AX13" s="17"/>
      <c r="AY13" s="367"/>
      <c r="AZ13" s="17"/>
      <c r="BA13" s="367"/>
      <c r="BB13" s="368"/>
      <c r="BC13" s="367"/>
      <c r="BD13" s="368"/>
      <c r="BE13" s="367"/>
      <c r="BF13" s="350"/>
      <c r="BH13" s="725"/>
      <c r="BK13" s="732"/>
      <c r="BL13" s="350"/>
      <c r="BN13" s="725"/>
      <c r="BQ13" s="732"/>
      <c r="BR13" s="350"/>
      <c r="BT13" s="725"/>
      <c r="BW13" s="732"/>
      <c r="BX13" s="350"/>
      <c r="BZ13" s="725"/>
      <c r="CC13" s="732"/>
      <c r="CD13" s="350"/>
      <c r="CF13" s="725"/>
      <c r="CI13" s="732"/>
      <c r="CJ13" s="1490">
        <f t="shared" si="0"/>
        <v>1</v>
      </c>
      <c r="CK13" s="1491">
        <f t="shared" si="1"/>
        <v>0</v>
      </c>
      <c r="CL13" s="725">
        <f t="shared" si="4"/>
        <v>1</v>
      </c>
      <c r="CM13" s="1491">
        <f t="shared" si="5"/>
        <v>4.4399999999999995</v>
      </c>
      <c r="CN13" s="1491">
        <f t="shared" si="6"/>
        <v>0</v>
      </c>
      <c r="CO13" s="732">
        <f t="shared" si="3"/>
        <v>4.4399999999999995</v>
      </c>
      <c r="CP13" s="350"/>
      <c r="CR13" s="725"/>
      <c r="CU13" s="732"/>
      <c r="CV13" s="1490">
        <v>0</v>
      </c>
      <c r="CW13" s="1491">
        <v>0</v>
      </c>
      <c r="CX13" s="1611">
        <f t="shared" si="7"/>
        <v>0</v>
      </c>
      <c r="CY13" s="1491">
        <f>17*0.185</f>
        <v>3.145</v>
      </c>
      <c r="CZ13" s="1491">
        <v>0</v>
      </c>
      <c r="DA13" s="1608">
        <f t="shared" si="8"/>
        <v>3.145</v>
      </c>
      <c r="DB13" s="1490">
        <v>0</v>
      </c>
      <c r="DC13" s="1491">
        <v>0</v>
      </c>
      <c r="DD13" s="1611">
        <f t="shared" si="9"/>
        <v>0</v>
      </c>
      <c r="DE13" s="1491">
        <f>16*0.185</f>
        <v>2.96</v>
      </c>
      <c r="DF13" s="1491">
        <f>0*0.185</f>
        <v>0</v>
      </c>
      <c r="DG13" s="1608">
        <f t="shared" ref="DG13" si="17">DE13+DF13*DF$62</f>
        <v>2.96</v>
      </c>
      <c r="DH13" s="1129"/>
      <c r="DI13" s="725"/>
      <c r="DJ13" s="725"/>
      <c r="DK13" s="725"/>
      <c r="DL13" s="725"/>
      <c r="DM13" s="732"/>
      <c r="DN13" s="350">
        <v>0</v>
      </c>
      <c r="DO13" s="361">
        <v>0</v>
      </c>
      <c r="DP13" s="1611">
        <f t="shared" si="11"/>
        <v>0</v>
      </c>
      <c r="DQ13" s="1491">
        <f>18*0.185</f>
        <v>3.33</v>
      </c>
      <c r="DR13" s="1491">
        <v>0</v>
      </c>
      <c r="DS13" s="1784">
        <f t="shared" si="12"/>
        <v>3.33</v>
      </c>
      <c r="DT13" s="1011">
        <v>0</v>
      </c>
      <c r="DU13" s="1011">
        <v>0</v>
      </c>
      <c r="DV13" s="1611">
        <f t="shared" si="13"/>
        <v>0</v>
      </c>
      <c r="DW13" s="1491">
        <f>23*0.185</f>
        <v>4.2549999999999999</v>
      </c>
      <c r="DX13" s="1491">
        <f>0*0.185</f>
        <v>0</v>
      </c>
      <c r="DY13" s="1784">
        <f t="shared" si="14"/>
        <v>4.2549999999999999</v>
      </c>
      <c r="DZ13" s="1642"/>
      <c r="EA13" s="1642"/>
      <c r="EB13" s="1642"/>
      <c r="EC13" s="1642"/>
      <c r="ED13" s="1642"/>
      <c r="EE13" s="1013"/>
      <c r="EF13" s="361">
        <f t="shared" si="15"/>
        <v>16</v>
      </c>
      <c r="EG13" s="361">
        <f t="shared" si="16"/>
        <v>0</v>
      </c>
      <c r="EH13" s="1538">
        <v>10</v>
      </c>
      <c r="EI13" s="1530"/>
      <c r="EJ13" s="1530">
        <v>1</v>
      </c>
      <c r="EK13" s="1530">
        <v>1</v>
      </c>
      <c r="EL13" s="1530"/>
      <c r="EM13" s="1530">
        <v>24</v>
      </c>
      <c r="EN13" s="1530">
        <v>24</v>
      </c>
      <c r="EO13" s="1530">
        <v>25</v>
      </c>
      <c r="EP13" s="1530">
        <v>26</v>
      </c>
      <c r="EQ13" s="1540">
        <v>1</v>
      </c>
    </row>
    <row r="14" spans="1:148" s="361" customFormat="1" ht="15" x14ac:dyDescent="0.25">
      <c r="A14" s="333">
        <v>11</v>
      </c>
      <c r="B14" s="329"/>
      <c r="C14" s="330"/>
      <c r="D14" s="329"/>
      <c r="E14" s="330"/>
      <c r="F14" s="329"/>
      <c r="G14" s="348"/>
      <c r="H14" s="330"/>
      <c r="I14" s="330"/>
      <c r="J14" s="329"/>
      <c r="K14" s="330"/>
      <c r="L14" s="329"/>
      <c r="M14" s="330"/>
      <c r="N14" s="329"/>
      <c r="O14" s="330"/>
      <c r="P14" s="343"/>
      <c r="Q14" s="330"/>
      <c r="R14" s="329"/>
      <c r="S14" s="330"/>
      <c r="T14" s="329"/>
      <c r="U14" s="330"/>
      <c r="V14" s="329"/>
      <c r="W14" s="330"/>
      <c r="X14" s="329"/>
      <c r="Y14" s="330"/>
      <c r="Z14" s="329"/>
      <c r="AA14" s="330"/>
      <c r="AB14" s="343"/>
      <c r="AC14" s="330"/>
      <c r="AD14" s="329"/>
      <c r="AE14" s="330"/>
      <c r="AF14" s="343"/>
      <c r="AG14" s="330"/>
      <c r="AH14" s="343"/>
      <c r="AI14" s="358"/>
      <c r="AJ14" s="330"/>
      <c r="AK14" s="330"/>
      <c r="AL14" s="329"/>
      <c r="AM14" s="330"/>
      <c r="AN14" s="343"/>
      <c r="AO14" s="330"/>
      <c r="AP14" s="343"/>
      <c r="AQ14" s="348"/>
      <c r="AR14" s="17"/>
      <c r="AS14" s="367"/>
      <c r="AT14" s="17"/>
      <c r="AU14" s="367"/>
      <c r="AV14" s="17"/>
      <c r="AW14" s="367"/>
      <c r="AX14" s="17"/>
      <c r="AY14" s="367"/>
      <c r="AZ14" s="17"/>
      <c r="BA14" s="367"/>
      <c r="BB14" s="368"/>
      <c r="BC14" s="367"/>
      <c r="BD14" s="368"/>
      <c r="BE14" s="367"/>
      <c r="BF14" s="350"/>
      <c r="BH14" s="725"/>
      <c r="BK14" s="732"/>
      <c r="BL14" s="350"/>
      <c r="BN14" s="725"/>
      <c r="BQ14" s="732"/>
      <c r="BR14" s="350"/>
      <c r="BT14" s="725"/>
      <c r="BW14" s="732"/>
      <c r="BX14" s="350"/>
      <c r="BZ14" s="725"/>
      <c r="CC14" s="732"/>
      <c r="CD14" s="350"/>
      <c r="CF14" s="725"/>
      <c r="CI14" s="732"/>
      <c r="CJ14" s="1490">
        <f t="shared" si="0"/>
        <v>0</v>
      </c>
      <c r="CK14" s="1491">
        <f t="shared" si="1"/>
        <v>0</v>
      </c>
      <c r="CL14" s="725">
        <f t="shared" si="4"/>
        <v>0</v>
      </c>
      <c r="CM14" s="1491">
        <f t="shared" si="5"/>
        <v>5.55</v>
      </c>
      <c r="CN14" s="1491">
        <f t="shared" si="6"/>
        <v>0</v>
      </c>
      <c r="CO14" s="732">
        <f t="shared" si="3"/>
        <v>5.55</v>
      </c>
      <c r="CP14" s="350"/>
      <c r="CR14" s="725"/>
      <c r="CU14" s="732"/>
      <c r="CV14" s="1490">
        <v>0</v>
      </c>
      <c r="CW14" s="1491">
        <v>0</v>
      </c>
      <c r="CX14" s="1611">
        <f t="shared" si="7"/>
        <v>0</v>
      </c>
      <c r="CY14" s="1491">
        <f>20*0.185</f>
        <v>3.7</v>
      </c>
      <c r="CZ14" s="1491">
        <v>0</v>
      </c>
      <c r="DA14" s="1608">
        <f t="shared" si="8"/>
        <v>3.7</v>
      </c>
      <c r="DB14" s="1490">
        <v>0</v>
      </c>
      <c r="DC14" s="1491">
        <v>0</v>
      </c>
      <c r="DD14" s="1611">
        <f t="shared" si="9"/>
        <v>0</v>
      </c>
      <c r="DE14" s="1491">
        <f>5*0.185</f>
        <v>0.92500000000000004</v>
      </c>
      <c r="DF14" s="1491">
        <f>0*0.185</f>
        <v>0</v>
      </c>
      <c r="DG14" s="1608">
        <f t="shared" si="10"/>
        <v>0.92500000000000004</v>
      </c>
      <c r="DH14" s="1129"/>
      <c r="DI14" s="725"/>
      <c r="DJ14" s="725"/>
      <c r="DK14" s="725"/>
      <c r="DL14" s="725"/>
      <c r="DM14" s="732"/>
      <c r="DN14" s="350">
        <v>2</v>
      </c>
      <c r="DO14" s="361">
        <v>0</v>
      </c>
      <c r="DP14" s="1611">
        <f t="shared" si="11"/>
        <v>2</v>
      </c>
      <c r="DQ14" s="1724">
        <f>37*0.185</f>
        <v>6.8449999999999998</v>
      </c>
      <c r="DR14" s="1491">
        <v>0</v>
      </c>
      <c r="DS14" s="1784">
        <f t="shared" si="12"/>
        <v>6.8449999999999998</v>
      </c>
      <c r="DT14" s="1011">
        <v>0</v>
      </c>
      <c r="DU14" s="1011">
        <v>0</v>
      </c>
      <c r="DV14" s="1611">
        <f t="shared" si="13"/>
        <v>0</v>
      </c>
      <c r="DW14" s="1724">
        <f>30*0.185</f>
        <v>5.55</v>
      </c>
      <c r="DX14" s="1491">
        <f>0*0.185</f>
        <v>0</v>
      </c>
      <c r="DY14" s="1784">
        <f t="shared" si="14"/>
        <v>5.55</v>
      </c>
      <c r="DZ14" s="1642"/>
      <c r="EA14" s="1642"/>
      <c r="EB14" s="1642"/>
      <c r="EC14" s="1704"/>
      <c r="ED14" s="1642"/>
      <c r="EE14" s="1705"/>
      <c r="EF14" s="361">
        <f t="shared" si="15"/>
        <v>5</v>
      </c>
      <c r="EG14" s="361">
        <f t="shared" si="16"/>
        <v>0</v>
      </c>
      <c r="EH14" s="1538">
        <v>12</v>
      </c>
      <c r="EI14" s="1530"/>
      <c r="EJ14" s="1530"/>
      <c r="EK14" s="1530"/>
      <c r="EL14" s="1530"/>
      <c r="EM14" s="1530">
        <v>30</v>
      </c>
      <c r="EN14" s="1530">
        <v>30</v>
      </c>
      <c r="EO14" s="1530">
        <v>30</v>
      </c>
      <c r="EP14" s="1530">
        <v>30</v>
      </c>
      <c r="EQ14" s="1540"/>
    </row>
    <row r="15" spans="1:148" s="361" customFormat="1" ht="15" x14ac:dyDescent="0.25">
      <c r="A15" s="333">
        <v>12</v>
      </c>
      <c r="B15" s="329"/>
      <c r="C15" s="330"/>
      <c r="D15" s="329"/>
      <c r="E15" s="330"/>
      <c r="F15" s="329"/>
      <c r="G15" s="348"/>
      <c r="H15" s="330"/>
      <c r="I15" s="330"/>
      <c r="J15" s="329"/>
      <c r="K15" s="330"/>
      <c r="L15" s="329"/>
      <c r="M15" s="330"/>
      <c r="N15" s="329"/>
      <c r="O15" s="330"/>
      <c r="P15" s="343"/>
      <c r="Q15" s="330"/>
      <c r="R15" s="329"/>
      <c r="S15" s="330"/>
      <c r="T15" s="329"/>
      <c r="U15" s="330"/>
      <c r="V15" s="329"/>
      <c r="W15" s="330"/>
      <c r="X15" s="329"/>
      <c r="Y15" s="330"/>
      <c r="Z15" s="329"/>
      <c r="AA15" s="330"/>
      <c r="AB15" s="343"/>
      <c r="AC15" s="330"/>
      <c r="AD15" s="329"/>
      <c r="AE15" s="330"/>
      <c r="AF15" s="343"/>
      <c r="AG15" s="330"/>
      <c r="AH15" s="343"/>
      <c r="AI15" s="358"/>
      <c r="AJ15" s="330"/>
      <c r="AK15" s="330"/>
      <c r="AL15" s="329"/>
      <c r="AM15" s="330"/>
      <c r="AN15" s="343"/>
      <c r="AO15" s="330"/>
      <c r="AP15" s="343"/>
      <c r="AQ15" s="348"/>
      <c r="AR15" s="17"/>
      <c r="AS15" s="367"/>
      <c r="AT15" s="17"/>
      <c r="AU15" s="367"/>
      <c r="AV15" s="17"/>
      <c r="AW15" s="367"/>
      <c r="AX15" s="17"/>
      <c r="AY15" s="367"/>
      <c r="AZ15" s="17"/>
      <c r="BA15" s="367"/>
      <c r="BB15" s="368"/>
      <c r="BC15" s="367"/>
      <c r="BD15" s="368"/>
      <c r="BE15" s="367"/>
      <c r="BF15" s="350"/>
      <c r="BH15" s="725"/>
      <c r="BK15" s="732"/>
      <c r="BL15" s="350"/>
      <c r="BN15" s="725"/>
      <c r="BQ15" s="732"/>
      <c r="BR15" s="350"/>
      <c r="BT15" s="725"/>
      <c r="BW15" s="732"/>
      <c r="BX15" s="350"/>
      <c r="BZ15" s="725"/>
      <c r="CC15" s="732"/>
      <c r="CD15" s="350"/>
      <c r="CF15" s="725"/>
      <c r="CI15" s="732"/>
      <c r="CJ15" s="1490">
        <f t="shared" si="0"/>
        <v>0</v>
      </c>
      <c r="CK15" s="1491">
        <f t="shared" si="1"/>
        <v>0</v>
      </c>
      <c r="CL15" s="725">
        <f t="shared" si="4"/>
        <v>0</v>
      </c>
      <c r="CM15" s="1491">
        <f t="shared" si="5"/>
        <v>5.18</v>
      </c>
      <c r="CN15" s="1491">
        <f t="shared" si="6"/>
        <v>0</v>
      </c>
      <c r="CO15" s="732">
        <f t="shared" si="3"/>
        <v>5.18</v>
      </c>
      <c r="CP15" s="350"/>
      <c r="CR15" s="725"/>
      <c r="CU15" s="732"/>
      <c r="CV15" s="1490">
        <v>0</v>
      </c>
      <c r="CW15" s="1491">
        <v>0</v>
      </c>
      <c r="CX15" s="1611">
        <f t="shared" si="7"/>
        <v>0</v>
      </c>
      <c r="CY15" s="1491">
        <f>(16+7)*0.185</f>
        <v>4.2549999999999999</v>
      </c>
      <c r="CZ15" s="1491">
        <v>0</v>
      </c>
      <c r="DA15" s="1608">
        <f t="shared" si="8"/>
        <v>4.2549999999999999</v>
      </c>
      <c r="DB15" s="1490">
        <v>0</v>
      </c>
      <c r="DC15" s="1491">
        <v>0</v>
      </c>
      <c r="DD15" s="1611">
        <f t="shared" si="9"/>
        <v>0</v>
      </c>
      <c r="DE15" s="1491">
        <f>29*0.185</f>
        <v>5.3650000000000002</v>
      </c>
      <c r="DF15" s="1491">
        <f>1*0.185</f>
        <v>0.185</v>
      </c>
      <c r="DG15" s="1608">
        <f t="shared" si="10"/>
        <v>5.3807990000000006</v>
      </c>
      <c r="DH15" s="1129"/>
      <c r="DI15" s="725"/>
      <c r="DJ15" s="725"/>
      <c r="DK15" s="725"/>
      <c r="DL15" s="725"/>
      <c r="DM15" s="732"/>
      <c r="DN15" s="350">
        <v>0</v>
      </c>
      <c r="DO15" s="361">
        <v>0</v>
      </c>
      <c r="DP15" s="1611">
        <f t="shared" si="11"/>
        <v>0</v>
      </c>
      <c r="DQ15" s="1491">
        <f>23*0.185</f>
        <v>4.2549999999999999</v>
      </c>
      <c r="DR15" s="1491">
        <f>1*0.185</f>
        <v>0.185</v>
      </c>
      <c r="DS15" s="1784">
        <f t="shared" si="12"/>
        <v>4.2699850000000001</v>
      </c>
      <c r="DT15" s="1011">
        <v>0</v>
      </c>
      <c r="DU15" s="1011">
        <v>0</v>
      </c>
      <c r="DV15" s="1611">
        <f t="shared" si="13"/>
        <v>0</v>
      </c>
      <c r="DW15" s="1491">
        <f>21*0.185</f>
        <v>3.8849999999999998</v>
      </c>
      <c r="DX15" s="1491">
        <f>0*0.185</f>
        <v>0</v>
      </c>
      <c r="DY15" s="1784">
        <f t="shared" si="14"/>
        <v>3.8849999999999998</v>
      </c>
      <c r="DZ15" s="1642"/>
      <c r="EA15" s="1642"/>
      <c r="EB15" s="1642"/>
      <c r="EC15" s="1642"/>
      <c r="ED15" s="1642"/>
      <c r="EE15" s="1013"/>
      <c r="EF15" s="361">
        <f t="shared" si="15"/>
        <v>29</v>
      </c>
      <c r="EG15" s="361">
        <f t="shared" si="16"/>
        <v>1</v>
      </c>
      <c r="EH15" s="1538">
        <v>13</v>
      </c>
      <c r="EI15" s="1530"/>
      <c r="EJ15" s="1530"/>
      <c r="EK15" s="1530"/>
      <c r="EL15" s="1530"/>
      <c r="EM15" s="1530">
        <v>28</v>
      </c>
      <c r="EN15" s="1530">
        <v>28</v>
      </c>
      <c r="EO15" s="1530">
        <v>28</v>
      </c>
      <c r="EP15" s="1530">
        <v>28</v>
      </c>
      <c r="EQ15" s="1539"/>
    </row>
    <row r="16" spans="1:148" s="361" customFormat="1" ht="15" x14ac:dyDescent="0.25">
      <c r="A16" s="333">
        <v>13</v>
      </c>
      <c r="B16" s="329"/>
      <c r="C16" s="330"/>
      <c r="D16" s="329"/>
      <c r="E16" s="330"/>
      <c r="F16" s="329"/>
      <c r="G16" s="348"/>
      <c r="H16" s="330"/>
      <c r="I16" s="330"/>
      <c r="J16" s="329"/>
      <c r="K16" s="330"/>
      <c r="L16" s="329"/>
      <c r="M16" s="330"/>
      <c r="N16" s="329"/>
      <c r="O16" s="330"/>
      <c r="P16" s="343"/>
      <c r="Q16" s="330"/>
      <c r="R16" s="329"/>
      <c r="S16" s="330"/>
      <c r="T16" s="329"/>
      <c r="U16" s="330"/>
      <c r="V16" s="329"/>
      <c r="W16" s="330"/>
      <c r="X16" s="329"/>
      <c r="Y16" s="330"/>
      <c r="Z16" s="329"/>
      <c r="AA16" s="330"/>
      <c r="AB16" s="343"/>
      <c r="AC16" s="330"/>
      <c r="AD16" s="329"/>
      <c r="AE16" s="330"/>
      <c r="AF16" s="343"/>
      <c r="AG16" s="330"/>
      <c r="AH16" s="343"/>
      <c r="AI16" s="358"/>
      <c r="AJ16" s="330"/>
      <c r="AK16" s="330"/>
      <c r="AL16" s="329"/>
      <c r="AM16" s="330"/>
      <c r="AN16" s="343"/>
      <c r="AO16" s="330"/>
      <c r="AP16" s="343"/>
      <c r="AQ16" s="348"/>
      <c r="AR16" s="17"/>
      <c r="AS16" s="367"/>
      <c r="AT16" s="17"/>
      <c r="AU16" s="367"/>
      <c r="AV16" s="17"/>
      <c r="AW16" s="367"/>
      <c r="AX16" s="17"/>
      <c r="AY16" s="367"/>
      <c r="AZ16" s="17"/>
      <c r="BA16" s="367"/>
      <c r="BB16" s="368"/>
      <c r="BC16" s="367"/>
      <c r="BD16" s="368"/>
      <c r="BE16" s="367"/>
      <c r="BF16" s="350"/>
      <c r="BH16" s="725"/>
      <c r="BK16" s="732"/>
      <c r="BL16" s="350"/>
      <c r="BN16" s="725"/>
      <c r="BQ16" s="732"/>
      <c r="BR16" s="350"/>
      <c r="BT16" s="725"/>
      <c r="BW16" s="732"/>
      <c r="BX16" s="350"/>
      <c r="BZ16" s="725"/>
      <c r="CC16" s="732"/>
      <c r="CD16" s="350"/>
      <c r="CF16" s="725"/>
      <c r="CI16" s="732"/>
      <c r="CJ16" s="1490">
        <f t="shared" si="0"/>
        <v>0</v>
      </c>
      <c r="CK16" s="1491">
        <f t="shared" si="1"/>
        <v>0</v>
      </c>
      <c r="CL16" s="725">
        <f t="shared" si="4"/>
        <v>0</v>
      </c>
      <c r="CM16" s="1491">
        <f t="shared" si="5"/>
        <v>2.59</v>
      </c>
      <c r="CN16" s="1491">
        <f t="shared" si="6"/>
        <v>0.185</v>
      </c>
      <c r="CO16" s="732">
        <f t="shared" si="3"/>
        <v>2.6062429999999996</v>
      </c>
      <c r="CP16" s="350"/>
      <c r="CR16" s="725"/>
      <c r="CU16" s="732"/>
      <c r="CV16" s="1490">
        <v>0</v>
      </c>
      <c r="CW16" s="1491">
        <v>0</v>
      </c>
      <c r="CX16" s="1611">
        <f t="shared" si="7"/>
        <v>0</v>
      </c>
      <c r="CY16" s="1491">
        <f>16*0.185</f>
        <v>2.96</v>
      </c>
      <c r="CZ16" s="1491">
        <v>0</v>
      </c>
      <c r="DA16" s="1608">
        <f t="shared" si="8"/>
        <v>2.96</v>
      </c>
      <c r="DB16" s="1129"/>
      <c r="DC16" s="725"/>
      <c r="DD16" s="725"/>
      <c r="DE16" s="725"/>
      <c r="DF16" s="725"/>
      <c r="DG16" s="732"/>
      <c r="DH16" s="1129"/>
      <c r="DI16" s="725"/>
      <c r="DJ16" s="725"/>
      <c r="DK16" s="725"/>
      <c r="DL16" s="725"/>
      <c r="DM16" s="732"/>
      <c r="DN16" s="350">
        <v>1</v>
      </c>
      <c r="DO16" s="361">
        <v>0</v>
      </c>
      <c r="DP16" s="1611">
        <f t="shared" si="11"/>
        <v>1</v>
      </c>
      <c r="DQ16" s="1724">
        <f>22*0.185</f>
        <v>4.07</v>
      </c>
      <c r="DR16" s="1491">
        <f>1*0.185</f>
        <v>0.185</v>
      </c>
      <c r="DS16" s="1784">
        <f t="shared" si="12"/>
        <v>4.0849850000000005</v>
      </c>
      <c r="DT16" s="1011">
        <v>1</v>
      </c>
      <c r="DU16" s="1011">
        <v>0</v>
      </c>
      <c r="DV16" s="1611">
        <f t="shared" si="13"/>
        <v>1</v>
      </c>
      <c r="DW16" s="1724">
        <f>31*0.185</f>
        <v>5.7350000000000003</v>
      </c>
      <c r="DX16" s="1491">
        <f>1*0.185</f>
        <v>0.185</v>
      </c>
      <c r="DY16" s="1784">
        <f t="shared" si="14"/>
        <v>5.7510210000000006</v>
      </c>
      <c r="DZ16" s="1642"/>
      <c r="EA16" s="1642"/>
      <c r="EB16" s="1642"/>
      <c r="EC16" s="1704"/>
      <c r="ED16" s="1642"/>
      <c r="EE16" s="1705"/>
      <c r="EF16" s="361">
        <f t="shared" si="15"/>
        <v>0</v>
      </c>
      <c r="EG16" s="361">
        <f t="shared" si="16"/>
        <v>0</v>
      </c>
      <c r="EH16" s="1538">
        <v>14</v>
      </c>
      <c r="EI16" s="1530"/>
      <c r="EJ16" s="1530"/>
      <c r="EK16" s="1530"/>
      <c r="EL16" s="1530">
        <v>1</v>
      </c>
      <c r="EM16" s="1530">
        <v>14</v>
      </c>
      <c r="EN16" s="1530">
        <v>15</v>
      </c>
      <c r="EO16" s="1530">
        <v>15</v>
      </c>
      <c r="EP16" s="1530">
        <v>16</v>
      </c>
      <c r="EQ16" s="1539">
        <v>1</v>
      </c>
    </row>
    <row r="17" spans="1:147" s="361" customFormat="1" ht="15" x14ac:dyDescent="0.25">
      <c r="A17" s="333">
        <v>14</v>
      </c>
      <c r="B17" s="329"/>
      <c r="C17" s="330"/>
      <c r="D17" s="329"/>
      <c r="E17" s="330"/>
      <c r="F17" s="329"/>
      <c r="G17" s="348"/>
      <c r="H17" s="330"/>
      <c r="I17" s="330"/>
      <c r="J17" s="329"/>
      <c r="K17" s="330"/>
      <c r="L17" s="329"/>
      <c r="M17" s="330"/>
      <c r="N17" s="329"/>
      <c r="O17" s="330"/>
      <c r="P17" s="343"/>
      <c r="Q17" s="330"/>
      <c r="R17" s="329"/>
      <c r="S17" s="330"/>
      <c r="T17" s="329"/>
      <c r="U17" s="330"/>
      <c r="V17" s="329"/>
      <c r="W17" s="330"/>
      <c r="X17" s="329"/>
      <c r="Y17" s="330"/>
      <c r="Z17" s="329"/>
      <c r="AA17" s="330"/>
      <c r="AB17" s="343"/>
      <c r="AC17" s="330"/>
      <c r="AD17" s="329"/>
      <c r="AE17" s="330"/>
      <c r="AF17" s="343"/>
      <c r="AG17" s="330"/>
      <c r="AH17" s="343"/>
      <c r="AI17" s="358"/>
      <c r="AJ17" s="330"/>
      <c r="AK17" s="330"/>
      <c r="AL17" s="329"/>
      <c r="AM17" s="330"/>
      <c r="AN17" s="343"/>
      <c r="AO17" s="330"/>
      <c r="AP17" s="343"/>
      <c r="AQ17" s="348"/>
      <c r="AR17" s="17"/>
      <c r="AS17" s="367"/>
      <c r="AT17" s="17"/>
      <c r="AU17" s="367"/>
      <c r="AV17" s="17"/>
      <c r="AW17" s="367"/>
      <c r="AX17" s="17"/>
      <c r="AY17" s="367"/>
      <c r="AZ17" s="17"/>
      <c r="BA17" s="367"/>
      <c r="BB17" s="368"/>
      <c r="BC17" s="367"/>
      <c r="BD17" s="368"/>
      <c r="BE17" s="367"/>
      <c r="BF17" s="350"/>
      <c r="BH17" s="725"/>
      <c r="BK17" s="732"/>
      <c r="BL17" s="350"/>
      <c r="BN17" s="725"/>
      <c r="BQ17" s="732"/>
      <c r="BR17" s="350"/>
      <c r="BT17" s="725"/>
      <c r="BW17" s="732"/>
      <c r="BX17" s="350"/>
      <c r="BZ17" s="725"/>
      <c r="CC17" s="732"/>
      <c r="CD17" s="350"/>
      <c r="CF17" s="725"/>
      <c r="CI17" s="732"/>
      <c r="CJ17" s="1490">
        <f t="shared" si="0"/>
        <v>0</v>
      </c>
      <c r="CK17" s="1491">
        <f t="shared" si="1"/>
        <v>0</v>
      </c>
      <c r="CL17" s="725">
        <f t="shared" si="4"/>
        <v>0</v>
      </c>
      <c r="CM17" s="1491">
        <f t="shared" si="5"/>
        <v>5.18</v>
      </c>
      <c r="CN17" s="1491">
        <f t="shared" si="6"/>
        <v>0.185</v>
      </c>
      <c r="CO17" s="732">
        <f t="shared" si="3"/>
        <v>5.1962429999999999</v>
      </c>
      <c r="CP17" s="350"/>
      <c r="CR17" s="725"/>
      <c r="CU17" s="732"/>
      <c r="CV17" s="1490">
        <v>0</v>
      </c>
      <c r="CW17" s="1491">
        <v>0</v>
      </c>
      <c r="CX17" s="1611">
        <f t="shared" si="7"/>
        <v>0</v>
      </c>
      <c r="CY17" s="1491">
        <f>10*0.185</f>
        <v>1.85</v>
      </c>
      <c r="CZ17" s="1491">
        <f>3*0.185</f>
        <v>0.55499999999999994</v>
      </c>
      <c r="DA17" s="1608">
        <f t="shared" si="8"/>
        <v>1.8996170000000001</v>
      </c>
      <c r="DB17" s="1129"/>
      <c r="DC17" s="725"/>
      <c r="DD17" s="725"/>
      <c r="DE17" s="725"/>
      <c r="DF17" s="725"/>
      <c r="DG17" s="732"/>
      <c r="DH17" s="1129"/>
      <c r="DI17" s="725"/>
      <c r="DJ17" s="725"/>
      <c r="DK17" s="725"/>
      <c r="DL17" s="725"/>
      <c r="DM17" s="732"/>
      <c r="DN17" s="350">
        <v>0</v>
      </c>
      <c r="DO17" s="361">
        <v>0</v>
      </c>
      <c r="DP17" s="1611">
        <f t="shared" si="11"/>
        <v>0</v>
      </c>
      <c r="DQ17" s="1491">
        <f>22*0.185</f>
        <v>4.07</v>
      </c>
      <c r="DR17" s="1491">
        <f>1*0.185</f>
        <v>0.185</v>
      </c>
      <c r="DS17" s="1784">
        <f t="shared" si="12"/>
        <v>4.0849850000000005</v>
      </c>
      <c r="DT17" s="1011">
        <v>0</v>
      </c>
      <c r="DU17" s="1011">
        <v>0</v>
      </c>
      <c r="DV17" s="1611">
        <f t="shared" si="13"/>
        <v>0</v>
      </c>
      <c r="DW17" s="1491">
        <f>21*0.185</f>
        <v>3.8849999999999998</v>
      </c>
      <c r="DX17" s="1491">
        <f>0*0.185</f>
        <v>0</v>
      </c>
      <c r="DY17" s="1784">
        <f t="shared" si="14"/>
        <v>3.8849999999999998</v>
      </c>
      <c r="DZ17" s="1642"/>
      <c r="EA17" s="1642"/>
      <c r="EB17" s="1642"/>
      <c r="EC17" s="1642"/>
      <c r="ED17" s="1642"/>
      <c r="EE17" s="1013"/>
      <c r="EF17" s="361">
        <f t="shared" si="15"/>
        <v>0</v>
      </c>
      <c r="EG17" s="361">
        <f t="shared" si="16"/>
        <v>0</v>
      </c>
      <c r="EH17" s="1538">
        <v>15</v>
      </c>
      <c r="EI17" s="1530"/>
      <c r="EJ17" s="1530"/>
      <c r="EK17" s="1530"/>
      <c r="EL17" s="1530">
        <v>1</v>
      </c>
      <c r="EM17" s="1530">
        <v>28</v>
      </c>
      <c r="EN17" s="1530">
        <v>29</v>
      </c>
      <c r="EO17" s="1530">
        <v>29</v>
      </c>
      <c r="EP17" s="1530">
        <v>30</v>
      </c>
      <c r="EQ17" s="1540">
        <v>1</v>
      </c>
    </row>
    <row r="18" spans="1:147" s="361" customFormat="1" ht="15" x14ac:dyDescent="0.25">
      <c r="A18" s="333">
        <v>15</v>
      </c>
      <c r="B18" s="329"/>
      <c r="C18" s="330"/>
      <c r="D18" s="329"/>
      <c r="E18" s="330"/>
      <c r="F18" s="329"/>
      <c r="G18" s="348"/>
      <c r="H18" s="330"/>
      <c r="I18" s="330"/>
      <c r="J18" s="329"/>
      <c r="K18" s="330"/>
      <c r="L18" s="329"/>
      <c r="M18" s="330"/>
      <c r="N18" s="329"/>
      <c r="O18" s="330"/>
      <c r="P18" s="343"/>
      <c r="Q18" s="330"/>
      <c r="R18" s="329"/>
      <c r="S18" s="330"/>
      <c r="T18" s="329"/>
      <c r="U18" s="330"/>
      <c r="V18" s="329"/>
      <c r="W18" s="330"/>
      <c r="X18" s="329"/>
      <c r="Y18" s="330"/>
      <c r="Z18" s="329"/>
      <c r="AA18" s="330"/>
      <c r="AB18" s="343"/>
      <c r="AC18" s="330"/>
      <c r="AD18" s="329"/>
      <c r="AE18" s="330"/>
      <c r="AF18" s="343"/>
      <c r="AG18" s="330"/>
      <c r="AH18" s="343"/>
      <c r="AI18" s="358"/>
      <c r="AJ18" s="330"/>
      <c r="AK18" s="330"/>
      <c r="AL18" s="329"/>
      <c r="AM18" s="330"/>
      <c r="AN18" s="343"/>
      <c r="AO18" s="330"/>
      <c r="AP18" s="343"/>
      <c r="AQ18" s="348"/>
      <c r="AR18" s="17"/>
      <c r="AS18" s="367"/>
      <c r="AT18" s="17"/>
      <c r="AU18" s="367"/>
      <c r="AV18" s="17"/>
      <c r="AW18" s="367"/>
      <c r="AX18" s="17"/>
      <c r="AY18" s="367"/>
      <c r="AZ18" s="17"/>
      <c r="BA18" s="367"/>
      <c r="BB18" s="368"/>
      <c r="BC18" s="367"/>
      <c r="BD18" s="368"/>
      <c r="BE18" s="367"/>
      <c r="BF18" s="350"/>
      <c r="BH18" s="725"/>
      <c r="BK18" s="732"/>
      <c r="BL18" s="350"/>
      <c r="BN18" s="725"/>
      <c r="BQ18" s="732"/>
      <c r="BR18" s="350"/>
      <c r="BT18" s="725"/>
      <c r="BW18" s="732"/>
      <c r="BX18" s="350"/>
      <c r="BZ18" s="725"/>
      <c r="CC18" s="732"/>
      <c r="CD18" s="350"/>
      <c r="CF18" s="725"/>
      <c r="CI18" s="732"/>
      <c r="CJ18" s="1490">
        <f t="shared" si="0"/>
        <v>0</v>
      </c>
      <c r="CK18" s="1491">
        <f t="shared" si="1"/>
        <v>0</v>
      </c>
      <c r="CL18" s="725">
        <f t="shared" si="4"/>
        <v>0</v>
      </c>
      <c r="CM18" s="1491">
        <f t="shared" si="5"/>
        <v>1.85</v>
      </c>
      <c r="CN18" s="1491">
        <f t="shared" si="6"/>
        <v>0.74</v>
      </c>
      <c r="CO18" s="732">
        <f t="shared" si="3"/>
        <v>1.9149720000000001</v>
      </c>
      <c r="CP18" s="350"/>
      <c r="CR18" s="725"/>
      <c r="CU18" s="732"/>
      <c r="CV18" s="1490">
        <v>0</v>
      </c>
      <c r="CW18" s="1491">
        <v>0</v>
      </c>
      <c r="CX18" s="1611">
        <f t="shared" si="7"/>
        <v>0</v>
      </c>
      <c r="CY18" s="1491">
        <f>14*0.185</f>
        <v>2.59</v>
      </c>
      <c r="CZ18" s="1491">
        <f>5*0.185</f>
        <v>0.92500000000000004</v>
      </c>
      <c r="DA18" s="1608">
        <f t="shared" si="8"/>
        <v>2.672695</v>
      </c>
      <c r="DB18" s="1129"/>
      <c r="DC18" s="725"/>
      <c r="DD18" s="725"/>
      <c r="DE18" s="725"/>
      <c r="DF18" s="725"/>
      <c r="DG18" s="732"/>
      <c r="DH18" s="1129"/>
      <c r="DI18" s="725"/>
      <c r="DJ18" s="725"/>
      <c r="DK18" s="725"/>
      <c r="DL18" s="725"/>
      <c r="DM18" s="732"/>
      <c r="DN18" s="350">
        <v>0</v>
      </c>
      <c r="DO18" s="361">
        <v>0</v>
      </c>
      <c r="DP18" s="1611">
        <f t="shared" si="11"/>
        <v>0</v>
      </c>
      <c r="DQ18" s="1491">
        <f>11*0.185</f>
        <v>2.0350000000000001</v>
      </c>
      <c r="DR18" s="1491">
        <f>1*0.185</f>
        <v>0.185</v>
      </c>
      <c r="DS18" s="1784">
        <f t="shared" si="12"/>
        <v>2.0499849999999999</v>
      </c>
      <c r="DT18" s="1011">
        <v>0</v>
      </c>
      <c r="DU18" s="1011">
        <v>0</v>
      </c>
      <c r="DV18" s="1611">
        <f t="shared" si="13"/>
        <v>0</v>
      </c>
      <c r="DW18" s="1491">
        <f>22*0.185</f>
        <v>4.07</v>
      </c>
      <c r="DX18" s="1491">
        <f>2*0.185</f>
        <v>0.37</v>
      </c>
      <c r="DY18" s="1784">
        <f t="shared" si="14"/>
        <v>4.102042</v>
      </c>
      <c r="DZ18" s="1642"/>
      <c r="EA18" s="1642"/>
      <c r="EB18" s="1642"/>
      <c r="EC18" s="1642"/>
      <c r="ED18" s="1642"/>
      <c r="EE18" s="1013"/>
      <c r="EF18" s="361">
        <f t="shared" si="15"/>
        <v>0</v>
      </c>
      <c r="EG18" s="361">
        <f t="shared" si="16"/>
        <v>0</v>
      </c>
      <c r="EH18" s="1538">
        <v>16</v>
      </c>
      <c r="EI18" s="1530"/>
      <c r="EJ18" s="1530"/>
      <c r="EK18" s="1530"/>
      <c r="EL18" s="1530">
        <v>4</v>
      </c>
      <c r="EM18" s="1530">
        <v>10</v>
      </c>
      <c r="EN18" s="1530">
        <v>14</v>
      </c>
      <c r="EO18" s="1530">
        <v>14</v>
      </c>
      <c r="EP18" s="1530">
        <v>14</v>
      </c>
      <c r="EQ18" s="1540">
        <v>1</v>
      </c>
    </row>
    <row r="19" spans="1:147" ht="15" x14ac:dyDescent="0.25">
      <c r="A19" s="333">
        <v>16</v>
      </c>
      <c r="B19" s="329"/>
      <c r="C19" s="330"/>
      <c r="D19" s="329"/>
      <c r="E19" s="330"/>
      <c r="F19" s="329"/>
      <c r="G19" s="348"/>
      <c r="H19" s="330"/>
      <c r="I19" s="330"/>
      <c r="J19" s="329"/>
      <c r="K19" s="330"/>
      <c r="L19" s="329"/>
      <c r="M19" s="330"/>
      <c r="N19" s="329"/>
      <c r="O19" s="330"/>
      <c r="P19" s="343"/>
      <c r="Q19" s="330"/>
      <c r="R19" s="329"/>
      <c r="S19" s="330"/>
      <c r="T19" s="329"/>
      <c r="U19" s="330">
        <v>9</v>
      </c>
      <c r="V19" s="329"/>
      <c r="W19" s="330"/>
      <c r="X19" s="329"/>
      <c r="Y19" s="330"/>
      <c r="Z19" s="329"/>
      <c r="AA19" s="330"/>
      <c r="AB19" s="343"/>
      <c r="AC19" s="330"/>
      <c r="AD19" s="329"/>
      <c r="AE19" s="330"/>
      <c r="AF19" s="343"/>
      <c r="AG19" s="330"/>
      <c r="AH19" s="343"/>
      <c r="AI19" s="358"/>
      <c r="AJ19" s="330"/>
      <c r="AK19" s="330"/>
      <c r="AL19" s="329"/>
      <c r="AM19" s="330"/>
      <c r="AN19" s="343"/>
      <c r="AO19" s="330"/>
      <c r="AP19" s="343"/>
      <c r="AQ19" s="348"/>
      <c r="AS19" s="367"/>
      <c r="AU19" s="367"/>
      <c r="AW19" s="367"/>
      <c r="AY19" s="367"/>
      <c r="BA19" s="367"/>
      <c r="BB19" s="368"/>
      <c r="BC19" s="367"/>
      <c r="BD19" s="368"/>
      <c r="BE19" s="367"/>
      <c r="BF19" s="350"/>
      <c r="BG19" s="361"/>
      <c r="BH19" s="725"/>
      <c r="BI19" s="361"/>
      <c r="BJ19" s="361"/>
      <c r="BK19" s="732"/>
      <c r="BL19" s="350"/>
      <c r="BM19" s="361"/>
      <c r="BN19" s="725"/>
      <c r="BO19" s="361"/>
      <c r="BP19" s="361"/>
      <c r="BQ19" s="732"/>
      <c r="BR19" s="350"/>
      <c r="BS19" s="361"/>
      <c r="BT19" s="725"/>
      <c r="BU19" s="361"/>
      <c r="BV19" s="361"/>
      <c r="BW19" s="732"/>
      <c r="BX19" s="350"/>
      <c r="BY19" s="361"/>
      <c r="BZ19" s="725"/>
      <c r="CA19" s="361"/>
      <c r="CB19" s="361"/>
      <c r="CC19" s="732"/>
      <c r="CD19" s="350"/>
      <c r="CE19" s="361"/>
      <c r="CF19" s="725"/>
      <c r="CG19" s="361"/>
      <c r="CH19" s="361"/>
      <c r="CI19" s="732"/>
      <c r="CJ19" s="1490">
        <f t="shared" si="0"/>
        <v>0</v>
      </c>
      <c r="CK19" s="1491">
        <f t="shared" si="1"/>
        <v>0</v>
      </c>
      <c r="CL19" s="725">
        <f t="shared" si="4"/>
        <v>0</v>
      </c>
      <c r="CM19" s="1491">
        <f t="shared" si="5"/>
        <v>1.48</v>
      </c>
      <c r="CN19" s="1491">
        <f t="shared" si="6"/>
        <v>0.37</v>
      </c>
      <c r="CO19" s="732">
        <f t="shared" si="3"/>
        <v>1.512486</v>
      </c>
      <c r="CP19" s="350"/>
      <c r="CQ19" s="361"/>
      <c r="CR19" s="725"/>
      <c r="CS19" s="361"/>
      <c r="CT19" s="361"/>
      <c r="CU19" s="732"/>
      <c r="CV19" s="1490">
        <v>0</v>
      </c>
      <c r="CW19" s="1491">
        <v>0</v>
      </c>
      <c r="CX19" s="1611">
        <f t="shared" si="7"/>
        <v>0</v>
      </c>
      <c r="CY19" s="1491">
        <f>44*0.185</f>
        <v>8.14</v>
      </c>
      <c r="CZ19" s="1491">
        <f>3*0.185</f>
        <v>0.55499999999999994</v>
      </c>
      <c r="DA19" s="1608">
        <f t="shared" si="8"/>
        <v>8.1896170000000001</v>
      </c>
      <c r="DB19" s="1129"/>
      <c r="DC19" s="725"/>
      <c r="DD19" s="725"/>
      <c r="DE19" s="725"/>
      <c r="DF19" s="725"/>
      <c r="DG19" s="732"/>
      <c r="DH19" s="1129"/>
      <c r="DI19" s="725"/>
      <c r="DJ19" s="725"/>
      <c r="DK19" s="725"/>
      <c r="DL19" s="725"/>
      <c r="DM19" s="732"/>
      <c r="DN19" s="350">
        <v>0</v>
      </c>
      <c r="DO19" s="361">
        <v>0</v>
      </c>
      <c r="DP19" s="1611">
        <f t="shared" si="11"/>
        <v>0</v>
      </c>
      <c r="DQ19" s="1491">
        <f>20*0.185</f>
        <v>3.7</v>
      </c>
      <c r="DR19" s="1491">
        <f>1*0.185</f>
        <v>0.185</v>
      </c>
      <c r="DS19" s="1784">
        <f t="shared" si="12"/>
        <v>3.714985</v>
      </c>
      <c r="DT19" s="1011">
        <v>0</v>
      </c>
      <c r="DU19" s="1011">
        <v>0</v>
      </c>
      <c r="DV19" s="1611">
        <f t="shared" si="13"/>
        <v>0</v>
      </c>
      <c r="DW19" s="1491">
        <f>5*0.185</f>
        <v>0.92500000000000004</v>
      </c>
      <c r="DX19" s="1491">
        <f>1*0.185</f>
        <v>0.185</v>
      </c>
      <c r="DY19" s="1784">
        <f t="shared" si="14"/>
        <v>0.941021</v>
      </c>
      <c r="DZ19" s="1642"/>
      <c r="EA19" s="1642"/>
      <c r="EB19" s="1642"/>
      <c r="EC19" s="1642"/>
      <c r="ED19" s="1642"/>
      <c r="EE19" s="1013"/>
      <c r="EF19" s="361">
        <f t="shared" si="15"/>
        <v>0</v>
      </c>
      <c r="EG19" s="361">
        <f t="shared" si="16"/>
        <v>0</v>
      </c>
      <c r="EH19" s="1538">
        <v>17</v>
      </c>
      <c r="EI19" s="1530"/>
      <c r="EJ19" s="1530"/>
      <c r="EK19" s="1530"/>
      <c r="EL19" s="1530">
        <v>2</v>
      </c>
      <c r="EM19" s="1530">
        <v>8</v>
      </c>
      <c r="EN19" s="1530">
        <v>10</v>
      </c>
      <c r="EO19" s="1530">
        <v>10</v>
      </c>
      <c r="EP19" s="1530">
        <v>11</v>
      </c>
      <c r="EQ19" s="1540">
        <v>1</v>
      </c>
    </row>
    <row r="20" spans="1:147" ht="15" x14ac:dyDescent="0.25">
      <c r="A20" s="333">
        <v>17</v>
      </c>
      <c r="B20" s="335"/>
      <c r="C20" s="336"/>
      <c r="D20" s="335"/>
      <c r="E20" s="336"/>
      <c r="F20" s="335"/>
      <c r="G20" s="347"/>
      <c r="H20" s="336"/>
      <c r="I20" s="336"/>
      <c r="J20" s="335"/>
      <c r="K20" s="336"/>
      <c r="L20" s="335"/>
      <c r="M20" s="336"/>
      <c r="N20" s="335"/>
      <c r="O20" s="336"/>
      <c r="P20" s="344"/>
      <c r="Q20" s="336"/>
      <c r="R20" s="335"/>
      <c r="S20" s="336"/>
      <c r="T20" s="335"/>
      <c r="U20" s="336"/>
      <c r="V20" s="335"/>
      <c r="W20" s="336"/>
      <c r="X20" s="335"/>
      <c r="Y20" s="336"/>
      <c r="Z20" s="335"/>
      <c r="AA20" s="336"/>
      <c r="AB20" s="344"/>
      <c r="AC20" s="336"/>
      <c r="AD20" s="335"/>
      <c r="AE20" s="336"/>
      <c r="AF20" s="344"/>
      <c r="AG20" s="336"/>
      <c r="AH20" s="344"/>
      <c r="AI20" s="357"/>
      <c r="AJ20" s="336"/>
      <c r="AK20" s="336"/>
      <c r="AL20" s="335"/>
      <c r="AM20" s="336"/>
      <c r="AN20" s="344"/>
      <c r="AO20" s="336"/>
      <c r="AP20" s="344"/>
      <c r="AQ20" s="347"/>
      <c r="AR20" s="29"/>
      <c r="AS20" s="365"/>
      <c r="AT20" s="29"/>
      <c r="AU20" s="365"/>
      <c r="AV20" s="29"/>
      <c r="AW20" s="365"/>
      <c r="AX20" s="29"/>
      <c r="AY20" s="365"/>
      <c r="AZ20" s="29"/>
      <c r="BA20" s="365"/>
      <c r="BB20" s="366"/>
      <c r="BC20" s="365"/>
      <c r="BD20" s="366"/>
      <c r="BE20" s="365"/>
      <c r="BF20" s="557"/>
      <c r="BG20" s="712"/>
      <c r="BH20" s="724"/>
      <c r="BI20" s="712"/>
      <c r="BJ20" s="712"/>
      <c r="BK20" s="731"/>
      <c r="BL20" s="557"/>
      <c r="BM20" s="712"/>
      <c r="BN20" s="724"/>
      <c r="BO20" s="712"/>
      <c r="BP20" s="712"/>
      <c r="BQ20" s="731"/>
      <c r="BR20" s="557"/>
      <c r="BS20" s="712"/>
      <c r="BT20" s="724"/>
      <c r="BU20" s="712"/>
      <c r="BV20" s="712"/>
      <c r="BW20" s="731"/>
      <c r="BX20" s="557"/>
      <c r="BY20" s="712"/>
      <c r="BZ20" s="724"/>
      <c r="CA20" s="712"/>
      <c r="CB20" s="712"/>
      <c r="CC20" s="731"/>
      <c r="CD20" s="557"/>
      <c r="CE20" s="712"/>
      <c r="CF20" s="724"/>
      <c r="CG20" s="712"/>
      <c r="CH20" s="712"/>
      <c r="CI20" s="731"/>
      <c r="CJ20" s="1492">
        <f t="shared" si="0"/>
        <v>0</v>
      </c>
      <c r="CK20" s="1493">
        <f t="shared" si="1"/>
        <v>1</v>
      </c>
      <c r="CL20" s="724">
        <f t="shared" si="4"/>
        <v>8.7800000000000003E-2</v>
      </c>
      <c r="CM20" s="1493">
        <f t="shared" si="5"/>
        <v>0.74</v>
      </c>
      <c r="CN20" s="1493">
        <f t="shared" si="6"/>
        <v>0.55499999999999994</v>
      </c>
      <c r="CO20" s="731">
        <f t="shared" si="3"/>
        <v>0.78872900000000001</v>
      </c>
      <c r="CP20" s="557"/>
      <c r="CQ20" s="712"/>
      <c r="CR20" s="724"/>
      <c r="CS20" s="712"/>
      <c r="CT20" s="712"/>
      <c r="CU20" s="731"/>
      <c r="CV20" s="1492">
        <v>0</v>
      </c>
      <c r="CW20" s="1493">
        <v>0</v>
      </c>
      <c r="CX20" s="1619">
        <f t="shared" si="7"/>
        <v>0</v>
      </c>
      <c r="CY20" s="1639">
        <f>3*0.185+1</f>
        <v>1.5549999999999999</v>
      </c>
      <c r="CZ20" s="1493">
        <f>3*0.185</f>
        <v>0.55499999999999994</v>
      </c>
      <c r="DA20" s="1609">
        <f t="shared" si="8"/>
        <v>1.604617</v>
      </c>
      <c r="DB20" s="1123"/>
      <c r="DC20" s="724"/>
      <c r="DD20" s="724"/>
      <c r="DE20" s="724"/>
      <c r="DF20" s="724"/>
      <c r="DG20" s="731"/>
      <c r="DH20" s="1123"/>
      <c r="DI20" s="724"/>
      <c r="DJ20" s="724"/>
      <c r="DK20" s="724"/>
      <c r="DL20" s="724"/>
      <c r="DM20" s="731"/>
      <c r="DN20" s="557">
        <v>0</v>
      </c>
      <c r="DO20" s="712">
        <v>0</v>
      </c>
      <c r="DP20" s="1619">
        <f t="shared" si="11"/>
        <v>0</v>
      </c>
      <c r="DQ20" s="1493">
        <f>19*0.185</f>
        <v>3.5150000000000001</v>
      </c>
      <c r="DR20" s="1493">
        <f>6*0.185</f>
        <v>1.1099999999999999</v>
      </c>
      <c r="DS20" s="1785">
        <f t="shared" si="12"/>
        <v>3.6049100000000003</v>
      </c>
      <c r="DT20" s="1859">
        <v>0</v>
      </c>
      <c r="DU20" s="1859">
        <v>0</v>
      </c>
      <c r="DV20" s="1619">
        <f t="shared" si="13"/>
        <v>0</v>
      </c>
      <c r="DW20" s="1493">
        <f>7*0.185</f>
        <v>1.2949999999999999</v>
      </c>
      <c r="DX20" s="1493">
        <f>4*0.185</f>
        <v>0.74</v>
      </c>
      <c r="DY20" s="1785">
        <f t="shared" si="14"/>
        <v>1.359084</v>
      </c>
      <c r="DZ20" s="1706"/>
      <c r="EA20" s="1706"/>
      <c r="EB20" s="1706"/>
      <c r="EC20" s="1706"/>
      <c r="ED20" s="1706"/>
      <c r="EE20" s="1707"/>
      <c r="EF20" s="361">
        <f t="shared" si="15"/>
        <v>0</v>
      </c>
      <c r="EG20" s="361">
        <f t="shared" si="16"/>
        <v>0</v>
      </c>
      <c r="EH20" s="1538">
        <v>18</v>
      </c>
      <c r="EI20" s="1530">
        <v>1</v>
      </c>
      <c r="EJ20" s="1530"/>
      <c r="EK20" s="1530">
        <v>1</v>
      </c>
      <c r="EL20" s="1530">
        <v>3</v>
      </c>
      <c r="EM20" s="1530">
        <v>4</v>
      </c>
      <c r="EN20" s="1530">
        <v>7</v>
      </c>
      <c r="EO20" s="1530">
        <v>8</v>
      </c>
      <c r="EP20" s="1530">
        <v>8</v>
      </c>
      <c r="EQ20" s="1540"/>
    </row>
    <row r="21" spans="1:147" ht="15" x14ac:dyDescent="0.25">
      <c r="A21" s="332">
        <v>18</v>
      </c>
      <c r="B21" s="329"/>
      <c r="C21" s="331"/>
      <c r="D21" s="329"/>
      <c r="E21" s="331"/>
      <c r="F21" s="329"/>
      <c r="G21" s="348"/>
      <c r="H21" s="331"/>
      <c r="I21" s="331"/>
      <c r="J21" s="329"/>
      <c r="K21" s="331"/>
      <c r="L21" s="329"/>
      <c r="M21" s="331">
        <v>3</v>
      </c>
      <c r="N21" s="329"/>
      <c r="O21" s="331"/>
      <c r="P21" s="343"/>
      <c r="Q21" s="330"/>
      <c r="R21" s="329"/>
      <c r="S21" s="331"/>
      <c r="T21" s="329"/>
      <c r="U21" s="331"/>
      <c r="V21" s="329"/>
      <c r="W21" s="331"/>
      <c r="X21" s="329"/>
      <c r="Y21" s="331">
        <v>5</v>
      </c>
      <c r="Z21" s="329"/>
      <c r="AA21" s="331"/>
      <c r="AB21" s="343"/>
      <c r="AC21" s="330"/>
      <c r="AD21" s="329"/>
      <c r="AE21" s="331"/>
      <c r="AF21" s="343"/>
      <c r="AG21" s="330"/>
      <c r="AH21" s="343"/>
      <c r="AI21" s="358"/>
      <c r="AJ21" s="330">
        <v>1</v>
      </c>
      <c r="AK21" s="331">
        <v>3</v>
      </c>
      <c r="AL21" s="329"/>
      <c r="AM21" s="331"/>
      <c r="AN21" s="343"/>
      <c r="AO21" s="330"/>
      <c r="AP21" s="343"/>
      <c r="AQ21" s="348"/>
      <c r="AS21" s="367"/>
      <c r="AU21" s="367">
        <v>1</v>
      </c>
      <c r="AW21" s="367"/>
      <c r="AY21" s="367"/>
      <c r="BA21" s="367"/>
      <c r="BB21" s="368"/>
      <c r="BC21" s="367"/>
      <c r="BD21" s="368"/>
      <c r="BE21" s="367"/>
      <c r="BF21" s="350"/>
      <c r="BG21" s="361"/>
      <c r="BH21" s="725"/>
      <c r="BI21" s="361"/>
      <c r="BJ21" s="361"/>
      <c r="BK21" s="732"/>
      <c r="BL21" s="349"/>
      <c r="BM21" s="360"/>
      <c r="BN21" s="723"/>
      <c r="BO21" s="360"/>
      <c r="BP21" s="360"/>
      <c r="BQ21" s="730"/>
      <c r="BR21" s="349"/>
      <c r="BS21" s="360"/>
      <c r="BT21" s="723"/>
      <c r="BU21" s="360"/>
      <c r="BV21" s="360"/>
      <c r="BW21" s="730"/>
      <c r="BX21" s="349"/>
      <c r="BY21" s="360"/>
      <c r="BZ21" s="723"/>
      <c r="CA21" s="360"/>
      <c r="CB21" s="360"/>
      <c r="CC21" s="730"/>
      <c r="CD21" s="349"/>
      <c r="CE21" s="360"/>
      <c r="CF21" s="723"/>
      <c r="CG21" s="360"/>
      <c r="CH21" s="360"/>
      <c r="CI21" s="730"/>
      <c r="CJ21" s="1494">
        <f t="shared" si="0"/>
        <v>2</v>
      </c>
      <c r="CK21" s="1495">
        <f t="shared" si="1"/>
        <v>1</v>
      </c>
      <c r="CL21" s="723">
        <f t="shared" si="4"/>
        <v>2.0878000000000001</v>
      </c>
      <c r="CM21" s="1495">
        <f t="shared" si="5"/>
        <v>38.664999999999999</v>
      </c>
      <c r="CN21" s="1495">
        <f t="shared" si="6"/>
        <v>2.4049999999999998</v>
      </c>
      <c r="CO21" s="730">
        <f t="shared" si="3"/>
        <v>38.876159000000001</v>
      </c>
      <c r="CP21" s="349"/>
      <c r="CQ21" s="360"/>
      <c r="CR21" s="723"/>
      <c r="CS21" s="360"/>
      <c r="CT21" s="360"/>
      <c r="CU21" s="730"/>
      <c r="CV21" s="1122"/>
      <c r="CW21" s="723"/>
      <c r="CX21" s="723"/>
      <c r="CY21" s="723"/>
      <c r="CZ21" s="723"/>
      <c r="DA21" s="730"/>
      <c r="DB21" s="1122"/>
      <c r="DC21" s="723"/>
      <c r="DD21" s="723"/>
      <c r="DE21" s="723"/>
      <c r="DF21" s="723"/>
      <c r="DG21" s="730"/>
      <c r="DH21" s="1122"/>
      <c r="DI21" s="723"/>
      <c r="DJ21" s="723"/>
      <c r="DK21" s="723"/>
      <c r="DL21" s="723"/>
      <c r="DM21" s="730"/>
      <c r="DN21" s="349">
        <v>0</v>
      </c>
      <c r="DO21" s="360">
        <v>0</v>
      </c>
      <c r="DP21" s="1611">
        <f>DN21+DO21*DX$62</f>
        <v>0</v>
      </c>
      <c r="DQ21" s="1495">
        <f>8*0.185</f>
        <v>1.48</v>
      </c>
      <c r="DR21" s="1495">
        <f>9*0.185</f>
        <v>1.665</v>
      </c>
      <c r="DS21" s="1784">
        <f t="shared" si="12"/>
        <v>1.614865</v>
      </c>
      <c r="DT21" s="1708"/>
      <c r="DU21" s="1708"/>
      <c r="DV21" s="1708"/>
      <c r="DW21" s="1708"/>
      <c r="DX21" s="1708"/>
      <c r="DY21" s="1709"/>
      <c r="DZ21" s="1708"/>
      <c r="EA21" s="1708"/>
      <c r="EB21" s="1708"/>
      <c r="EC21" s="1708"/>
      <c r="ED21" s="1708"/>
      <c r="EE21" s="1709"/>
      <c r="EF21" s="361"/>
      <c r="EG21" s="361"/>
      <c r="EH21" s="1538" t="s">
        <v>88</v>
      </c>
      <c r="EI21" s="1530">
        <v>1</v>
      </c>
      <c r="EJ21" s="1530">
        <v>2</v>
      </c>
      <c r="EK21" s="1530">
        <v>3</v>
      </c>
      <c r="EL21" s="1530">
        <v>13</v>
      </c>
      <c r="EM21" s="1530">
        <v>209</v>
      </c>
      <c r="EN21" s="1530">
        <v>222</v>
      </c>
      <c r="EO21" s="1530">
        <v>225</v>
      </c>
      <c r="EP21" s="1530">
        <v>232</v>
      </c>
      <c r="EQ21" s="1539"/>
    </row>
    <row r="22" spans="1:147" ht="15.75" thickBot="1" x14ac:dyDescent="0.3">
      <c r="A22" s="332">
        <v>19</v>
      </c>
      <c r="B22" s="329"/>
      <c r="C22" s="331"/>
      <c r="D22" s="329"/>
      <c r="E22" s="331"/>
      <c r="F22" s="329"/>
      <c r="G22" s="348"/>
      <c r="H22" s="331"/>
      <c r="I22" s="331"/>
      <c r="J22" s="329"/>
      <c r="K22" s="331"/>
      <c r="L22" s="329">
        <v>2</v>
      </c>
      <c r="M22" s="331">
        <v>7</v>
      </c>
      <c r="N22" s="329"/>
      <c r="O22" s="331"/>
      <c r="P22" s="343"/>
      <c r="Q22" s="330">
        <v>1</v>
      </c>
      <c r="R22" s="329"/>
      <c r="S22" s="331"/>
      <c r="T22" s="329"/>
      <c r="U22" s="331">
        <v>8</v>
      </c>
      <c r="V22" s="329"/>
      <c r="W22" s="331">
        <v>2</v>
      </c>
      <c r="X22" s="329"/>
      <c r="Y22" s="331">
        <v>5</v>
      </c>
      <c r="Z22" s="329"/>
      <c r="AA22" s="331"/>
      <c r="AB22" s="343"/>
      <c r="AC22" s="330">
        <v>1</v>
      </c>
      <c r="AD22" s="329"/>
      <c r="AE22" s="331"/>
      <c r="AF22" s="343"/>
      <c r="AG22" s="330"/>
      <c r="AH22" s="343"/>
      <c r="AI22" s="358"/>
      <c r="AJ22" s="330"/>
      <c r="AK22" s="331">
        <v>2</v>
      </c>
      <c r="AL22" s="329"/>
      <c r="AM22" s="331">
        <v>1</v>
      </c>
      <c r="AN22" s="343"/>
      <c r="AO22" s="330"/>
      <c r="AP22" s="343"/>
      <c r="AQ22" s="348">
        <v>1</v>
      </c>
      <c r="AS22" s="367">
        <v>1</v>
      </c>
      <c r="AU22" s="367">
        <v>4</v>
      </c>
      <c r="AW22" s="367">
        <v>4</v>
      </c>
      <c r="AY22" s="367">
        <v>1</v>
      </c>
      <c r="BA22" s="367"/>
      <c r="BB22" s="368"/>
      <c r="BC22" s="367"/>
      <c r="BD22" s="368"/>
      <c r="BE22" s="367">
        <f>1*0.0661</f>
        <v>6.6100000000000006E-2</v>
      </c>
      <c r="BF22" s="350"/>
      <c r="BG22" s="361"/>
      <c r="BH22" s="725"/>
      <c r="BI22" s="361"/>
      <c r="BJ22" s="361"/>
      <c r="BK22" s="732"/>
      <c r="BL22" s="748">
        <v>0</v>
      </c>
      <c r="BM22" s="903">
        <v>0</v>
      </c>
      <c r="BN22" s="904">
        <f>BL22+BM22*BV$62</f>
        <v>0</v>
      </c>
      <c r="BO22" s="905">
        <v>0</v>
      </c>
      <c r="BP22" s="905">
        <v>1</v>
      </c>
      <c r="BQ22" s="906">
        <f>BO22+BP22*BP$62</f>
        <v>8.6499999999999994E-2</v>
      </c>
      <c r="BR22" s="350">
        <v>0</v>
      </c>
      <c r="BS22" s="361">
        <v>0</v>
      </c>
      <c r="BT22" s="904">
        <f>BR22+BS22*CB$62</f>
        <v>0</v>
      </c>
      <c r="BU22" s="929">
        <v>1</v>
      </c>
      <c r="BV22" s="929">
        <v>0</v>
      </c>
      <c r="BW22" s="906">
        <f>BU22+BV22*BV$62</f>
        <v>1</v>
      </c>
      <c r="BX22" s="748">
        <v>0</v>
      </c>
      <c r="BY22" s="903">
        <v>0</v>
      </c>
      <c r="BZ22" s="904">
        <f>BX22+BY22*CH$62</f>
        <v>0</v>
      </c>
      <c r="CA22" s="929">
        <v>0</v>
      </c>
      <c r="CB22" s="929">
        <v>1</v>
      </c>
      <c r="CC22" s="906">
        <f>CA22+CB22*CB$62</f>
        <v>8.6800000000000002E-2</v>
      </c>
      <c r="CD22" s="748">
        <v>0</v>
      </c>
      <c r="CE22" s="903">
        <v>0</v>
      </c>
      <c r="CF22" s="904">
        <f>CD22+CE22*CN$62</f>
        <v>0</v>
      </c>
      <c r="CG22" s="929">
        <v>1</v>
      </c>
      <c r="CH22" s="929">
        <v>0</v>
      </c>
      <c r="CI22" s="906">
        <f>CG22+CH22*CH$62</f>
        <v>1</v>
      </c>
      <c r="CJ22" s="1487"/>
      <c r="CK22" s="929"/>
      <c r="CL22" s="904"/>
      <c r="CM22" s="929"/>
      <c r="CN22" s="929"/>
      <c r="CO22" s="906"/>
      <c r="CP22" s="1571"/>
      <c r="CQ22" s="905"/>
      <c r="CR22" s="909"/>
      <c r="CS22" s="905"/>
      <c r="CT22" s="905"/>
      <c r="CU22" s="906"/>
      <c r="CV22" s="1487">
        <v>0</v>
      </c>
      <c r="CW22" s="929">
        <v>0</v>
      </c>
      <c r="CX22" s="1615">
        <f>CV22+CW22*DF$62</f>
        <v>0</v>
      </c>
      <c r="CY22" s="929">
        <v>2</v>
      </c>
      <c r="CZ22" s="929">
        <v>0</v>
      </c>
      <c r="DA22" s="1616">
        <f>CY22+CZ22*CZ$62</f>
        <v>2</v>
      </c>
      <c r="DB22" s="1124"/>
      <c r="DC22" s="909"/>
      <c r="DD22" s="909"/>
      <c r="DE22" s="909"/>
      <c r="DF22" s="909"/>
      <c r="DG22" s="906"/>
      <c r="DH22" s="1125"/>
      <c r="DI22" s="1119"/>
      <c r="DJ22" s="1119"/>
      <c r="DK22" s="1119"/>
      <c r="DL22" s="1119"/>
      <c r="DM22" s="931"/>
      <c r="DN22" s="1572"/>
      <c r="DO22" s="1573"/>
      <c r="DP22" s="1119"/>
      <c r="DQ22" s="1573"/>
      <c r="DR22" s="1573"/>
      <c r="DS22" s="1779"/>
      <c r="DT22" s="1119"/>
      <c r="DU22" s="1119"/>
      <c r="DV22" s="1119"/>
      <c r="DW22" s="1119"/>
      <c r="DX22" s="1119"/>
      <c r="DY22" s="931"/>
      <c r="DZ22" s="1119"/>
      <c r="EA22" s="1119"/>
      <c r="EB22" s="1119"/>
      <c r="EC22" s="1119"/>
      <c r="ED22" s="1119"/>
      <c r="EE22" s="931"/>
      <c r="EF22" s="361"/>
      <c r="EG22" s="361"/>
      <c r="EH22" s="1541"/>
      <c r="EI22" s="1542"/>
      <c r="EJ22" s="1543"/>
      <c r="EK22" s="1543"/>
      <c r="EL22" s="1542"/>
      <c r="EM22" s="1543"/>
      <c r="EN22" s="1544"/>
      <c r="EO22" s="1543"/>
      <c r="EP22" s="1545"/>
      <c r="EQ22" s="1546"/>
    </row>
    <row r="23" spans="1:147" x14ac:dyDescent="0.2">
      <c r="A23" s="332">
        <v>20</v>
      </c>
      <c r="B23" s="329"/>
      <c r="C23" s="331"/>
      <c r="D23" s="329"/>
      <c r="E23" s="331"/>
      <c r="F23" s="329"/>
      <c r="G23" s="348"/>
      <c r="H23" s="331"/>
      <c r="I23" s="331"/>
      <c r="J23" s="329"/>
      <c r="K23" s="331"/>
      <c r="L23" s="329"/>
      <c r="M23" s="331">
        <v>4</v>
      </c>
      <c r="N23" s="329"/>
      <c r="O23" s="331">
        <v>3</v>
      </c>
      <c r="P23" s="343"/>
      <c r="Q23" s="330">
        <v>1</v>
      </c>
      <c r="R23" s="329"/>
      <c r="S23" s="331"/>
      <c r="T23" s="329"/>
      <c r="U23" s="331"/>
      <c r="V23" s="329"/>
      <c r="W23" s="331">
        <v>3</v>
      </c>
      <c r="X23" s="329">
        <v>1</v>
      </c>
      <c r="Y23" s="331">
        <v>3</v>
      </c>
      <c r="Z23" s="329"/>
      <c r="AA23" s="331">
        <v>1</v>
      </c>
      <c r="AB23" s="343"/>
      <c r="AC23" s="330"/>
      <c r="AD23" s="329"/>
      <c r="AE23" s="331">
        <v>1</v>
      </c>
      <c r="AF23" s="343"/>
      <c r="AG23" s="330"/>
      <c r="AH23" s="343"/>
      <c r="AI23" s="358"/>
      <c r="AJ23" s="330"/>
      <c r="AK23" s="331"/>
      <c r="AL23" s="329"/>
      <c r="AM23" s="331">
        <v>1</v>
      </c>
      <c r="AN23" s="343"/>
      <c r="AO23" s="330"/>
      <c r="AP23" s="343"/>
      <c r="AQ23" s="348">
        <v>1</v>
      </c>
      <c r="AS23" s="367">
        <v>3</v>
      </c>
      <c r="AU23" s="367"/>
      <c r="AW23" s="367">
        <v>3</v>
      </c>
      <c r="AY23" s="367"/>
      <c r="BA23" s="367"/>
      <c r="BB23" s="368"/>
      <c r="BC23" s="367"/>
      <c r="BD23" s="368"/>
      <c r="BE23" s="367">
        <f>(1*0.0661)+3</f>
        <v>3.0661</v>
      </c>
      <c r="BF23" s="350"/>
      <c r="BG23" s="361"/>
      <c r="BH23" s="725"/>
      <c r="BI23" s="361"/>
      <c r="BJ23" s="361"/>
      <c r="BK23" s="732"/>
      <c r="BL23" s="748">
        <v>0</v>
      </c>
      <c r="BM23" s="903">
        <v>0</v>
      </c>
      <c r="BN23" s="904">
        <f>BL23+BM23*BV$62</f>
        <v>0</v>
      </c>
      <c r="BO23" s="907">
        <f>2*(TreatyCatch!BO82/SUM(TreatyCatch!BO82:BP82))</f>
        <v>0.63529411764705879</v>
      </c>
      <c r="BP23" s="907">
        <f>2*(TreatyCatch!BP82/SUM(TreatyCatch!BO82:BP82))</f>
        <v>1.3647058823529412</v>
      </c>
      <c r="BQ23" s="906">
        <f>BO23+BP23*BP$62</f>
        <v>0.75334117647058818</v>
      </c>
      <c r="BR23" s="350"/>
      <c r="BS23" s="361"/>
      <c r="BT23" s="904"/>
      <c r="BU23" s="930"/>
      <c r="BV23" s="930"/>
      <c r="BW23" s="931"/>
      <c r="BX23" s="748"/>
      <c r="BY23" s="903"/>
      <c r="BZ23" s="904"/>
      <c r="CA23" s="930"/>
      <c r="CB23" s="930"/>
      <c r="CC23" s="931"/>
      <c r="CD23" s="748"/>
      <c r="CE23" s="903"/>
      <c r="CF23" s="904"/>
      <c r="CG23" s="930"/>
      <c r="CH23" s="930"/>
      <c r="CI23" s="931"/>
      <c r="CJ23" s="1125"/>
      <c r="CK23" s="1119"/>
      <c r="CL23" s="1119"/>
      <c r="CM23" s="1119"/>
      <c r="CN23" s="1119"/>
      <c r="CO23" s="931"/>
      <c r="CP23" s="1572"/>
      <c r="CQ23" s="1573"/>
      <c r="CR23" s="1119"/>
      <c r="CS23" s="1573"/>
      <c r="CT23" s="1573"/>
      <c r="CU23" s="931"/>
      <c r="CV23" s="1125"/>
      <c r="CW23" s="1119"/>
      <c r="CX23" s="1615"/>
      <c r="CY23" s="1119"/>
      <c r="CZ23" s="1119"/>
      <c r="DA23" s="1617"/>
      <c r="DB23" s="1125"/>
      <c r="DC23" s="1119"/>
      <c r="DD23" s="1119"/>
      <c r="DE23" s="1119"/>
      <c r="DF23" s="1119"/>
      <c r="DG23" s="931"/>
      <c r="DH23" s="1125"/>
      <c r="DI23" s="1119"/>
      <c r="DJ23" s="1119"/>
      <c r="DK23" s="1119"/>
      <c r="DL23" s="1119"/>
      <c r="DM23" s="931"/>
      <c r="DN23" s="1572">
        <v>0</v>
      </c>
      <c r="DO23" s="1573">
        <v>0</v>
      </c>
      <c r="DP23" s="1611">
        <f>DN23+DO23*DX$62</f>
        <v>0</v>
      </c>
      <c r="DQ23" s="1725">
        <v>2</v>
      </c>
      <c r="DR23" s="1573">
        <v>0</v>
      </c>
      <c r="DS23" s="1784">
        <f>DQ23+DR23*DR$62</f>
        <v>2</v>
      </c>
      <c r="DT23" s="1119"/>
      <c r="DU23" s="1119"/>
      <c r="DV23" s="1119"/>
      <c r="DW23" s="1710"/>
      <c r="DX23" s="1119"/>
      <c r="DY23" s="1705"/>
      <c r="DZ23" s="1119"/>
      <c r="EA23" s="1119"/>
      <c r="EB23" s="1119"/>
      <c r="EC23" s="1710"/>
      <c r="ED23" s="1119"/>
      <c r="EE23" s="1705"/>
      <c r="EF23" s="361"/>
      <c r="EG23" s="361"/>
    </row>
    <row r="24" spans="1:147" ht="15" x14ac:dyDescent="0.25">
      <c r="A24" s="332">
        <v>21</v>
      </c>
      <c r="B24" s="329"/>
      <c r="C24" s="331"/>
      <c r="D24" s="329"/>
      <c r="E24" s="331"/>
      <c r="F24" s="329"/>
      <c r="G24" s="348"/>
      <c r="H24" s="331"/>
      <c r="I24" s="331"/>
      <c r="J24" s="329"/>
      <c r="K24" s="331"/>
      <c r="L24" s="329"/>
      <c r="M24" s="331"/>
      <c r="N24" s="329"/>
      <c r="O24" s="331"/>
      <c r="P24" s="343"/>
      <c r="Q24" s="330">
        <v>1</v>
      </c>
      <c r="R24" s="329"/>
      <c r="S24" s="331">
        <v>2</v>
      </c>
      <c r="T24" s="329"/>
      <c r="U24" s="331">
        <v>1</v>
      </c>
      <c r="V24" s="329"/>
      <c r="W24" s="331">
        <v>1</v>
      </c>
      <c r="X24" s="329"/>
      <c r="Y24" s="331"/>
      <c r="Z24" s="329"/>
      <c r="AA24" s="331">
        <v>3</v>
      </c>
      <c r="AB24" s="343"/>
      <c r="AC24" s="330"/>
      <c r="AD24" s="329"/>
      <c r="AE24" s="331">
        <v>1</v>
      </c>
      <c r="AF24" s="343"/>
      <c r="AG24" s="330"/>
      <c r="AH24" s="343"/>
      <c r="AI24" s="358"/>
      <c r="AJ24" s="330"/>
      <c r="AK24" s="331"/>
      <c r="AL24" s="329"/>
      <c r="AM24" s="331"/>
      <c r="AN24" s="343"/>
      <c r="AO24" s="330"/>
      <c r="AP24" s="343"/>
      <c r="AQ24" s="348">
        <v>4</v>
      </c>
      <c r="AS24" s="367"/>
      <c r="AU24" s="367"/>
      <c r="AW24" s="367">
        <v>1</v>
      </c>
      <c r="AY24" s="367"/>
      <c r="BA24" s="367"/>
      <c r="BB24" s="368"/>
      <c r="BC24" s="387">
        <f>1*0.0661</f>
        <v>6.6100000000000006E-2</v>
      </c>
      <c r="BD24" s="368"/>
      <c r="BE24" s="367"/>
      <c r="BF24" s="350"/>
      <c r="BG24" s="361"/>
      <c r="BH24" s="725"/>
      <c r="BI24" s="361"/>
      <c r="BJ24" s="361"/>
      <c r="BK24" s="732"/>
      <c r="BL24" s="748"/>
      <c r="BM24" s="903"/>
      <c r="BN24" s="904"/>
      <c r="BO24" s="903"/>
      <c r="BP24" s="903"/>
      <c r="BQ24" s="908"/>
      <c r="BR24" s="350"/>
      <c r="BS24" s="361"/>
      <c r="BT24" s="904"/>
      <c r="BU24" s="930"/>
      <c r="BV24" s="930"/>
      <c r="BW24" s="932"/>
      <c r="BX24" s="748">
        <v>0</v>
      </c>
      <c r="BY24" s="903">
        <v>0</v>
      </c>
      <c r="BZ24" s="904">
        <f>BX24+BY24*CH$62</f>
        <v>0</v>
      </c>
      <c r="CA24" s="930">
        <v>0</v>
      </c>
      <c r="CB24" s="930">
        <v>2</v>
      </c>
      <c r="CC24" s="906">
        <f>CA24+CB24*CB$62</f>
        <v>0.1736</v>
      </c>
      <c r="CD24" s="748"/>
      <c r="CE24" s="903"/>
      <c r="CF24" s="904"/>
      <c r="CG24" s="930"/>
      <c r="CH24" s="930"/>
      <c r="CI24" s="932"/>
      <c r="CJ24" s="1126"/>
      <c r="CK24" s="1120"/>
      <c r="CL24" s="1120"/>
      <c r="CM24" s="1120"/>
      <c r="CN24" s="1120"/>
      <c r="CO24" s="932"/>
      <c r="CP24" s="1574"/>
      <c r="CQ24" s="922"/>
      <c r="CR24" s="1120"/>
      <c r="CS24" s="922"/>
      <c r="CT24" s="922"/>
      <c r="CU24" s="932"/>
      <c r="CV24" s="1126"/>
      <c r="CW24" s="1120"/>
      <c r="CX24" s="1615"/>
      <c r="CY24" s="1120"/>
      <c r="CZ24" s="1120"/>
      <c r="DA24" s="1617"/>
      <c r="DB24" s="1126"/>
      <c r="DC24" s="1120"/>
      <c r="DD24" s="1120"/>
      <c r="DE24" s="1120"/>
      <c r="DF24" s="1120"/>
      <c r="DG24" s="932"/>
      <c r="DH24" s="1126"/>
      <c r="DI24" s="1120"/>
      <c r="DJ24" s="1120"/>
      <c r="DK24" s="1120"/>
      <c r="DL24" s="1120"/>
      <c r="DM24" s="932"/>
      <c r="DN24" s="1126"/>
      <c r="DO24" s="1120"/>
      <c r="DP24" s="1120"/>
      <c r="DQ24" s="922"/>
      <c r="DR24" s="922"/>
      <c r="DS24" s="1778"/>
      <c r="DT24" s="1120"/>
      <c r="DU24" s="1120"/>
      <c r="DV24" s="1120"/>
      <c r="DW24" s="1120"/>
      <c r="DX24" s="1120"/>
      <c r="DY24" s="932"/>
      <c r="DZ24" s="1120"/>
      <c r="EA24" s="1120"/>
      <c r="EB24" s="1120"/>
      <c r="EC24" s="1120"/>
      <c r="ED24" s="1120"/>
      <c r="EE24" s="932"/>
      <c r="EF24" s="361"/>
      <c r="EG24" s="361"/>
      <c r="EL24" s="1526"/>
    </row>
    <row r="25" spans="1:147" ht="15" x14ac:dyDescent="0.25">
      <c r="A25" s="332">
        <v>22</v>
      </c>
      <c r="B25" s="329"/>
      <c r="C25" s="331"/>
      <c r="D25" s="329"/>
      <c r="E25" s="331"/>
      <c r="F25" s="329"/>
      <c r="G25" s="348"/>
      <c r="H25" s="331"/>
      <c r="I25" s="331"/>
      <c r="J25" s="329"/>
      <c r="K25" s="331"/>
      <c r="L25" s="329"/>
      <c r="M25" s="331"/>
      <c r="N25" s="329"/>
      <c r="O25" s="331"/>
      <c r="P25" s="343"/>
      <c r="Q25" s="330"/>
      <c r="R25" s="329"/>
      <c r="S25" s="331">
        <v>2</v>
      </c>
      <c r="T25" s="329"/>
      <c r="U25" s="331">
        <v>2</v>
      </c>
      <c r="V25" s="329"/>
      <c r="W25" s="331">
        <v>2</v>
      </c>
      <c r="X25" s="329"/>
      <c r="Y25" s="331">
        <v>4</v>
      </c>
      <c r="Z25" s="329"/>
      <c r="AA25" s="331"/>
      <c r="AB25" s="343"/>
      <c r="AC25" s="330">
        <v>1</v>
      </c>
      <c r="AD25" s="329"/>
      <c r="AE25" s="331">
        <v>2</v>
      </c>
      <c r="AF25" s="343"/>
      <c r="AG25" s="330"/>
      <c r="AH25" s="343"/>
      <c r="AI25" s="358"/>
      <c r="AJ25" s="330"/>
      <c r="AK25" s="331"/>
      <c r="AL25" s="329"/>
      <c r="AM25" s="331">
        <v>1</v>
      </c>
      <c r="AN25" s="343"/>
      <c r="AO25" s="330"/>
      <c r="AP25" s="343"/>
      <c r="AQ25" s="348"/>
      <c r="AS25" s="367"/>
      <c r="AU25" s="367"/>
      <c r="AW25" s="367">
        <v>2</v>
      </c>
      <c r="AY25" s="367"/>
      <c r="BA25" s="367"/>
      <c r="BB25" s="368"/>
      <c r="BC25" s="387"/>
      <c r="BD25" s="368"/>
      <c r="BE25" s="367">
        <f>1*0.0661</f>
        <v>6.6100000000000006E-2</v>
      </c>
      <c r="BF25" s="350"/>
      <c r="BG25" s="361"/>
      <c r="BH25" s="725"/>
      <c r="BI25" s="361"/>
      <c r="BJ25" s="361"/>
      <c r="BK25" s="732"/>
      <c r="BL25" s="748"/>
      <c r="BM25" s="903"/>
      <c r="BN25" s="904"/>
      <c r="BO25" s="903"/>
      <c r="BP25" s="903"/>
      <c r="BQ25" s="908"/>
      <c r="BR25" s="350"/>
      <c r="BS25" s="361"/>
      <c r="BT25" s="904"/>
      <c r="BU25" s="930"/>
      <c r="BV25" s="930"/>
      <c r="BW25" s="932"/>
      <c r="BX25" s="748"/>
      <c r="BY25" s="903"/>
      <c r="BZ25" s="904"/>
      <c r="CA25" s="930"/>
      <c r="CB25" s="930"/>
      <c r="CC25" s="932"/>
      <c r="CD25" s="748">
        <v>0</v>
      </c>
      <c r="CE25" s="903">
        <v>0</v>
      </c>
      <c r="CF25" s="904">
        <f>CD25+CE25*CN$62</f>
        <v>0</v>
      </c>
      <c r="CG25" s="930">
        <v>0</v>
      </c>
      <c r="CH25" s="930">
        <v>1</v>
      </c>
      <c r="CI25" s="906">
        <f>CG25+CH25*CH$62</f>
        <v>8.8499999999999995E-2</v>
      </c>
      <c r="CJ25" s="1126"/>
      <c r="CK25" s="1120"/>
      <c r="CL25" s="1120"/>
      <c r="CM25" s="1120"/>
      <c r="CN25" s="1120"/>
      <c r="CO25" s="932"/>
      <c r="CP25" s="1574"/>
      <c r="CQ25" s="922"/>
      <c r="CR25" s="1120"/>
      <c r="CS25" s="922"/>
      <c r="CT25" s="922"/>
      <c r="CU25" s="932"/>
      <c r="CV25" s="1126"/>
      <c r="CW25" s="1120"/>
      <c r="CX25" s="1615"/>
      <c r="CY25" s="1120"/>
      <c r="CZ25" s="1120"/>
      <c r="DA25" s="1617"/>
      <c r="DB25" s="1126"/>
      <c r="DC25" s="1120"/>
      <c r="DD25" s="1120"/>
      <c r="DE25" s="1120"/>
      <c r="DF25" s="1120"/>
      <c r="DG25" s="932"/>
      <c r="DH25" s="1126"/>
      <c r="DI25" s="1120"/>
      <c r="DJ25" s="1120"/>
      <c r="DK25" s="1120"/>
      <c r="DL25" s="1120"/>
      <c r="DM25" s="932"/>
      <c r="DN25" s="1126"/>
      <c r="DO25" s="1120"/>
      <c r="DP25" s="1120"/>
      <c r="DQ25" s="922"/>
      <c r="DR25" s="922"/>
      <c r="DS25" s="1778"/>
      <c r="DT25" s="1120"/>
      <c r="DU25" s="1120"/>
      <c r="DV25" s="1120"/>
      <c r="DW25" s="1120"/>
      <c r="DX25" s="1120"/>
      <c r="DY25" s="932"/>
      <c r="DZ25" s="1120"/>
      <c r="EA25" s="1120"/>
      <c r="EB25" s="1120"/>
      <c r="EC25" s="1120"/>
      <c r="ED25" s="1120"/>
      <c r="EE25" s="932"/>
      <c r="EF25" s="361"/>
      <c r="EG25" s="361"/>
      <c r="EL25" s="1528"/>
    </row>
    <row r="26" spans="1:147" ht="15" x14ac:dyDescent="0.25">
      <c r="A26" s="332">
        <v>23</v>
      </c>
      <c r="B26" s="329"/>
      <c r="C26" s="331"/>
      <c r="D26" s="329"/>
      <c r="E26" s="331"/>
      <c r="F26" s="329"/>
      <c r="G26" s="348"/>
      <c r="H26" s="331"/>
      <c r="I26" s="331"/>
      <c r="J26" s="329"/>
      <c r="K26" s="331"/>
      <c r="L26" s="329"/>
      <c r="M26" s="331"/>
      <c r="N26" s="329">
        <v>1</v>
      </c>
      <c r="O26" s="331"/>
      <c r="P26" s="343"/>
      <c r="Q26" s="330"/>
      <c r="R26" s="329">
        <v>1</v>
      </c>
      <c r="S26" s="331">
        <v>2</v>
      </c>
      <c r="T26" s="329"/>
      <c r="U26" s="331">
        <v>1</v>
      </c>
      <c r="V26" s="329"/>
      <c r="W26" s="331">
        <v>2</v>
      </c>
      <c r="X26" s="329"/>
      <c r="Y26" s="331">
        <v>1</v>
      </c>
      <c r="Z26" s="329"/>
      <c r="AA26" s="331"/>
      <c r="AB26" s="343"/>
      <c r="AC26" s="330"/>
      <c r="AD26" s="329"/>
      <c r="AE26" s="331"/>
      <c r="AF26" s="343"/>
      <c r="AG26" s="330"/>
      <c r="AH26" s="343"/>
      <c r="AI26" s="358"/>
      <c r="AJ26" s="330"/>
      <c r="AK26" s="331"/>
      <c r="AL26" s="329"/>
      <c r="AM26" s="331"/>
      <c r="AN26" s="343"/>
      <c r="AO26" s="330"/>
      <c r="AP26" s="343"/>
      <c r="AQ26" s="348"/>
      <c r="AS26" s="367">
        <v>1</v>
      </c>
      <c r="AU26" s="367">
        <v>2</v>
      </c>
      <c r="AW26" s="367"/>
      <c r="AY26" s="367"/>
      <c r="BA26" s="367"/>
      <c r="BB26" s="368"/>
      <c r="BC26" s="387"/>
      <c r="BD26" s="368"/>
      <c r="BE26" s="367">
        <f>2*0.0661</f>
        <v>0.13220000000000001</v>
      </c>
      <c r="BF26" s="350">
        <v>0</v>
      </c>
      <c r="BG26" s="361">
        <v>0</v>
      </c>
      <c r="BH26" s="725">
        <f>BF26+BG26*BP$62</f>
        <v>0</v>
      </c>
      <c r="BI26" s="361">
        <v>2</v>
      </c>
      <c r="BJ26" s="361">
        <v>0</v>
      </c>
      <c r="BK26" s="725">
        <f>BI26+BJ26*0.0661</f>
        <v>2</v>
      </c>
      <c r="BL26" s="748"/>
      <c r="BM26" s="903"/>
      <c r="BN26" s="904"/>
      <c r="BO26" s="903"/>
      <c r="BP26" s="903"/>
      <c r="BQ26" s="908"/>
      <c r="BR26" s="350">
        <v>0</v>
      </c>
      <c r="BS26" s="361">
        <v>0</v>
      </c>
      <c r="BT26" s="904">
        <f>BR26+BS26*CB$62</f>
        <v>0</v>
      </c>
      <c r="BU26" s="930">
        <v>1</v>
      </c>
      <c r="BV26" s="930">
        <v>1</v>
      </c>
      <c r="BW26" s="906">
        <f>BU26+BV26*BV$62</f>
        <v>1.0880000000000001</v>
      </c>
      <c r="BX26" s="748"/>
      <c r="BY26" s="903"/>
      <c r="BZ26" s="904"/>
      <c r="CA26" s="930"/>
      <c r="CB26" s="930"/>
      <c r="CC26" s="906"/>
      <c r="CD26" s="18">
        <v>0</v>
      </c>
      <c r="CE26" s="18">
        <v>0</v>
      </c>
      <c r="CF26" s="904">
        <f>CD26+CE26*CN$62</f>
        <v>0</v>
      </c>
      <c r="CG26" s="18">
        <v>0</v>
      </c>
      <c r="CH26" s="18">
        <v>1</v>
      </c>
      <c r="CI26" s="906">
        <f>CG26+CH26*CH$62</f>
        <v>8.8499999999999995E-2</v>
      </c>
      <c r="CJ26" s="1487">
        <v>2</v>
      </c>
      <c r="CK26" s="929">
        <v>0</v>
      </c>
      <c r="CL26" s="904">
        <f>CJ26+CK26*CT$62</f>
        <v>2</v>
      </c>
      <c r="CM26" s="929">
        <v>0</v>
      </c>
      <c r="CN26" s="929">
        <v>3</v>
      </c>
      <c r="CO26" s="906">
        <f>CM26+CN26*CN$62</f>
        <v>0.26340000000000002</v>
      </c>
      <c r="CP26" s="1572">
        <v>0</v>
      </c>
      <c r="CQ26" s="1573">
        <v>0</v>
      </c>
      <c r="CR26" s="1120">
        <f>CP26+CQ26*CZ$62</f>
        <v>0</v>
      </c>
      <c r="CS26" s="1573">
        <v>0</v>
      </c>
      <c r="CT26" s="1573">
        <v>4</v>
      </c>
      <c r="CU26" s="906">
        <f>CS26+CT26*CT$62</f>
        <v>0.34720000000000001</v>
      </c>
      <c r="CV26" s="1487">
        <v>0</v>
      </c>
      <c r="CW26" s="929">
        <v>0</v>
      </c>
      <c r="CX26" s="1615">
        <f>CV26+CW26*DF$62</f>
        <v>0</v>
      </c>
      <c r="CY26" s="929">
        <v>0</v>
      </c>
      <c r="CZ26" s="929">
        <v>1</v>
      </c>
      <c r="DA26" s="1616">
        <f>CY26+CZ26*CZ$62</f>
        <v>8.9399999999999993E-2</v>
      </c>
      <c r="DB26" s="1124"/>
      <c r="DC26" s="909"/>
      <c r="DD26" s="909"/>
      <c r="DE26" s="909"/>
      <c r="DF26" s="909"/>
      <c r="DG26" s="906"/>
      <c r="DH26" s="1125"/>
      <c r="DI26" s="1119"/>
      <c r="DJ26" s="1119"/>
      <c r="DK26" s="1119"/>
      <c r="DL26" s="1119"/>
      <c r="DM26" s="931"/>
      <c r="DN26" s="1125"/>
      <c r="DO26" s="1119"/>
      <c r="DP26" s="1119"/>
      <c r="DQ26" s="1573"/>
      <c r="DR26" s="1573"/>
      <c r="DS26" s="1779"/>
      <c r="DT26" s="1119"/>
      <c r="DU26" s="1119"/>
      <c r="DV26" s="1119"/>
      <c r="DW26" s="1119"/>
      <c r="DX26" s="1119"/>
      <c r="DY26" s="931"/>
      <c r="DZ26" s="1119"/>
      <c r="EA26" s="1119"/>
      <c r="EB26" s="1119"/>
      <c r="EC26" s="1119"/>
      <c r="ED26" s="1119"/>
      <c r="EE26" s="931"/>
      <c r="EF26" s="361"/>
      <c r="EG26" s="361"/>
      <c r="EL26" s="1528"/>
    </row>
    <row r="27" spans="1:147" ht="15" x14ac:dyDescent="0.25">
      <c r="A27" s="332">
        <v>24</v>
      </c>
      <c r="B27" s="329"/>
      <c r="C27" s="331"/>
      <c r="D27" s="329"/>
      <c r="E27" s="331"/>
      <c r="F27" s="329"/>
      <c r="G27" s="348"/>
      <c r="H27" s="331"/>
      <c r="I27" s="331"/>
      <c r="J27" s="329"/>
      <c r="K27" s="331"/>
      <c r="L27" s="329"/>
      <c r="M27" s="331"/>
      <c r="N27" s="329"/>
      <c r="O27" s="331"/>
      <c r="P27" s="343"/>
      <c r="Q27" s="330"/>
      <c r="R27" s="329"/>
      <c r="S27" s="331">
        <v>3</v>
      </c>
      <c r="T27" s="329"/>
      <c r="U27" s="331">
        <v>1</v>
      </c>
      <c r="V27" s="329"/>
      <c r="W27" s="331">
        <v>1</v>
      </c>
      <c r="X27" s="329"/>
      <c r="Y27" s="331"/>
      <c r="Z27" s="329"/>
      <c r="AA27" s="331"/>
      <c r="AB27" s="343"/>
      <c r="AC27" s="330"/>
      <c r="AD27" s="329"/>
      <c r="AE27" s="331">
        <v>1</v>
      </c>
      <c r="AF27" s="343"/>
      <c r="AG27" s="330"/>
      <c r="AH27" s="343"/>
      <c r="AI27" s="358"/>
      <c r="AJ27" s="330"/>
      <c r="AK27" s="331"/>
      <c r="AL27" s="329"/>
      <c r="AM27" s="331"/>
      <c r="AN27" s="343"/>
      <c r="AO27" s="330"/>
      <c r="AP27" s="343"/>
      <c r="AQ27" s="348"/>
      <c r="AS27" s="367"/>
      <c r="AU27" s="367">
        <v>1</v>
      </c>
      <c r="AW27" s="367">
        <v>1</v>
      </c>
      <c r="AY27" s="367">
        <v>1</v>
      </c>
      <c r="BA27" s="367"/>
      <c r="BB27" s="368"/>
      <c r="BC27" s="387"/>
      <c r="BD27" s="368"/>
      <c r="BE27" s="367">
        <f>(2+2)*0.0661</f>
        <v>0.26440000000000002</v>
      </c>
      <c r="BF27" s="350">
        <v>1</v>
      </c>
      <c r="BG27" s="361">
        <v>1</v>
      </c>
      <c r="BH27" s="725">
        <f>BF27+BG27*BP$62</f>
        <v>1.0865</v>
      </c>
      <c r="BI27" s="361">
        <v>1</v>
      </c>
      <c r="BJ27" s="361">
        <v>6</v>
      </c>
      <c r="BK27" s="725">
        <f>BI27+BJ27*0.0661</f>
        <v>1.3966000000000001</v>
      </c>
      <c r="BL27" s="748"/>
      <c r="BM27" s="903"/>
      <c r="BN27" s="904"/>
      <c r="BO27" s="903"/>
      <c r="BP27" s="903"/>
      <c r="BQ27" s="908"/>
      <c r="BR27" s="350">
        <v>0</v>
      </c>
      <c r="BS27" s="361">
        <v>0</v>
      </c>
      <c r="BT27" s="904">
        <f>BR27+BS27*CB$62</f>
        <v>0</v>
      </c>
      <c r="BU27" s="930">
        <v>1</v>
      </c>
      <c r="BV27" s="930">
        <v>3</v>
      </c>
      <c r="BW27" s="906">
        <f>BU27+BV27*BV$62</f>
        <v>1.264</v>
      </c>
      <c r="BX27" s="748">
        <v>0</v>
      </c>
      <c r="BY27" s="903">
        <v>0</v>
      </c>
      <c r="BZ27" s="904">
        <f>BX27+BY27*CH$62</f>
        <v>0</v>
      </c>
      <c r="CA27" s="930">
        <v>0</v>
      </c>
      <c r="CB27" s="930">
        <v>2</v>
      </c>
      <c r="CC27" s="906">
        <f>CA27+CB27*CB$62</f>
        <v>0.1736</v>
      </c>
      <c r="CD27" s="748">
        <v>0</v>
      </c>
      <c r="CE27" s="903">
        <v>0</v>
      </c>
      <c r="CF27" s="904">
        <f>CD27+CE27*CN$62</f>
        <v>0</v>
      </c>
      <c r="CG27" s="930">
        <v>2</v>
      </c>
      <c r="CH27" s="930">
        <v>1</v>
      </c>
      <c r="CI27" s="906">
        <f>CG27+CH27*CH$62</f>
        <v>2.0884999999999998</v>
      </c>
      <c r="CJ27" s="1487">
        <v>0</v>
      </c>
      <c r="CK27" s="929">
        <v>0</v>
      </c>
      <c r="CL27" s="904">
        <f>CJ27+CK27*CT$62</f>
        <v>0</v>
      </c>
      <c r="CM27" s="929">
        <v>0</v>
      </c>
      <c r="CN27" s="929">
        <v>1</v>
      </c>
      <c r="CO27" s="906">
        <f>CM27+CN27*CN$62</f>
        <v>8.7800000000000003E-2</v>
      </c>
      <c r="CP27" s="1571">
        <v>0</v>
      </c>
      <c r="CQ27" s="905">
        <v>0</v>
      </c>
      <c r="CR27" s="909">
        <f t="shared" ref="CR27:CR29" si="18">CP27+CQ27*CZ$62</f>
        <v>0</v>
      </c>
      <c r="CS27" s="905">
        <v>0</v>
      </c>
      <c r="CT27" s="905">
        <v>1</v>
      </c>
      <c r="CU27" s="906">
        <f t="shared" ref="CU27:CU29" si="19">CS27+CT27*CT$62</f>
        <v>8.6800000000000002E-2</v>
      </c>
      <c r="CV27" s="1487">
        <v>0</v>
      </c>
      <c r="CW27" s="929">
        <v>0</v>
      </c>
      <c r="CX27" s="1610">
        <f t="shared" ref="CX27" si="20">CV27+CW27*DF$62</f>
        <v>0</v>
      </c>
      <c r="CY27" s="929">
        <v>0</v>
      </c>
      <c r="CZ27" s="929">
        <v>2</v>
      </c>
      <c r="DA27" s="1616">
        <f t="shared" ref="DA27" si="21">CY27+CZ27*CZ$62</f>
        <v>0.17879999999999999</v>
      </c>
      <c r="DB27" s="1571">
        <v>0</v>
      </c>
      <c r="DC27" s="905">
        <v>0</v>
      </c>
      <c r="DD27" s="1611">
        <f>DB27+DC27*DL$62</f>
        <v>0</v>
      </c>
      <c r="DE27" s="1614">
        <v>1</v>
      </c>
      <c r="DF27" s="905">
        <v>1</v>
      </c>
      <c r="DG27" s="1608">
        <f t="shared" ref="DG27" si="22">DE27+DF27*DF$62</f>
        <v>1.0853999999999999</v>
      </c>
      <c r="DH27" s="1572"/>
      <c r="DI27" s="1573"/>
      <c r="DJ27" s="1119"/>
      <c r="DK27" s="1640"/>
      <c r="DL27" s="1573"/>
      <c r="DM27" s="931"/>
      <c r="DN27" s="1572">
        <v>0</v>
      </c>
      <c r="DO27" s="1573">
        <v>0</v>
      </c>
      <c r="DP27" s="1611">
        <f>DN27+DO27*DX$62</f>
        <v>0</v>
      </c>
      <c r="DQ27" s="1640">
        <v>0</v>
      </c>
      <c r="DR27" s="1573">
        <v>2</v>
      </c>
      <c r="DS27" s="1784">
        <f>DQ27+DR27*DR$62</f>
        <v>0.16200000000000001</v>
      </c>
      <c r="DT27" s="1573"/>
      <c r="DU27" s="1573"/>
      <c r="DV27" s="1119"/>
      <c r="DW27" s="1640"/>
      <c r="DX27" s="1573"/>
      <c r="DY27" s="931"/>
      <c r="DZ27" s="1573"/>
      <c r="EA27" s="1573"/>
      <c r="EB27" s="1119"/>
      <c r="EC27" s="1640"/>
      <c r="ED27" s="1573"/>
      <c r="EE27" s="931"/>
      <c r="EF27" s="361"/>
      <c r="EG27" s="361"/>
      <c r="EL27" s="1528"/>
    </row>
    <row r="28" spans="1:147" ht="15" x14ac:dyDescent="0.25">
      <c r="A28" s="332">
        <v>25</v>
      </c>
      <c r="B28" s="329"/>
      <c r="C28" s="331"/>
      <c r="D28" s="329"/>
      <c r="E28" s="331"/>
      <c r="F28" s="329"/>
      <c r="G28" s="348"/>
      <c r="H28" s="331"/>
      <c r="I28" s="331"/>
      <c r="J28" s="329"/>
      <c r="K28" s="331"/>
      <c r="L28" s="329"/>
      <c r="M28" s="331"/>
      <c r="N28" s="329"/>
      <c r="O28" s="331"/>
      <c r="P28" s="343"/>
      <c r="Q28" s="330"/>
      <c r="R28" s="329"/>
      <c r="S28" s="331"/>
      <c r="T28" s="329"/>
      <c r="U28" s="331"/>
      <c r="V28" s="329">
        <v>1</v>
      </c>
      <c r="W28" s="331"/>
      <c r="X28" s="329"/>
      <c r="Y28" s="331">
        <v>1</v>
      </c>
      <c r="Z28" s="329"/>
      <c r="AA28" s="331"/>
      <c r="AB28" s="343"/>
      <c r="AC28" s="330"/>
      <c r="AD28" s="329"/>
      <c r="AE28" s="331"/>
      <c r="AF28" s="343"/>
      <c r="AG28" s="330"/>
      <c r="AH28" s="343"/>
      <c r="AI28" s="358"/>
      <c r="AJ28" s="330"/>
      <c r="AK28" s="331"/>
      <c r="AL28" s="329"/>
      <c r="AM28" s="331"/>
      <c r="AN28" s="343"/>
      <c r="AO28" s="330"/>
      <c r="AP28" s="343"/>
      <c r="AQ28" s="348"/>
      <c r="AS28" s="367">
        <v>1</v>
      </c>
      <c r="AU28" s="367">
        <v>1</v>
      </c>
      <c r="AW28" s="367"/>
      <c r="AY28" s="367"/>
      <c r="BA28" s="367"/>
      <c r="BB28" s="368"/>
      <c r="BC28" s="367"/>
      <c r="BD28" s="387">
        <f>1</f>
        <v>1</v>
      </c>
      <c r="BE28" s="367"/>
      <c r="BF28" s="350"/>
      <c r="BG28" s="361"/>
      <c r="BH28" s="725"/>
      <c r="BI28" s="361"/>
      <c r="BJ28" s="361"/>
      <c r="BK28" s="732"/>
      <c r="BL28" s="748">
        <v>0</v>
      </c>
      <c r="BM28" s="903">
        <v>0</v>
      </c>
      <c r="BN28" s="904">
        <f>BL28+BM28*BV$62</f>
        <v>0</v>
      </c>
      <c r="BO28" s="903">
        <v>0</v>
      </c>
      <c r="BP28" s="903">
        <v>2</v>
      </c>
      <c r="BQ28" s="909">
        <f>BO28+BP28*BP$62</f>
        <v>0.17299999999999999</v>
      </c>
      <c r="BR28" s="350">
        <v>0</v>
      </c>
      <c r="BS28" s="361">
        <v>0</v>
      </c>
      <c r="BT28" s="904">
        <f>BR28+BS28*CB$62</f>
        <v>0</v>
      </c>
      <c r="BU28" s="930">
        <v>0</v>
      </c>
      <c r="BV28" s="930">
        <v>1</v>
      </c>
      <c r="BW28" s="906">
        <f>BU28+BV28*BV$62</f>
        <v>8.7999999999999995E-2</v>
      </c>
      <c r="BX28" s="748"/>
      <c r="BY28" s="903"/>
      <c r="BZ28" s="904"/>
      <c r="CA28" s="930"/>
      <c r="CB28" s="930"/>
      <c r="CC28" s="906"/>
      <c r="CD28" s="748">
        <v>0</v>
      </c>
      <c r="CE28" s="903">
        <v>0</v>
      </c>
      <c r="CF28" s="904">
        <f>CD28+CE28*CN$62</f>
        <v>0</v>
      </c>
      <c r="CG28" s="930">
        <v>1</v>
      </c>
      <c r="CH28" s="930">
        <v>2</v>
      </c>
      <c r="CI28" s="906">
        <f>CG28+CH28*CH$62</f>
        <v>1.177</v>
      </c>
      <c r="CJ28" s="1124"/>
      <c r="CK28" s="909"/>
      <c r="CL28" s="909"/>
      <c r="CM28" s="909"/>
      <c r="CN28" s="909"/>
      <c r="CO28" s="906"/>
      <c r="CP28" s="1571">
        <v>0</v>
      </c>
      <c r="CQ28" s="905">
        <v>0</v>
      </c>
      <c r="CR28" s="909">
        <f t="shared" si="18"/>
        <v>0</v>
      </c>
      <c r="CS28" s="905">
        <v>0</v>
      </c>
      <c r="CT28" s="905">
        <v>4</v>
      </c>
      <c r="CU28" s="906">
        <f t="shared" si="19"/>
        <v>0.34720000000000001</v>
      </c>
      <c r="CV28" s="1124"/>
      <c r="CW28" s="909"/>
      <c r="CX28" s="909"/>
      <c r="CY28" s="909"/>
      <c r="CZ28" s="909"/>
      <c r="DA28" s="906"/>
      <c r="DB28" s="1571"/>
      <c r="DC28" s="905"/>
      <c r="DD28" s="909"/>
      <c r="DE28" s="909"/>
      <c r="DF28" s="905"/>
      <c r="DG28" s="906"/>
      <c r="DH28" s="1572"/>
      <c r="DI28" s="1573"/>
      <c r="DJ28" s="1119"/>
      <c r="DK28" s="1119"/>
      <c r="DL28" s="1573"/>
      <c r="DM28" s="931"/>
      <c r="DN28" s="1572"/>
      <c r="DO28" s="1573"/>
      <c r="DP28" s="1119"/>
      <c r="DQ28" s="1119"/>
      <c r="DR28" s="1573"/>
      <c r="DS28" s="1779"/>
      <c r="DT28" s="1573"/>
      <c r="DU28" s="1573"/>
      <c r="DV28" s="1119"/>
      <c r="DW28" s="1119"/>
      <c r="DX28" s="1573"/>
      <c r="DY28" s="931"/>
      <c r="DZ28" s="1573"/>
      <c r="EA28" s="1573"/>
      <c r="EB28" s="1119"/>
      <c r="EC28" s="1119"/>
      <c r="ED28" s="1573"/>
      <c r="EE28" s="931"/>
      <c r="EF28" s="361"/>
      <c r="EG28" s="361"/>
      <c r="EL28" s="1528"/>
    </row>
    <row r="29" spans="1:147" ht="15" x14ac:dyDescent="0.25">
      <c r="A29" s="334">
        <v>26</v>
      </c>
      <c r="B29" s="335"/>
      <c r="C29" s="336"/>
      <c r="D29" s="335"/>
      <c r="E29" s="336"/>
      <c r="F29" s="335"/>
      <c r="G29" s="347"/>
      <c r="H29" s="336"/>
      <c r="I29" s="336"/>
      <c r="J29" s="335"/>
      <c r="K29" s="336"/>
      <c r="L29" s="335"/>
      <c r="M29" s="336"/>
      <c r="N29" s="335"/>
      <c r="O29" s="336"/>
      <c r="P29" s="344"/>
      <c r="Q29" s="336"/>
      <c r="R29" s="335"/>
      <c r="S29" s="336">
        <v>1</v>
      </c>
      <c r="T29" s="335"/>
      <c r="U29" s="336"/>
      <c r="V29" s="335"/>
      <c r="W29" s="336">
        <v>2</v>
      </c>
      <c r="X29" s="335"/>
      <c r="Y29" s="336"/>
      <c r="Z29" s="335"/>
      <c r="AA29" s="336"/>
      <c r="AB29" s="344"/>
      <c r="AC29" s="336"/>
      <c r="AD29" s="335"/>
      <c r="AE29" s="336"/>
      <c r="AF29" s="344"/>
      <c r="AG29" s="336"/>
      <c r="AH29" s="344"/>
      <c r="AI29" s="357"/>
      <c r="AJ29" s="336"/>
      <c r="AK29" s="336"/>
      <c r="AL29" s="335"/>
      <c r="AM29" s="336"/>
      <c r="AN29" s="344"/>
      <c r="AO29" s="336"/>
      <c r="AP29" s="344"/>
      <c r="AQ29" s="347"/>
      <c r="AR29" s="29"/>
      <c r="AS29" s="365"/>
      <c r="AT29" s="29"/>
      <c r="AU29" s="365"/>
      <c r="AV29" s="29"/>
      <c r="AW29" s="365"/>
      <c r="AX29" s="29"/>
      <c r="AY29" s="365"/>
      <c r="AZ29" s="29"/>
      <c r="BA29" s="365"/>
      <c r="BB29" s="366">
        <v>1</v>
      </c>
      <c r="BC29" s="29">
        <f>1*0.0661</f>
        <v>6.6100000000000006E-2</v>
      </c>
      <c r="BD29" s="366"/>
      <c r="BE29" s="365"/>
      <c r="BF29" s="557">
        <v>0</v>
      </c>
      <c r="BG29" s="712">
        <v>0</v>
      </c>
      <c r="BH29" s="725">
        <f>BF29+BG29*BP$62</f>
        <v>0</v>
      </c>
      <c r="BI29" s="712">
        <v>2</v>
      </c>
      <c r="BJ29" s="712">
        <v>2</v>
      </c>
      <c r="BK29" s="725">
        <f>BI29+BJ29*0.0661</f>
        <v>2.1322000000000001</v>
      </c>
      <c r="BL29" s="910">
        <v>0</v>
      </c>
      <c r="BM29" s="911">
        <v>0</v>
      </c>
      <c r="BN29" s="904">
        <f>BL29+BM29*BV$62</f>
        <v>0</v>
      </c>
      <c r="BO29" s="911">
        <v>1</v>
      </c>
      <c r="BP29" s="911">
        <v>0</v>
      </c>
      <c r="BQ29" s="909">
        <f>BO29+BP29*BP$62</f>
        <v>1</v>
      </c>
      <c r="BR29" s="557"/>
      <c r="BS29" s="712"/>
      <c r="BT29" s="904"/>
      <c r="BU29" s="933"/>
      <c r="BV29" s="933"/>
      <c r="BW29" s="934"/>
      <c r="BX29" s="910"/>
      <c r="BY29" s="911"/>
      <c r="BZ29" s="904"/>
      <c r="CA29" s="933"/>
      <c r="CB29" s="933"/>
      <c r="CC29" s="934"/>
      <c r="CD29" s="910">
        <v>0</v>
      </c>
      <c r="CE29" s="911">
        <v>0</v>
      </c>
      <c r="CF29" s="904">
        <f>CD29+CE29*CN$62</f>
        <v>0</v>
      </c>
      <c r="CG29" s="933">
        <v>1</v>
      </c>
      <c r="CH29" s="933">
        <v>1</v>
      </c>
      <c r="CI29" s="906">
        <f>CG29+CH29*CH$62</f>
        <v>1.0885</v>
      </c>
      <c r="CJ29" s="1127"/>
      <c r="CK29" s="1121"/>
      <c r="CL29" s="1121"/>
      <c r="CM29" s="1121"/>
      <c r="CN29" s="1121"/>
      <c r="CO29" s="934"/>
      <c r="CP29" s="1575">
        <v>1</v>
      </c>
      <c r="CQ29" s="1576">
        <v>0</v>
      </c>
      <c r="CR29" s="1121">
        <f t="shared" si="18"/>
        <v>1</v>
      </c>
      <c r="CS29" s="1576">
        <v>0</v>
      </c>
      <c r="CT29" s="1576">
        <v>1</v>
      </c>
      <c r="CU29" s="1577">
        <f t="shared" si="19"/>
        <v>8.6800000000000002E-2</v>
      </c>
      <c r="CV29" s="1127"/>
      <c r="CW29" s="1121"/>
      <c r="CX29" s="1121"/>
      <c r="CY29" s="1121"/>
      <c r="CZ29" s="1121"/>
      <c r="DA29" s="934"/>
      <c r="DB29" s="1575"/>
      <c r="DC29" s="1576"/>
      <c r="DD29" s="1121"/>
      <c r="DE29" s="1121"/>
      <c r="DF29" s="1576"/>
      <c r="DG29" s="934"/>
      <c r="DH29" s="1575"/>
      <c r="DI29" s="1576"/>
      <c r="DJ29" s="1121"/>
      <c r="DK29" s="1121"/>
      <c r="DL29" s="1576"/>
      <c r="DM29" s="931"/>
      <c r="DN29" s="1575"/>
      <c r="DO29" s="1576"/>
      <c r="DP29" s="1121"/>
      <c r="DQ29" s="1121"/>
      <c r="DR29" s="1576"/>
      <c r="DS29" s="1786"/>
      <c r="DT29" s="1576">
        <v>0</v>
      </c>
      <c r="DU29" s="1576">
        <v>0</v>
      </c>
      <c r="DV29" s="1619">
        <f>DT29+DU29*ED$62</f>
        <v>0</v>
      </c>
      <c r="DW29" s="1812">
        <v>1</v>
      </c>
      <c r="DX29" s="1576">
        <v>0</v>
      </c>
      <c r="DY29" s="1785">
        <f>DW29+DX29*DX$62</f>
        <v>1</v>
      </c>
      <c r="DZ29" s="1576"/>
      <c r="EA29" s="1576"/>
      <c r="EB29" s="1121"/>
      <c r="EC29" s="1121"/>
      <c r="ED29" s="1576"/>
      <c r="EE29" s="934"/>
      <c r="EF29" s="553"/>
      <c r="EG29" s="553"/>
      <c r="EL29" s="1528"/>
    </row>
    <row r="30" spans="1:147" ht="15" x14ac:dyDescent="0.25">
      <c r="A30" s="332">
        <v>27</v>
      </c>
      <c r="B30" s="329"/>
      <c r="C30" s="331"/>
      <c r="D30" s="329"/>
      <c r="E30" s="331"/>
      <c r="F30" s="329"/>
      <c r="G30" s="348"/>
      <c r="H30" s="331"/>
      <c r="I30" s="331"/>
      <c r="J30" s="329"/>
      <c r="K30" s="331"/>
      <c r="L30" s="329"/>
      <c r="M30" s="331"/>
      <c r="N30" s="329"/>
      <c r="O30" s="331"/>
      <c r="P30" s="343"/>
      <c r="Q30" s="330"/>
      <c r="R30" s="329"/>
      <c r="S30" s="331"/>
      <c r="T30" s="329"/>
      <c r="U30" s="331">
        <v>1</v>
      </c>
      <c r="V30" s="329"/>
      <c r="W30" s="331"/>
      <c r="X30" s="329"/>
      <c r="Y30" s="331"/>
      <c r="Z30" s="329"/>
      <c r="AA30" s="331"/>
      <c r="AB30" s="343"/>
      <c r="AC30" s="330"/>
      <c r="AD30" s="329"/>
      <c r="AE30" s="331"/>
      <c r="AF30" s="343"/>
      <c r="AG30" s="330"/>
      <c r="AH30" s="343"/>
      <c r="AI30" s="358"/>
      <c r="AJ30" s="330"/>
      <c r="AK30" s="331"/>
      <c r="AL30" s="329"/>
      <c r="AM30" s="331"/>
      <c r="AN30" s="343"/>
      <c r="AO30" s="330"/>
      <c r="AP30" s="343"/>
      <c r="AQ30" s="348"/>
      <c r="AS30" s="367"/>
      <c r="AU30" s="367"/>
      <c r="AW30" s="367"/>
      <c r="AY30" s="367"/>
      <c r="BA30" s="367"/>
      <c r="BB30" s="368"/>
      <c r="BC30" s="387"/>
      <c r="BD30" s="368"/>
      <c r="BE30" s="367"/>
      <c r="BF30" s="349"/>
      <c r="BG30" s="360"/>
      <c r="BH30" s="723"/>
      <c r="BI30" s="360"/>
      <c r="BJ30" s="360"/>
      <c r="BK30" s="730"/>
      <c r="BL30" s="912"/>
      <c r="BM30" s="745"/>
      <c r="BN30" s="913"/>
      <c r="BO30" s="745"/>
      <c r="BP30" s="745"/>
      <c r="BQ30" s="914"/>
      <c r="BR30" s="349"/>
      <c r="BS30" s="360"/>
      <c r="BT30" s="913"/>
      <c r="BU30" s="935"/>
      <c r="BV30" s="935"/>
      <c r="BW30" s="936"/>
      <c r="BX30" s="912"/>
      <c r="BY30" s="745"/>
      <c r="BZ30" s="913"/>
      <c r="CA30" s="935"/>
      <c r="CB30" s="935"/>
      <c r="CC30" s="936"/>
      <c r="CD30" s="912"/>
      <c r="CE30" s="745"/>
      <c r="CF30" s="913"/>
      <c r="CG30" s="935"/>
      <c r="CH30" s="935"/>
      <c r="CI30" s="936"/>
      <c r="CJ30" s="1126"/>
      <c r="CK30" s="1120"/>
      <c r="CL30" s="1120"/>
      <c r="CM30" s="1120"/>
      <c r="CN30" s="1120"/>
      <c r="CO30" s="932"/>
      <c r="CP30" s="1574"/>
      <c r="CQ30" s="922"/>
      <c r="CR30" s="1120"/>
      <c r="CS30" s="922"/>
      <c r="CT30" s="922"/>
      <c r="CU30" s="932"/>
      <c r="CV30" s="1126"/>
      <c r="CW30" s="1120"/>
      <c r="CX30" s="1120"/>
      <c r="CY30" s="1120"/>
      <c r="CZ30" s="1120"/>
      <c r="DA30" s="932"/>
      <c r="DB30" s="1574"/>
      <c r="DC30" s="922"/>
      <c r="DD30" s="1120"/>
      <c r="DE30" s="1120"/>
      <c r="DF30" s="922"/>
      <c r="DG30" s="932"/>
      <c r="DH30" s="1574"/>
      <c r="DI30" s="1672"/>
      <c r="DJ30" s="1673"/>
      <c r="DK30" s="1673"/>
      <c r="DL30" s="1672"/>
      <c r="DM30" s="1777"/>
      <c r="DN30" s="922"/>
      <c r="DO30" s="1672"/>
      <c r="DP30" s="1673"/>
      <c r="DQ30" s="1673"/>
      <c r="DR30" s="1672"/>
      <c r="DS30" s="932"/>
      <c r="DT30" s="1574"/>
      <c r="DU30" s="1672"/>
      <c r="DV30" s="1673"/>
      <c r="DW30" s="1673"/>
      <c r="DX30" s="1672"/>
      <c r="DY30" s="932"/>
      <c r="DZ30" s="1574"/>
      <c r="EA30" s="1672"/>
      <c r="EB30" s="1673"/>
      <c r="EC30" s="1673"/>
      <c r="ED30" s="1672"/>
      <c r="EE30" s="932"/>
      <c r="EF30" s="552"/>
      <c r="EG30" s="552"/>
      <c r="EL30" s="1528"/>
    </row>
    <row r="31" spans="1:147" ht="15" x14ac:dyDescent="0.25">
      <c r="A31" s="332">
        <v>28</v>
      </c>
      <c r="B31" s="329"/>
      <c r="C31" s="331"/>
      <c r="D31" s="329"/>
      <c r="E31" s="331"/>
      <c r="F31" s="329"/>
      <c r="G31" s="348"/>
      <c r="H31" s="331"/>
      <c r="I31" s="331"/>
      <c r="J31" s="329"/>
      <c r="K31" s="331"/>
      <c r="L31" s="329"/>
      <c r="M31" s="331"/>
      <c r="N31" s="329"/>
      <c r="O31" s="331"/>
      <c r="P31" s="343"/>
      <c r="Q31" s="330"/>
      <c r="R31" s="329"/>
      <c r="S31" s="331"/>
      <c r="T31" s="329"/>
      <c r="U31" s="331"/>
      <c r="V31" s="329">
        <v>1</v>
      </c>
      <c r="W31" s="331"/>
      <c r="X31" s="329"/>
      <c r="Y31" s="331"/>
      <c r="Z31" s="329"/>
      <c r="AA31" s="331"/>
      <c r="AB31" s="343"/>
      <c r="AC31" s="330"/>
      <c r="AD31" s="329"/>
      <c r="AE31" s="331"/>
      <c r="AF31" s="343"/>
      <c r="AG31" s="330"/>
      <c r="AH31" s="343"/>
      <c r="AI31" s="358"/>
      <c r="AJ31" s="330"/>
      <c r="AK31" s="331"/>
      <c r="AL31" s="329"/>
      <c r="AM31" s="331"/>
      <c r="AN31" s="343"/>
      <c r="AO31" s="330"/>
      <c r="AP31" s="343"/>
      <c r="AQ31" s="348"/>
      <c r="AS31" s="367"/>
      <c r="AU31" s="367">
        <v>1</v>
      </c>
      <c r="AW31" s="367"/>
      <c r="AY31" s="367"/>
      <c r="BA31" s="367"/>
      <c r="BB31" s="368"/>
      <c r="BC31" s="387">
        <f>1*0.0661</f>
        <v>6.6100000000000006E-2</v>
      </c>
      <c r="BD31" s="368">
        <v>1</v>
      </c>
      <c r="BE31" s="367"/>
      <c r="BF31" s="350"/>
      <c r="BG31" s="361"/>
      <c r="BH31" s="725"/>
      <c r="BI31" s="361"/>
      <c r="BJ31" s="361"/>
      <c r="BK31" s="732"/>
      <c r="BL31" s="748">
        <v>0</v>
      </c>
      <c r="BM31" s="903">
        <v>0</v>
      </c>
      <c r="BN31" s="904">
        <f>BL31+BM31*BV$62</f>
        <v>0</v>
      </c>
      <c r="BO31" s="903">
        <v>2</v>
      </c>
      <c r="BP31" s="903">
        <v>0</v>
      </c>
      <c r="BQ31" s="908">
        <f>BO31+BP31*BV$62</f>
        <v>2</v>
      </c>
      <c r="BR31" s="350"/>
      <c r="BS31" s="361"/>
      <c r="BT31" s="904"/>
      <c r="BU31" s="930"/>
      <c r="BV31" s="930"/>
      <c r="BW31" s="932"/>
      <c r="BX31" s="748"/>
      <c r="BY31" s="903"/>
      <c r="BZ31" s="904"/>
      <c r="CA31" s="930"/>
      <c r="CB31" s="930"/>
      <c r="CC31" s="906"/>
      <c r="CD31" s="748"/>
      <c r="CE31" s="903"/>
      <c r="CF31" s="904"/>
      <c r="CG31" s="930"/>
      <c r="CH31" s="930"/>
      <c r="CI31" s="932"/>
      <c r="CJ31" s="1126"/>
      <c r="CK31" s="1120"/>
      <c r="CL31" s="1120"/>
      <c r="CM31" s="1120"/>
      <c r="CN31" s="1120"/>
      <c r="CO31" s="932"/>
      <c r="CP31" s="1574">
        <v>2</v>
      </c>
      <c r="CQ31" s="922">
        <v>0</v>
      </c>
      <c r="CR31" s="909">
        <f>CP31+CQ31*CZ$62</f>
        <v>2</v>
      </c>
      <c r="CS31" s="922">
        <v>0</v>
      </c>
      <c r="CT31" s="922">
        <v>0</v>
      </c>
      <c r="CU31" s="906">
        <f>CS31+CT31*CZ$62</f>
        <v>0</v>
      </c>
      <c r="CV31" s="1126"/>
      <c r="CW31" s="1120"/>
      <c r="CX31" s="1120"/>
      <c r="CY31" s="1120"/>
      <c r="CZ31" s="1120"/>
      <c r="DA31" s="932"/>
      <c r="DB31" s="1574"/>
      <c r="DC31" s="922"/>
      <c r="DD31" s="1120"/>
      <c r="DE31" s="1120"/>
      <c r="DF31" s="922"/>
      <c r="DG31" s="932"/>
      <c r="DH31" s="1574"/>
      <c r="DI31" s="1672"/>
      <c r="DJ31" s="1673"/>
      <c r="DK31" s="1673"/>
      <c r="DL31" s="1672"/>
      <c r="DM31" s="1778"/>
      <c r="DN31" s="922"/>
      <c r="DO31" s="1672"/>
      <c r="DP31" s="1673"/>
      <c r="DQ31" s="1673"/>
      <c r="DR31" s="1672"/>
      <c r="DS31" s="932"/>
      <c r="DT31" s="1574"/>
      <c r="DU31" s="1672"/>
      <c r="DV31" s="1673"/>
      <c r="DW31" s="1702">
        <v>1</v>
      </c>
      <c r="DX31" s="1672">
        <v>0</v>
      </c>
      <c r="DY31" s="1611">
        <f>DW31+DX31*ED$62</f>
        <v>1</v>
      </c>
      <c r="DZ31" s="1574"/>
      <c r="EA31" s="1672"/>
      <c r="EB31" s="1673"/>
      <c r="EC31" s="1673"/>
      <c r="ED31" s="1672"/>
      <c r="EE31" s="932"/>
      <c r="EL31" s="1528"/>
    </row>
    <row r="32" spans="1:147" ht="15" x14ac:dyDescent="0.25">
      <c r="A32" s="332">
        <v>29</v>
      </c>
      <c r="B32" s="329"/>
      <c r="C32" s="331"/>
      <c r="D32" s="329"/>
      <c r="E32" s="331"/>
      <c r="F32" s="329"/>
      <c r="G32" s="348"/>
      <c r="H32" s="331"/>
      <c r="I32" s="331"/>
      <c r="J32" s="329"/>
      <c r="K32" s="331"/>
      <c r="L32" s="329"/>
      <c r="M32" s="331"/>
      <c r="N32" s="329"/>
      <c r="O32" s="331"/>
      <c r="P32" s="343"/>
      <c r="Q32" s="330"/>
      <c r="R32" s="329"/>
      <c r="S32" s="331"/>
      <c r="T32" s="329"/>
      <c r="U32" s="331"/>
      <c r="V32" s="329"/>
      <c r="W32" s="331"/>
      <c r="X32" s="329"/>
      <c r="Y32" s="331"/>
      <c r="Z32" s="329"/>
      <c r="AA32" s="331"/>
      <c r="AB32" s="343"/>
      <c r="AC32" s="330"/>
      <c r="AD32" s="329"/>
      <c r="AE32" s="331"/>
      <c r="AF32" s="343"/>
      <c r="AG32" s="330"/>
      <c r="AH32" s="343"/>
      <c r="AI32" s="358"/>
      <c r="AJ32" s="330"/>
      <c r="AK32" s="331"/>
      <c r="AL32" s="329"/>
      <c r="AM32" s="331"/>
      <c r="AN32" s="343"/>
      <c r="AO32" s="330"/>
      <c r="AP32" s="343"/>
      <c r="AQ32" s="348"/>
      <c r="AS32" s="367"/>
      <c r="AU32" s="367"/>
      <c r="AW32" s="367"/>
      <c r="AY32" s="367"/>
      <c r="BA32" s="367"/>
      <c r="BB32" s="368"/>
      <c r="BC32" s="387"/>
      <c r="BD32" s="368"/>
      <c r="BE32" s="367">
        <f>1*0.0661</f>
        <v>6.6100000000000006E-2</v>
      </c>
      <c r="BF32" s="350">
        <v>0</v>
      </c>
      <c r="BG32" s="361">
        <v>0</v>
      </c>
      <c r="BH32" s="725">
        <f>BF32+BG32*BP$62</f>
        <v>0</v>
      </c>
      <c r="BI32" s="361">
        <v>0</v>
      </c>
      <c r="BJ32" s="721">
        <v>1</v>
      </c>
      <c r="BK32" s="803">
        <f>BI32+BJ32*BP$62</f>
        <v>8.6499999999999994E-2</v>
      </c>
      <c r="BL32" s="748">
        <v>0</v>
      </c>
      <c r="BM32" s="903">
        <v>0</v>
      </c>
      <c r="BN32" s="904">
        <f>BL32+BM32*BV$62</f>
        <v>0</v>
      </c>
      <c r="BO32" s="922">
        <v>0</v>
      </c>
      <c r="BP32" s="903">
        <v>1</v>
      </c>
      <c r="BQ32" s="908">
        <f>BO32+BP32*BV$62</f>
        <v>8.7999999999999995E-2</v>
      </c>
      <c r="BR32" s="350"/>
      <c r="BS32" s="361"/>
      <c r="BT32" s="904"/>
      <c r="BU32" s="930"/>
      <c r="BV32" s="930"/>
      <c r="BW32" s="932"/>
      <c r="BX32" s="748"/>
      <c r="BY32" s="903"/>
      <c r="BZ32" s="904"/>
      <c r="CA32" s="930"/>
      <c r="CB32" s="930"/>
      <c r="CC32" s="932"/>
      <c r="CD32" s="748"/>
      <c r="CE32" s="903"/>
      <c r="CF32" s="904"/>
      <c r="CG32" s="930"/>
      <c r="CH32" s="930"/>
      <c r="CI32" s="932"/>
      <c r="CJ32" s="1126"/>
      <c r="CK32" s="1120"/>
      <c r="CL32" s="1120"/>
      <c r="CM32" s="1120"/>
      <c r="CN32" s="1120"/>
      <c r="CO32" s="932"/>
      <c r="CP32" s="1574"/>
      <c r="CQ32" s="922"/>
      <c r="CR32" s="1120"/>
      <c r="CS32" s="922"/>
      <c r="CT32" s="922"/>
      <c r="CU32" s="932"/>
      <c r="CV32" s="1126"/>
      <c r="CW32" s="1120"/>
      <c r="CX32" s="1120"/>
      <c r="CY32" s="1120"/>
      <c r="CZ32" s="1120"/>
      <c r="DA32" s="932"/>
      <c r="DB32" s="1574">
        <v>0</v>
      </c>
      <c r="DC32" s="922">
        <v>0</v>
      </c>
      <c r="DD32" s="1611">
        <f>DB32+DC32*DL$62</f>
        <v>0</v>
      </c>
      <c r="DE32" s="1614">
        <v>1</v>
      </c>
      <c r="DF32" s="922">
        <v>0</v>
      </c>
      <c r="DG32" s="1611">
        <f>DE32+DF32*DL$62</f>
        <v>1</v>
      </c>
      <c r="DH32" s="1574"/>
      <c r="DI32" s="1672"/>
      <c r="DJ32" s="1673"/>
      <c r="DK32" s="1674"/>
      <c r="DL32" s="1672"/>
      <c r="DM32" s="1778"/>
      <c r="DN32" s="922"/>
      <c r="DO32" s="1672"/>
      <c r="DP32" s="1673"/>
      <c r="DQ32" s="1674"/>
      <c r="DR32" s="1672"/>
      <c r="DS32" s="932"/>
      <c r="DT32" s="1574"/>
      <c r="DU32" s="1672"/>
      <c r="DV32" s="1673"/>
      <c r="DW32" s="1674"/>
      <c r="DX32" s="1672"/>
      <c r="DY32" s="932"/>
      <c r="DZ32" s="1574"/>
      <c r="EA32" s="1672"/>
      <c r="EB32" s="1673"/>
      <c r="EC32" s="1674"/>
      <c r="ED32" s="1672"/>
      <c r="EE32" s="932"/>
      <c r="EL32" s="1528"/>
    </row>
    <row r="33" spans="1:142" ht="15" x14ac:dyDescent="0.25">
      <c r="A33" s="332">
        <v>30</v>
      </c>
      <c r="B33" s="329"/>
      <c r="C33" s="331"/>
      <c r="D33" s="329"/>
      <c r="E33" s="331"/>
      <c r="F33" s="329"/>
      <c r="G33" s="348"/>
      <c r="H33" s="331"/>
      <c r="I33" s="331"/>
      <c r="J33" s="329"/>
      <c r="K33" s="331"/>
      <c r="L33" s="329"/>
      <c r="M33" s="331"/>
      <c r="N33" s="329"/>
      <c r="O33" s="331"/>
      <c r="P33" s="343"/>
      <c r="Q33" s="330"/>
      <c r="R33" s="329"/>
      <c r="S33" s="331"/>
      <c r="T33" s="329"/>
      <c r="U33" s="331"/>
      <c r="V33" s="329"/>
      <c r="W33" s="331"/>
      <c r="X33" s="329"/>
      <c r="Y33" s="331"/>
      <c r="Z33" s="329"/>
      <c r="AA33" s="331"/>
      <c r="AB33" s="343"/>
      <c r="AC33" s="330"/>
      <c r="AD33" s="329"/>
      <c r="AE33" s="331"/>
      <c r="AF33" s="343"/>
      <c r="AG33" s="330">
        <v>1</v>
      </c>
      <c r="AH33" s="343"/>
      <c r="AI33" s="358"/>
      <c r="AJ33" s="330"/>
      <c r="AK33" s="331"/>
      <c r="AL33" s="329"/>
      <c r="AM33" s="331"/>
      <c r="AN33" s="343"/>
      <c r="AO33" s="330"/>
      <c r="AP33" s="343"/>
      <c r="AQ33" s="348"/>
      <c r="AS33" s="367"/>
      <c r="AU33" s="367"/>
      <c r="AW33" s="367"/>
      <c r="AY33" s="367"/>
      <c r="BA33" s="367"/>
      <c r="BB33" s="368"/>
      <c r="BC33" s="387"/>
      <c r="BD33" s="368"/>
      <c r="BE33" s="367"/>
      <c r="BF33" s="350">
        <v>1</v>
      </c>
      <c r="BG33" s="361">
        <v>0</v>
      </c>
      <c r="BH33" s="725">
        <f>BF33+BG33*BP$62</f>
        <v>1</v>
      </c>
      <c r="BI33" s="361">
        <v>0</v>
      </c>
      <c r="BJ33" s="721">
        <v>1</v>
      </c>
      <c r="BK33" s="803">
        <f>BI33+BJ33*BP$62</f>
        <v>8.6499999999999994E-2</v>
      </c>
      <c r="BL33" s="748">
        <v>0</v>
      </c>
      <c r="BM33" s="903">
        <v>0</v>
      </c>
      <c r="BN33" s="904">
        <f>BL33+BM33*BV$62</f>
        <v>0</v>
      </c>
      <c r="BO33" s="903">
        <v>1</v>
      </c>
      <c r="BP33" s="903">
        <v>0</v>
      </c>
      <c r="BQ33" s="908">
        <f>BO33+BP33*BV$62</f>
        <v>1</v>
      </c>
      <c r="BR33" s="350">
        <v>2</v>
      </c>
      <c r="BS33" s="361">
        <v>0</v>
      </c>
      <c r="BT33" s="904">
        <f>BR33+BS33*CB$62</f>
        <v>2</v>
      </c>
      <c r="BU33" s="929">
        <v>0</v>
      </c>
      <c r="BV33" s="929">
        <v>0</v>
      </c>
      <c r="BW33" s="906">
        <f>BU33+BV33*CB$62</f>
        <v>0</v>
      </c>
      <c r="BX33" s="748"/>
      <c r="BY33" s="903"/>
      <c r="BZ33" s="904"/>
      <c r="CA33" s="929"/>
      <c r="CB33" s="929"/>
      <c r="CC33" s="906"/>
      <c r="CD33" s="748"/>
      <c r="CE33" s="903"/>
      <c r="CF33" s="904"/>
      <c r="CG33" s="929"/>
      <c r="CH33" s="929"/>
      <c r="CI33" s="906"/>
      <c r="CJ33" s="1124"/>
      <c r="CK33" s="909"/>
      <c r="CL33" s="909"/>
      <c r="CM33" s="909"/>
      <c r="CN33" s="909"/>
      <c r="CO33" s="906"/>
      <c r="CP33" s="1571"/>
      <c r="CQ33" s="905"/>
      <c r="CR33" s="909"/>
      <c r="CS33" s="905"/>
      <c r="CT33" s="905"/>
      <c r="CU33" s="906"/>
      <c r="CV33" s="1124"/>
      <c r="CW33" s="909"/>
      <c r="CX33" s="909"/>
      <c r="CY33" s="909"/>
      <c r="CZ33" s="909"/>
      <c r="DA33" s="906"/>
      <c r="DB33" s="1124"/>
      <c r="DC33" s="909"/>
      <c r="DD33" s="909"/>
      <c r="DE33" s="909"/>
      <c r="DF33" s="909"/>
      <c r="DG33" s="906"/>
      <c r="DH33" s="1574"/>
      <c r="DI33" s="1672"/>
      <c r="DJ33" s="1673"/>
      <c r="DK33" s="1674"/>
      <c r="DL33" s="1672"/>
      <c r="DM33" s="1779"/>
      <c r="DN33" s="922"/>
      <c r="DO33" s="1672"/>
      <c r="DP33" s="1673"/>
      <c r="DQ33" s="1674"/>
      <c r="DR33" s="1672"/>
      <c r="DS33" s="931"/>
      <c r="DT33" s="1574"/>
      <c r="DU33" s="1672"/>
      <c r="DV33" s="1673"/>
      <c r="DW33" s="1674"/>
      <c r="DX33" s="1672"/>
      <c r="DY33" s="931"/>
      <c r="DZ33" s="1574"/>
      <c r="EA33" s="1672"/>
      <c r="EB33" s="1673"/>
      <c r="EC33" s="1674"/>
      <c r="ED33" s="1672"/>
      <c r="EE33" s="931"/>
      <c r="EL33" s="1528"/>
    </row>
    <row r="34" spans="1:142" ht="15" x14ac:dyDescent="0.25">
      <c r="A34" s="332">
        <v>31</v>
      </c>
      <c r="B34" s="329"/>
      <c r="C34" s="331"/>
      <c r="D34" s="329"/>
      <c r="E34" s="331"/>
      <c r="F34" s="329"/>
      <c r="G34" s="348"/>
      <c r="H34" s="331"/>
      <c r="I34" s="331"/>
      <c r="J34" s="329"/>
      <c r="K34" s="331"/>
      <c r="L34" s="329"/>
      <c r="M34" s="331"/>
      <c r="N34" s="329"/>
      <c r="O34" s="331"/>
      <c r="P34" s="343"/>
      <c r="Q34" s="330"/>
      <c r="R34" s="329"/>
      <c r="S34" s="331"/>
      <c r="T34" s="329"/>
      <c r="U34" s="331"/>
      <c r="V34" s="329"/>
      <c r="W34" s="331"/>
      <c r="X34" s="329"/>
      <c r="Y34" s="331"/>
      <c r="Z34" s="329"/>
      <c r="AA34" s="331"/>
      <c r="AB34" s="343"/>
      <c r="AC34" s="330"/>
      <c r="AD34" s="329"/>
      <c r="AE34" s="331"/>
      <c r="AF34" s="343"/>
      <c r="AG34" s="330"/>
      <c r="AH34" s="343"/>
      <c r="AI34" s="358"/>
      <c r="AJ34" s="330"/>
      <c r="AK34" s="331"/>
      <c r="AL34" s="329"/>
      <c r="AM34" s="331"/>
      <c r="AN34" s="343"/>
      <c r="AO34" s="330"/>
      <c r="AP34" s="343"/>
      <c r="AQ34" s="348"/>
      <c r="AS34" s="367"/>
      <c r="AU34" s="367"/>
      <c r="AW34" s="367"/>
      <c r="AY34" s="367"/>
      <c r="BA34" s="367"/>
      <c r="BB34" s="368"/>
      <c r="BC34" s="387"/>
      <c r="BD34" s="368"/>
      <c r="BE34" s="367"/>
      <c r="BF34" s="350"/>
      <c r="BG34" s="361"/>
      <c r="BH34" s="725"/>
      <c r="BI34" s="361"/>
      <c r="BJ34" s="361"/>
      <c r="BK34" s="732"/>
      <c r="BL34" s="748"/>
      <c r="BM34" s="903"/>
      <c r="BN34" s="904"/>
      <c r="BO34" s="903"/>
      <c r="BP34" s="903"/>
      <c r="BQ34" s="908"/>
      <c r="BR34" s="350">
        <v>1</v>
      </c>
      <c r="BS34" s="361">
        <v>0</v>
      </c>
      <c r="BT34" s="904">
        <f>BR34+BS34*CB$62</f>
        <v>1</v>
      </c>
      <c r="BU34" s="929">
        <v>0</v>
      </c>
      <c r="BV34" s="929">
        <v>0</v>
      </c>
      <c r="BW34" s="906">
        <f>BU34+BV34*CB$62</f>
        <v>0</v>
      </c>
      <c r="BX34" s="748"/>
      <c r="BY34" s="903"/>
      <c r="BZ34" s="904"/>
      <c r="CA34" s="929"/>
      <c r="CB34" s="929"/>
      <c r="CC34" s="906"/>
      <c r="CD34" s="748"/>
      <c r="CE34" s="903"/>
      <c r="CF34" s="904"/>
      <c r="CG34" s="929"/>
      <c r="CH34" s="929"/>
      <c r="CI34" s="906"/>
      <c r="CJ34" s="1124"/>
      <c r="CK34" s="909"/>
      <c r="CL34" s="909"/>
      <c r="CM34" s="909"/>
      <c r="CN34" s="909"/>
      <c r="CO34" s="906"/>
      <c r="CP34" s="1571"/>
      <c r="CQ34" s="905"/>
      <c r="CR34" s="909"/>
      <c r="CS34" s="905"/>
      <c r="CT34" s="905"/>
      <c r="CU34" s="906"/>
      <c r="CV34" s="1124"/>
      <c r="CW34" s="909"/>
      <c r="CX34" s="909"/>
      <c r="CY34" s="909"/>
      <c r="CZ34" s="909"/>
      <c r="DA34" s="906"/>
      <c r="DB34" s="1124"/>
      <c r="DC34" s="909"/>
      <c r="DD34" s="909"/>
      <c r="DE34" s="909"/>
      <c r="DF34" s="909"/>
      <c r="DG34" s="906"/>
      <c r="DH34" s="1574"/>
      <c r="DI34" s="1672"/>
      <c r="DJ34" s="1673"/>
      <c r="DK34" s="1674"/>
      <c r="DL34" s="1672"/>
      <c r="DM34" s="1779"/>
      <c r="DN34" s="922"/>
      <c r="DO34" s="1672"/>
      <c r="DP34" s="1673"/>
      <c r="DQ34" s="1674"/>
      <c r="DR34" s="1672"/>
      <c r="DS34" s="931"/>
      <c r="DT34" s="1574"/>
      <c r="DU34" s="1672"/>
      <c r="DV34" s="1673"/>
      <c r="DW34" s="1674"/>
      <c r="DX34" s="1672"/>
      <c r="DY34" s="931"/>
      <c r="DZ34" s="1574"/>
      <c r="EA34" s="1672"/>
      <c r="EB34" s="1673"/>
      <c r="EC34" s="1674"/>
      <c r="ED34" s="1672"/>
      <c r="EE34" s="931"/>
      <c r="EL34" s="1528"/>
    </row>
    <row r="35" spans="1:142" ht="15" x14ac:dyDescent="0.25">
      <c r="A35" s="332">
        <v>32</v>
      </c>
      <c r="B35" s="329"/>
      <c r="C35" s="331"/>
      <c r="D35" s="329"/>
      <c r="E35" s="331"/>
      <c r="F35" s="329"/>
      <c r="G35" s="348"/>
      <c r="H35" s="331"/>
      <c r="I35" s="331"/>
      <c r="J35" s="329"/>
      <c r="K35" s="331"/>
      <c r="L35" s="329"/>
      <c r="M35" s="331"/>
      <c r="N35" s="329"/>
      <c r="O35" s="331"/>
      <c r="P35" s="343"/>
      <c r="Q35" s="330"/>
      <c r="R35" s="329"/>
      <c r="S35" s="331"/>
      <c r="T35" s="329"/>
      <c r="U35" s="331"/>
      <c r="V35" s="329"/>
      <c r="W35" s="331"/>
      <c r="X35" s="329"/>
      <c r="Y35" s="331"/>
      <c r="Z35" s="329"/>
      <c r="AA35" s="331"/>
      <c r="AB35" s="343"/>
      <c r="AC35" s="330"/>
      <c r="AD35" s="329"/>
      <c r="AE35" s="331"/>
      <c r="AF35" s="343"/>
      <c r="AG35" s="330"/>
      <c r="AH35" s="343"/>
      <c r="AI35" s="358"/>
      <c r="AJ35" s="330"/>
      <c r="AK35" s="331"/>
      <c r="AL35" s="329"/>
      <c r="AM35" s="331"/>
      <c r="AN35" s="343"/>
      <c r="AO35" s="330"/>
      <c r="AP35" s="343"/>
      <c r="AQ35" s="348"/>
      <c r="AS35" s="367"/>
      <c r="AU35" s="367"/>
      <c r="AW35" s="367"/>
      <c r="AY35" s="367"/>
      <c r="BA35" s="367"/>
      <c r="BB35" s="368"/>
      <c r="BC35" s="387"/>
      <c r="BD35" s="368"/>
      <c r="BE35" s="367"/>
      <c r="BF35" s="350"/>
      <c r="BG35" s="361"/>
      <c r="BH35" s="725"/>
      <c r="BI35" s="361"/>
      <c r="BJ35" s="361"/>
      <c r="BK35" s="732"/>
      <c r="BL35" s="748"/>
      <c r="BM35" s="903"/>
      <c r="BN35" s="904"/>
      <c r="BO35" s="903"/>
      <c r="BP35" s="903"/>
      <c r="BQ35" s="908"/>
      <c r="BR35" s="350"/>
      <c r="BS35" s="361"/>
      <c r="BT35" s="801"/>
      <c r="BU35" s="361"/>
      <c r="BV35" s="361"/>
      <c r="BW35" s="732"/>
      <c r="BX35" s="748"/>
      <c r="BY35" s="903"/>
      <c r="BZ35" s="904"/>
      <c r="CA35" s="903"/>
      <c r="CB35" s="903"/>
      <c r="CC35" s="908"/>
      <c r="CD35" s="748"/>
      <c r="CE35" s="903"/>
      <c r="CF35" s="904"/>
      <c r="CG35" s="903"/>
      <c r="CH35" s="903"/>
      <c r="CI35" s="908"/>
      <c r="CJ35" s="1128"/>
      <c r="CK35" s="904"/>
      <c r="CL35" s="904"/>
      <c r="CM35" s="904"/>
      <c r="CN35" s="904"/>
      <c r="CO35" s="908"/>
      <c r="CP35" s="748"/>
      <c r="CQ35" s="903"/>
      <c r="CR35" s="904"/>
      <c r="CS35" s="903"/>
      <c r="CT35" s="903"/>
      <c r="CU35" s="908"/>
      <c r="CV35" s="1128"/>
      <c r="CW35" s="904"/>
      <c r="CX35" s="904"/>
      <c r="CY35" s="904"/>
      <c r="CZ35" s="904"/>
      <c r="DA35" s="908"/>
      <c r="DB35" s="1128"/>
      <c r="DC35" s="904"/>
      <c r="DD35" s="904"/>
      <c r="DE35" s="904"/>
      <c r="DF35" s="904"/>
      <c r="DG35" s="908"/>
      <c r="DH35" s="1574"/>
      <c r="DI35" s="1672"/>
      <c r="DJ35" s="1673"/>
      <c r="DK35" s="1674"/>
      <c r="DL35" s="1672"/>
      <c r="DM35" s="1778"/>
      <c r="DN35" s="922"/>
      <c r="DO35" s="1672"/>
      <c r="DP35" s="1673"/>
      <c r="DQ35" s="1674"/>
      <c r="DR35" s="1672"/>
      <c r="DS35" s="932"/>
      <c r="DT35" s="1574"/>
      <c r="DU35" s="1672"/>
      <c r="DV35" s="1673"/>
      <c r="DW35" s="1674"/>
      <c r="DX35" s="1672"/>
      <c r="DY35" s="932"/>
      <c r="DZ35" s="1574"/>
      <c r="EA35" s="1672"/>
      <c r="EB35" s="1673"/>
      <c r="EC35" s="1674"/>
      <c r="ED35" s="1672"/>
      <c r="EE35" s="932"/>
      <c r="EL35" s="1528"/>
    </row>
    <row r="36" spans="1:142" ht="15" x14ac:dyDescent="0.25">
      <c r="A36" s="332">
        <v>33</v>
      </c>
      <c r="B36" s="329"/>
      <c r="C36" s="331"/>
      <c r="D36" s="329"/>
      <c r="E36" s="331"/>
      <c r="F36" s="329"/>
      <c r="G36" s="348"/>
      <c r="H36" s="331"/>
      <c r="I36" s="331"/>
      <c r="J36" s="329"/>
      <c r="K36" s="331"/>
      <c r="L36" s="329"/>
      <c r="M36" s="331"/>
      <c r="N36" s="329"/>
      <c r="O36" s="331"/>
      <c r="P36" s="343"/>
      <c r="Q36" s="330"/>
      <c r="R36" s="329"/>
      <c r="S36" s="331"/>
      <c r="T36" s="329"/>
      <c r="U36" s="331"/>
      <c r="V36" s="329"/>
      <c r="W36" s="331"/>
      <c r="X36" s="329"/>
      <c r="Y36" s="331"/>
      <c r="Z36" s="329"/>
      <c r="AA36" s="331"/>
      <c r="AB36" s="343"/>
      <c r="AC36" s="330"/>
      <c r="AD36" s="329"/>
      <c r="AE36" s="331"/>
      <c r="AF36" s="343"/>
      <c r="AG36" s="330"/>
      <c r="AH36" s="343"/>
      <c r="AI36" s="358"/>
      <c r="AJ36" s="330"/>
      <c r="AK36" s="331"/>
      <c r="AL36" s="329"/>
      <c r="AM36" s="331"/>
      <c r="AN36" s="343"/>
      <c r="AO36" s="330"/>
      <c r="AP36" s="343"/>
      <c r="AQ36" s="348"/>
      <c r="AS36" s="367"/>
      <c r="AU36" s="367"/>
      <c r="AW36" s="367"/>
      <c r="AY36" s="367"/>
      <c r="BA36" s="367"/>
      <c r="BB36" s="368"/>
      <c r="BC36" s="387"/>
      <c r="BD36" s="368"/>
      <c r="BE36" s="367"/>
      <c r="BF36" s="350"/>
      <c r="BG36" s="361"/>
      <c r="BH36" s="725"/>
      <c r="BI36" s="361"/>
      <c r="BJ36" s="361"/>
      <c r="BK36" s="732"/>
      <c r="BL36" s="748"/>
      <c r="BM36" s="903"/>
      <c r="BN36" s="904"/>
      <c r="BO36" s="903"/>
      <c r="BP36" s="903"/>
      <c r="BQ36" s="908"/>
      <c r="BR36" s="350"/>
      <c r="BS36" s="361"/>
      <c r="BT36" s="801"/>
      <c r="BU36" s="361"/>
      <c r="BV36" s="361"/>
      <c r="BW36" s="732"/>
      <c r="BX36" s="350"/>
      <c r="BY36" s="361"/>
      <c r="BZ36" s="801"/>
      <c r="CA36" s="361"/>
      <c r="CB36" s="361"/>
      <c r="CC36" s="732"/>
      <c r="CD36" s="350"/>
      <c r="CE36" s="361"/>
      <c r="CF36" s="801"/>
      <c r="CG36" s="361"/>
      <c r="CH36" s="361"/>
      <c r="CI36" s="732"/>
      <c r="CJ36" s="1129"/>
      <c r="CK36" s="725"/>
      <c r="CL36" s="725"/>
      <c r="CM36" s="725"/>
      <c r="CN36" s="725"/>
      <c r="CO36" s="732"/>
      <c r="CP36" s="350"/>
      <c r="CQ36" s="361"/>
      <c r="CR36" s="725"/>
      <c r="CS36" s="361"/>
      <c r="CT36" s="361"/>
      <c r="CU36" s="732"/>
      <c r="CV36" s="1129"/>
      <c r="CW36" s="725"/>
      <c r="CX36" s="725"/>
      <c r="CY36" s="725"/>
      <c r="CZ36" s="725"/>
      <c r="DA36" s="732"/>
      <c r="DB36" s="1129"/>
      <c r="DC36" s="725"/>
      <c r="DD36" s="725"/>
      <c r="DE36" s="725"/>
      <c r="DF36" s="725"/>
      <c r="DG36" s="732"/>
      <c r="DH36" s="1574"/>
      <c r="DI36" s="1672"/>
      <c r="DJ36" s="1673"/>
      <c r="DK36" s="1674"/>
      <c r="DL36" s="1672"/>
      <c r="DM36" s="1780"/>
      <c r="DN36" s="922"/>
      <c r="DO36" s="1672"/>
      <c r="DP36" s="1673"/>
      <c r="DQ36" s="1674"/>
      <c r="DR36" s="1672"/>
      <c r="DS36" s="1013"/>
      <c r="DT36" s="1574"/>
      <c r="DU36" s="1672"/>
      <c r="DV36" s="1673"/>
      <c r="DW36" s="1674"/>
      <c r="DX36" s="1672"/>
      <c r="DY36" s="1013"/>
      <c r="DZ36" s="1574"/>
      <c r="EA36" s="1672"/>
      <c r="EB36" s="1673"/>
      <c r="EC36" s="1674"/>
      <c r="ED36" s="1672"/>
      <c r="EE36" s="1013"/>
      <c r="EL36" s="1528"/>
    </row>
    <row r="37" spans="1:142" ht="15" x14ac:dyDescent="0.25">
      <c r="A37" s="332">
        <v>34</v>
      </c>
      <c r="B37" s="329"/>
      <c r="C37" s="331"/>
      <c r="D37" s="329"/>
      <c r="E37" s="331"/>
      <c r="F37" s="329"/>
      <c r="G37" s="348"/>
      <c r="H37" s="331"/>
      <c r="I37" s="331"/>
      <c r="J37" s="329">
        <v>2</v>
      </c>
      <c r="K37" s="331"/>
      <c r="L37" s="329"/>
      <c r="M37" s="331"/>
      <c r="N37" s="329"/>
      <c r="O37" s="331">
        <v>1</v>
      </c>
      <c r="P37" s="343"/>
      <c r="Q37" s="330"/>
      <c r="R37" s="329">
        <v>5</v>
      </c>
      <c r="S37" s="331"/>
      <c r="T37" s="329"/>
      <c r="U37" s="331"/>
      <c r="V37" s="329">
        <v>1</v>
      </c>
      <c r="W37" s="331">
        <v>1</v>
      </c>
      <c r="X37" s="329"/>
      <c r="Y37" s="331"/>
      <c r="Z37" s="329">
        <v>1</v>
      </c>
      <c r="AA37" s="331">
        <v>1</v>
      </c>
      <c r="AB37" s="343"/>
      <c r="AC37" s="330"/>
      <c r="AD37" s="329"/>
      <c r="AE37" s="331"/>
      <c r="AF37" s="343"/>
      <c r="AG37" s="330"/>
      <c r="AH37" s="343"/>
      <c r="AI37" s="358"/>
      <c r="AJ37" s="330"/>
      <c r="AK37" s="331"/>
      <c r="AL37" s="329"/>
      <c r="AM37" s="331"/>
      <c r="AN37" s="343"/>
      <c r="AO37" s="330"/>
      <c r="AP37" s="343"/>
      <c r="AQ37" s="348"/>
      <c r="AS37" s="367"/>
      <c r="AU37" s="367"/>
      <c r="AW37" s="367">
        <v>1</v>
      </c>
      <c r="AY37" s="367"/>
      <c r="BA37" s="367"/>
      <c r="BB37" s="368">
        <v>1</v>
      </c>
      <c r="BC37" s="131"/>
      <c r="BD37" s="368"/>
      <c r="BE37" s="131"/>
      <c r="BF37" s="350"/>
      <c r="BG37" s="361"/>
      <c r="BH37" s="725"/>
      <c r="BI37" s="361"/>
      <c r="BJ37" s="361"/>
      <c r="BK37" s="732"/>
      <c r="BL37" s="748"/>
      <c r="BM37" s="903"/>
      <c r="BN37" s="904"/>
      <c r="BO37" s="903"/>
      <c r="BP37" s="903"/>
      <c r="BQ37" s="908"/>
      <c r="BR37" s="350"/>
      <c r="BS37" s="361"/>
      <c r="BT37" s="801"/>
      <c r="BU37" s="361"/>
      <c r="BV37" s="361"/>
      <c r="BW37" s="732"/>
      <c r="BX37" s="1010">
        <v>0</v>
      </c>
      <c r="BY37" s="1011">
        <v>0</v>
      </c>
      <c r="BZ37" s="904">
        <f>BX37+BY37*CH$62</f>
        <v>0</v>
      </c>
      <c r="CA37" s="1011">
        <v>1</v>
      </c>
      <c r="CB37" s="1011">
        <v>0</v>
      </c>
      <c r="CC37" s="906">
        <f>CA37+CB37*CB$62</f>
        <v>1</v>
      </c>
      <c r="CD37" s="1488">
        <v>1</v>
      </c>
      <c r="CE37" s="1489">
        <v>0</v>
      </c>
      <c r="CF37" s="904">
        <f>CD37+CE37*CN$62</f>
        <v>1</v>
      </c>
      <c r="CG37" s="1489">
        <v>0</v>
      </c>
      <c r="CH37" s="1489">
        <v>0</v>
      </c>
      <c r="CI37" s="906">
        <f>CG37+CH37*CN$62</f>
        <v>0</v>
      </c>
      <c r="CJ37" s="1129"/>
      <c r="CK37" s="725"/>
      <c r="CL37" s="725"/>
      <c r="CM37" s="725"/>
      <c r="CN37" s="725"/>
      <c r="CO37" s="732"/>
      <c r="CP37" s="350"/>
      <c r="CQ37" s="361"/>
      <c r="CR37" s="725"/>
      <c r="CS37" s="361"/>
      <c r="CT37" s="361"/>
      <c r="CU37" s="732"/>
      <c r="CV37" s="1129"/>
      <c r="CW37" s="725"/>
      <c r="CX37" s="725"/>
      <c r="CY37" s="725"/>
      <c r="CZ37" s="725"/>
      <c r="DA37" s="732"/>
      <c r="DB37" s="1129"/>
      <c r="DC37" s="725"/>
      <c r="DD37" s="725"/>
      <c r="DE37" s="725"/>
      <c r="DF37" s="725"/>
      <c r="DG37" s="732"/>
      <c r="DH37" s="1574"/>
      <c r="DI37" s="1672"/>
      <c r="DJ37" s="1673"/>
      <c r="DK37" s="1674"/>
      <c r="DL37" s="1672"/>
      <c r="DM37" s="1780"/>
      <c r="DN37" s="922"/>
      <c r="DO37" s="1672"/>
      <c r="DP37" s="1673"/>
      <c r="DQ37" s="1674"/>
      <c r="DR37" s="1672"/>
      <c r="DS37" s="1013"/>
      <c r="DT37" s="1574"/>
      <c r="DU37" s="1672"/>
      <c r="DV37" s="1673"/>
      <c r="DW37" s="1674"/>
      <c r="DX37" s="1672"/>
      <c r="DY37" s="1013"/>
      <c r="DZ37" s="1574"/>
      <c r="EA37" s="1672"/>
      <c r="EB37" s="1673"/>
      <c r="EC37" s="1674"/>
      <c r="ED37" s="1672"/>
      <c r="EE37" s="1013"/>
      <c r="EL37" s="1528"/>
    </row>
    <row r="38" spans="1:142" ht="15" x14ac:dyDescent="0.25">
      <c r="A38" s="332">
        <v>35</v>
      </c>
      <c r="B38" s="329"/>
      <c r="C38" s="331"/>
      <c r="D38" s="329"/>
      <c r="E38" s="331"/>
      <c r="F38" s="329">
        <v>1</v>
      </c>
      <c r="G38" s="348"/>
      <c r="H38" s="331"/>
      <c r="I38" s="331"/>
      <c r="J38" s="329">
        <v>2</v>
      </c>
      <c r="K38" s="331"/>
      <c r="L38" s="329"/>
      <c r="M38" s="331"/>
      <c r="N38" s="329">
        <v>2</v>
      </c>
      <c r="O38" s="331"/>
      <c r="P38" s="343"/>
      <c r="Q38" s="330"/>
      <c r="R38" s="329"/>
      <c r="S38" s="331">
        <v>1</v>
      </c>
      <c r="T38" s="329">
        <v>2</v>
      </c>
      <c r="U38" s="331"/>
      <c r="V38" s="329">
        <v>2</v>
      </c>
      <c r="W38" s="331"/>
      <c r="X38" s="329"/>
      <c r="Y38" s="331"/>
      <c r="Z38" s="329">
        <v>2</v>
      </c>
      <c r="AA38" s="331"/>
      <c r="AB38" s="343"/>
      <c r="AC38" s="330"/>
      <c r="AD38" s="329"/>
      <c r="AE38" s="331"/>
      <c r="AF38" s="343"/>
      <c r="AG38" s="330"/>
      <c r="AH38" s="343"/>
      <c r="AI38" s="358">
        <v>1</v>
      </c>
      <c r="AJ38" s="330"/>
      <c r="AK38" s="331"/>
      <c r="AL38" s="329"/>
      <c r="AM38" s="331"/>
      <c r="AN38" s="343"/>
      <c r="AO38" s="330"/>
      <c r="AP38" s="343">
        <v>1</v>
      </c>
      <c r="AQ38" s="348">
        <v>1</v>
      </c>
      <c r="AS38" s="367"/>
      <c r="AT38" s="17">
        <v>1</v>
      </c>
      <c r="AU38" s="367"/>
      <c r="AW38" s="367"/>
      <c r="AY38" s="367"/>
      <c r="BA38" s="367"/>
      <c r="BB38" s="368">
        <v>1</v>
      </c>
      <c r="BC38" s="131"/>
      <c r="BD38" s="368"/>
      <c r="BE38" s="131"/>
      <c r="BF38" s="350">
        <v>0</v>
      </c>
      <c r="BG38" s="361">
        <v>2</v>
      </c>
      <c r="BH38" s="725">
        <f>BF38+BG38*BP$62</f>
        <v>0.17299999999999999</v>
      </c>
      <c r="BI38" s="361">
        <v>0</v>
      </c>
      <c r="BJ38" s="361">
        <v>0</v>
      </c>
      <c r="BK38" s="803">
        <f>BI38+BJ38*BP$62</f>
        <v>0</v>
      </c>
      <c r="BL38" s="748"/>
      <c r="BM38" s="903"/>
      <c r="BN38" s="904"/>
      <c r="BO38" s="903"/>
      <c r="BP38" s="903"/>
      <c r="BQ38" s="908"/>
      <c r="BR38" s="350"/>
      <c r="BS38" s="361"/>
      <c r="BT38" s="801"/>
      <c r="BU38" s="361"/>
      <c r="BV38" s="361"/>
      <c r="BW38" s="732"/>
      <c r="BX38" s="1010"/>
      <c r="BY38" s="1011"/>
      <c r="BZ38" s="1012"/>
      <c r="CA38" s="1011"/>
      <c r="CB38" s="1011"/>
      <c r="CC38" s="1013"/>
      <c r="CD38" s="1488">
        <v>0</v>
      </c>
      <c r="CE38" s="1489">
        <v>0</v>
      </c>
      <c r="CF38" s="904">
        <f>CD38+CE38*CN$62</f>
        <v>0</v>
      </c>
      <c r="CG38" s="1489">
        <v>2</v>
      </c>
      <c r="CH38" s="1489">
        <v>0</v>
      </c>
      <c r="CI38" s="906">
        <f>CG38+CH38*CN$62</f>
        <v>2</v>
      </c>
      <c r="CJ38" s="1129"/>
      <c r="CK38" s="725"/>
      <c r="CL38" s="725"/>
      <c r="CM38" s="725"/>
      <c r="CN38" s="725"/>
      <c r="CO38" s="732"/>
      <c r="CP38" s="350"/>
      <c r="CQ38" s="361"/>
      <c r="CR38" s="725"/>
      <c r="CS38" s="361"/>
      <c r="CT38" s="361"/>
      <c r="CU38" s="732"/>
      <c r="CV38" s="1129"/>
      <c r="CW38" s="725"/>
      <c r="CX38" s="725"/>
      <c r="CY38" s="725"/>
      <c r="CZ38" s="725"/>
      <c r="DA38" s="732"/>
      <c r="DB38" s="1129"/>
      <c r="DC38" s="725"/>
      <c r="DD38" s="725"/>
      <c r="DE38" s="725"/>
      <c r="DF38" s="725"/>
      <c r="DG38" s="1611"/>
      <c r="DH38" s="1574"/>
      <c r="DI38" s="1672"/>
      <c r="DJ38" s="1673"/>
      <c r="DK38" s="1674"/>
      <c r="DL38" s="1672"/>
      <c r="DM38" s="1780"/>
      <c r="DN38" s="922"/>
      <c r="DO38" s="1672"/>
      <c r="DP38" s="1673"/>
      <c r="DQ38" s="1674"/>
      <c r="DR38" s="1672"/>
      <c r="DS38" s="1013"/>
      <c r="DT38" s="1574"/>
      <c r="DU38" s="1672"/>
      <c r="DV38" s="1673"/>
      <c r="DW38" s="1674"/>
      <c r="DX38" s="1672"/>
      <c r="DY38" s="1013"/>
      <c r="DZ38" s="1574"/>
      <c r="EA38" s="1672"/>
      <c r="EB38" s="1673"/>
      <c r="EC38" s="1674"/>
      <c r="ED38" s="1672"/>
      <c r="EE38" s="1013"/>
      <c r="EL38" s="1528"/>
    </row>
    <row r="39" spans="1:142" ht="15" x14ac:dyDescent="0.25">
      <c r="A39" s="332">
        <v>36</v>
      </c>
      <c r="B39" s="329"/>
      <c r="C39" s="331"/>
      <c r="D39" s="329"/>
      <c r="E39" s="331"/>
      <c r="F39" s="329">
        <v>7</v>
      </c>
      <c r="G39" s="348">
        <v>4</v>
      </c>
      <c r="H39" s="331"/>
      <c r="I39" s="331"/>
      <c r="J39" s="329">
        <v>6</v>
      </c>
      <c r="K39" s="331"/>
      <c r="L39" s="329"/>
      <c r="M39" s="331"/>
      <c r="N39" s="329"/>
      <c r="O39" s="331"/>
      <c r="P39" s="343"/>
      <c r="Q39" s="330"/>
      <c r="R39" s="329"/>
      <c r="S39" s="331"/>
      <c r="T39" s="329"/>
      <c r="U39" s="331"/>
      <c r="V39" s="329">
        <v>1</v>
      </c>
      <c r="W39" s="331"/>
      <c r="X39" s="329"/>
      <c r="Y39" s="331"/>
      <c r="Z39" s="329"/>
      <c r="AA39" s="331">
        <v>1</v>
      </c>
      <c r="AB39" s="343"/>
      <c r="AC39" s="330"/>
      <c r="AD39" s="329">
        <v>6</v>
      </c>
      <c r="AE39" s="331"/>
      <c r="AF39" s="343"/>
      <c r="AG39" s="330"/>
      <c r="AH39" s="343">
        <v>2</v>
      </c>
      <c r="AI39" s="358">
        <v>1</v>
      </c>
      <c r="AJ39" s="330"/>
      <c r="AK39" s="331">
        <v>1</v>
      </c>
      <c r="AL39" s="329"/>
      <c r="AM39" s="331"/>
      <c r="AN39" s="343"/>
      <c r="AO39" s="330"/>
      <c r="AP39" s="343"/>
      <c r="AQ39" s="348"/>
      <c r="AS39" s="367"/>
      <c r="AT39" s="17">
        <v>2</v>
      </c>
      <c r="AU39" s="367">
        <v>1</v>
      </c>
      <c r="AW39" s="367"/>
      <c r="AY39" s="367"/>
      <c r="AZ39" s="17">
        <v>2</v>
      </c>
      <c r="BA39" s="367"/>
      <c r="BB39" s="368"/>
      <c r="BC39" s="367"/>
      <c r="BD39" s="368"/>
      <c r="BE39" s="367"/>
      <c r="BF39" s="350"/>
      <c r="BG39" s="361"/>
      <c r="BH39" s="725"/>
      <c r="BI39" s="361"/>
      <c r="BJ39" s="361"/>
      <c r="BK39" s="732"/>
      <c r="BL39" s="748">
        <v>1</v>
      </c>
      <c r="BM39" s="903">
        <v>0</v>
      </c>
      <c r="BN39" s="904">
        <f>BL39+BM39*BV$62</f>
        <v>1</v>
      </c>
      <c r="BO39" s="903">
        <v>0</v>
      </c>
      <c r="BP39" s="903">
        <v>0</v>
      </c>
      <c r="BQ39" s="908">
        <f>BO39+BP39*BV$62</f>
        <v>0</v>
      </c>
      <c r="BR39" s="350">
        <v>0</v>
      </c>
      <c r="BS39" s="361">
        <v>0</v>
      </c>
      <c r="BT39" s="904">
        <f>BR39+BS39*CB$62</f>
        <v>0</v>
      </c>
      <c r="BU39" s="1011">
        <v>1</v>
      </c>
      <c r="BV39" s="1011">
        <v>0</v>
      </c>
      <c r="BW39" s="906">
        <f>BU39+BV39*CB$62</f>
        <v>1</v>
      </c>
      <c r="BX39" s="1010">
        <v>1</v>
      </c>
      <c r="BY39" s="1011">
        <v>0</v>
      </c>
      <c r="BZ39" s="904">
        <f>BX39+BY39*CH$62</f>
        <v>1</v>
      </c>
      <c r="CA39" s="1011">
        <v>0</v>
      </c>
      <c r="CB39" s="1011">
        <v>0</v>
      </c>
      <c r="CC39" s="906">
        <f>CA39+CB39*CB$62</f>
        <v>0</v>
      </c>
      <c r="CD39" s="350"/>
      <c r="CE39" s="361"/>
      <c r="CF39" s="801"/>
      <c r="CG39" s="361"/>
      <c r="CH39" s="361"/>
      <c r="CI39" s="802"/>
      <c r="CJ39" s="748">
        <v>1</v>
      </c>
      <c r="CK39" s="903">
        <v>0</v>
      </c>
      <c r="CL39" s="904">
        <f>CJ39+CK39*CT$62</f>
        <v>1</v>
      </c>
      <c r="CM39" s="903">
        <v>0</v>
      </c>
      <c r="CN39" s="903">
        <v>0</v>
      </c>
      <c r="CO39" s="904">
        <f>CM39+CN39*CT$62</f>
        <v>0</v>
      </c>
      <c r="CP39" s="1574">
        <v>0</v>
      </c>
      <c r="CQ39" s="922">
        <v>0</v>
      </c>
      <c r="CR39" s="1119">
        <f>CP39+CQ39*CZ$62</f>
        <v>0</v>
      </c>
      <c r="CS39" s="922">
        <v>1</v>
      </c>
      <c r="CT39" s="922">
        <v>0</v>
      </c>
      <c r="CU39" s="906">
        <f>CS39+CT39*CZ$62</f>
        <v>1</v>
      </c>
      <c r="CV39" s="1130"/>
      <c r="CW39" s="801"/>
      <c r="CX39" s="801"/>
      <c r="CY39" s="801"/>
      <c r="CZ39" s="801"/>
      <c r="DA39" s="802"/>
      <c r="DB39" s="1571">
        <v>1</v>
      </c>
      <c r="DC39" s="905">
        <v>0</v>
      </c>
      <c r="DD39" s="1611">
        <f>DB39+DC39*DL$62</f>
        <v>1</v>
      </c>
      <c r="DE39" s="1614">
        <v>1</v>
      </c>
      <c r="DF39" s="905">
        <v>0</v>
      </c>
      <c r="DG39" s="1611">
        <f t="shared" ref="DG39" si="23">DE39+DF39*DL$62</f>
        <v>1</v>
      </c>
      <c r="DH39" s="1574"/>
      <c r="DI39" s="1672"/>
      <c r="DJ39" s="1673"/>
      <c r="DK39" s="1674"/>
      <c r="DL39" s="1672"/>
      <c r="DM39" s="1781"/>
      <c r="DN39" s="922">
        <v>0</v>
      </c>
      <c r="DO39" s="1672">
        <v>0</v>
      </c>
      <c r="DP39" s="1673"/>
      <c r="DQ39" s="1702">
        <v>1</v>
      </c>
      <c r="DR39" s="1672">
        <v>0</v>
      </c>
      <c r="DS39" s="1611">
        <f>DQ39+DR39*DX$62</f>
        <v>1</v>
      </c>
      <c r="DT39" s="1574"/>
      <c r="DU39" s="1672"/>
      <c r="DV39" s="1673"/>
      <c r="DW39" s="1674"/>
      <c r="DX39" s="1672"/>
      <c r="DY39" s="1643"/>
      <c r="DZ39" s="1574"/>
      <c r="EA39" s="1672"/>
      <c r="EB39" s="1673"/>
      <c r="EC39" s="1674"/>
      <c r="ED39" s="1672"/>
      <c r="EE39" s="1643"/>
      <c r="EL39" s="1529"/>
    </row>
    <row r="40" spans="1:142" x14ac:dyDescent="0.2">
      <c r="A40" s="332">
        <v>37</v>
      </c>
      <c r="B40" s="329"/>
      <c r="C40" s="331"/>
      <c r="D40" s="329"/>
      <c r="E40" s="331"/>
      <c r="F40" s="329"/>
      <c r="G40" s="348"/>
      <c r="H40" s="331"/>
      <c r="I40" s="331"/>
      <c r="J40" s="329">
        <v>9</v>
      </c>
      <c r="K40" s="331"/>
      <c r="L40" s="329"/>
      <c r="M40" s="331"/>
      <c r="N40" s="329"/>
      <c r="O40" s="331"/>
      <c r="P40" s="343"/>
      <c r="Q40" s="330"/>
      <c r="R40" s="329">
        <v>1</v>
      </c>
      <c r="S40" s="331"/>
      <c r="T40" s="329"/>
      <c r="U40" s="331"/>
      <c r="V40" s="329"/>
      <c r="W40" s="331"/>
      <c r="X40" s="329"/>
      <c r="Y40" s="331"/>
      <c r="Z40" s="329"/>
      <c r="AA40" s="331"/>
      <c r="AB40" s="343"/>
      <c r="AC40" s="330"/>
      <c r="AD40" s="329"/>
      <c r="AE40" s="331">
        <v>1</v>
      </c>
      <c r="AF40" s="343"/>
      <c r="AG40" s="330"/>
      <c r="AH40" s="343">
        <v>2</v>
      </c>
      <c r="AI40" s="358"/>
      <c r="AJ40" s="330"/>
      <c r="AK40" s="331"/>
      <c r="AL40" s="329">
        <v>3</v>
      </c>
      <c r="AM40" s="331"/>
      <c r="AN40" s="343"/>
      <c r="AO40" s="330"/>
      <c r="AP40" s="343"/>
      <c r="AQ40" s="348"/>
      <c r="AS40" s="367"/>
      <c r="AT40" s="17">
        <v>1</v>
      </c>
      <c r="AU40" s="367">
        <v>1</v>
      </c>
      <c r="AW40" s="367"/>
      <c r="AY40" s="367"/>
      <c r="BA40" s="367"/>
      <c r="BB40" s="368"/>
      <c r="BC40" s="367"/>
      <c r="BD40" s="368"/>
      <c r="BE40" s="367"/>
      <c r="BF40" s="350">
        <v>0</v>
      </c>
      <c r="BG40" s="361">
        <v>0</v>
      </c>
      <c r="BH40" s="725">
        <f>BF40+BG40*BP$62</f>
        <v>0</v>
      </c>
      <c r="BI40" s="721">
        <v>1</v>
      </c>
      <c r="BJ40" s="361">
        <v>0</v>
      </c>
      <c r="BK40" s="803">
        <f>BI40+BJ40*BP$62</f>
        <v>1</v>
      </c>
      <c r="BL40" s="748"/>
      <c r="BM40" s="903"/>
      <c r="BN40" s="904"/>
      <c r="BO40" s="903"/>
      <c r="BP40" s="903"/>
      <c r="BQ40" s="908"/>
      <c r="BR40" s="350">
        <v>1</v>
      </c>
      <c r="BS40" s="361">
        <v>0</v>
      </c>
      <c r="BT40" s="904">
        <f>BR40+BS40*CB$62</f>
        <v>1</v>
      </c>
      <c r="BU40" s="361">
        <v>0</v>
      </c>
      <c r="BV40" s="361">
        <v>0</v>
      </c>
      <c r="BW40" s="906">
        <f>BU40+BV40*CB$62</f>
        <v>0</v>
      </c>
      <c r="BX40" s="350"/>
      <c r="BY40" s="361"/>
      <c r="BZ40" s="801"/>
      <c r="CA40" s="361"/>
      <c r="CB40" s="361"/>
      <c r="CC40" s="732"/>
      <c r="CD40" s="350"/>
      <c r="CE40" s="361"/>
      <c r="CF40" s="801"/>
      <c r="CG40" s="361"/>
      <c r="CH40" s="361"/>
      <c r="CI40" s="732"/>
      <c r="CJ40" s="748">
        <v>1</v>
      </c>
      <c r="CK40" s="903">
        <v>0</v>
      </c>
      <c r="CL40" s="904">
        <f>CJ40+CK40*CT$62</f>
        <v>1</v>
      </c>
      <c r="CM40" s="903">
        <v>0</v>
      </c>
      <c r="CN40" s="903">
        <v>0</v>
      </c>
      <c r="CO40" s="904">
        <f>CM40+CN40*CT$62</f>
        <v>0</v>
      </c>
      <c r="CP40" s="1574">
        <v>0</v>
      </c>
      <c r="CQ40" s="922">
        <v>0</v>
      </c>
      <c r="CR40" s="1119">
        <f>CP40+CQ40*CZ$62</f>
        <v>0</v>
      </c>
      <c r="CS40" s="922">
        <v>2</v>
      </c>
      <c r="CT40" s="922">
        <v>0</v>
      </c>
      <c r="CU40" s="906">
        <f>CS40+CT40*CZ$62</f>
        <v>2</v>
      </c>
      <c r="CV40" s="1129"/>
      <c r="CW40" s="725"/>
      <c r="CX40" s="725"/>
      <c r="CY40" s="725"/>
      <c r="CZ40" s="725"/>
      <c r="DA40" s="732"/>
      <c r="DB40" s="1129"/>
      <c r="DC40" s="725"/>
      <c r="DD40" s="725"/>
      <c r="DE40" s="725"/>
      <c r="DF40" s="725"/>
      <c r="DG40" s="732"/>
      <c r="DH40" s="1574"/>
      <c r="DI40" s="1672"/>
      <c r="DJ40" s="1673"/>
      <c r="DK40" s="1674"/>
      <c r="DL40" s="1672"/>
      <c r="DM40" s="1780"/>
      <c r="DT40" s="1574"/>
      <c r="DU40" s="1672"/>
      <c r="DV40" s="1673"/>
      <c r="DW40" s="1674"/>
      <c r="DX40" s="1672"/>
      <c r="DY40" s="1711"/>
      <c r="DZ40" s="1574"/>
      <c r="EA40" s="1672"/>
      <c r="EB40" s="1673"/>
      <c r="EC40" s="1674"/>
      <c r="ED40" s="1672"/>
      <c r="EE40" s="1711"/>
    </row>
    <row r="41" spans="1:142" x14ac:dyDescent="0.2">
      <c r="A41" s="332">
        <v>38</v>
      </c>
      <c r="B41" s="329"/>
      <c r="C41" s="331"/>
      <c r="D41" s="329"/>
      <c r="E41" s="331"/>
      <c r="F41" s="329">
        <v>1</v>
      </c>
      <c r="G41" s="348">
        <v>1</v>
      </c>
      <c r="H41" s="331"/>
      <c r="I41" s="331"/>
      <c r="J41" s="329">
        <v>2</v>
      </c>
      <c r="K41" s="331"/>
      <c r="L41" s="329"/>
      <c r="M41" s="331"/>
      <c r="N41" s="329">
        <v>1</v>
      </c>
      <c r="O41" s="331">
        <v>1</v>
      </c>
      <c r="P41" s="343"/>
      <c r="Q41" s="330"/>
      <c r="R41" s="329"/>
      <c r="S41" s="331"/>
      <c r="T41" s="329"/>
      <c r="U41" s="331"/>
      <c r="V41" s="329">
        <v>1</v>
      </c>
      <c r="W41" s="331"/>
      <c r="X41" s="329"/>
      <c r="Y41" s="331"/>
      <c r="Z41" s="329">
        <v>2</v>
      </c>
      <c r="AA41" s="331"/>
      <c r="AB41" s="343"/>
      <c r="AC41" s="330"/>
      <c r="AD41" s="329"/>
      <c r="AE41" s="331"/>
      <c r="AF41" s="343"/>
      <c r="AG41" s="330"/>
      <c r="AH41" s="343"/>
      <c r="AI41" s="358">
        <v>1</v>
      </c>
      <c r="AJ41" s="330"/>
      <c r="AK41" s="331"/>
      <c r="AL41" s="329"/>
      <c r="AM41" s="331"/>
      <c r="AN41" s="343"/>
      <c r="AO41" s="330">
        <v>1</v>
      </c>
      <c r="AP41" s="343"/>
      <c r="AQ41" s="348">
        <v>1</v>
      </c>
      <c r="AS41" s="367"/>
      <c r="AT41" s="17">
        <v>3</v>
      </c>
      <c r="AU41" s="367">
        <v>2</v>
      </c>
      <c r="AW41" s="367"/>
      <c r="AX41" s="17">
        <v>1</v>
      </c>
      <c r="AY41" s="367"/>
      <c r="BA41" s="367"/>
      <c r="BB41" s="368"/>
      <c r="BC41" s="367"/>
      <c r="BD41" s="368"/>
      <c r="BE41" s="367"/>
      <c r="BF41" s="350"/>
      <c r="BG41" s="361"/>
      <c r="BH41" s="725"/>
      <c r="BI41" s="361"/>
      <c r="BJ41" s="361"/>
      <c r="BK41" s="732"/>
      <c r="BL41" s="748">
        <v>0</v>
      </c>
      <c r="BM41" s="903">
        <v>0</v>
      </c>
      <c r="BN41" s="904">
        <f>BL41+BM41*BV$62</f>
        <v>0</v>
      </c>
      <c r="BO41" s="903">
        <v>1</v>
      </c>
      <c r="BP41" s="903">
        <v>0</v>
      </c>
      <c r="BQ41" s="908">
        <f>BO41+BP41*BV$62</f>
        <v>1</v>
      </c>
      <c r="BR41" s="350"/>
      <c r="BS41" s="361"/>
      <c r="BT41" s="801"/>
      <c r="BU41" s="361"/>
      <c r="BV41" s="361"/>
      <c r="BW41" s="802"/>
      <c r="BX41" s="350"/>
      <c r="BY41" s="361"/>
      <c r="BZ41" s="801"/>
      <c r="CA41" s="361"/>
      <c r="CB41" s="361"/>
      <c r="CC41" s="802"/>
      <c r="CD41" s="1488">
        <v>0</v>
      </c>
      <c r="CE41" s="1489">
        <v>0</v>
      </c>
      <c r="CF41" s="904">
        <f>CD41+CE41*CN$62</f>
        <v>0</v>
      </c>
      <c r="CG41" s="1489">
        <v>1</v>
      </c>
      <c r="CH41" s="1489">
        <v>0</v>
      </c>
      <c r="CI41" s="906">
        <f>CG41+CH41*CN$62</f>
        <v>1</v>
      </c>
      <c r="CJ41" s="748"/>
      <c r="CK41" s="903"/>
      <c r="CL41" s="801"/>
      <c r="CM41" s="903"/>
      <c r="CN41" s="903"/>
      <c r="CO41" s="802"/>
      <c r="CP41" s="1574">
        <v>0</v>
      </c>
      <c r="CQ41" s="922">
        <v>0</v>
      </c>
      <c r="CR41" s="1119">
        <f>CP41+CQ41*CZ$62</f>
        <v>0</v>
      </c>
      <c r="CS41" s="922">
        <v>2</v>
      </c>
      <c r="CT41" s="922">
        <v>0</v>
      </c>
      <c r="CU41" s="906">
        <f>CS41+CT41*CZ$62</f>
        <v>2</v>
      </c>
      <c r="CV41" s="1130"/>
      <c r="CW41" s="801"/>
      <c r="CX41" s="801"/>
      <c r="CY41" s="801"/>
      <c r="CZ41" s="801"/>
      <c r="DA41" s="802"/>
      <c r="DB41" s="1130"/>
      <c r="DC41" s="801"/>
      <c r="DD41" s="801"/>
      <c r="DE41" s="801"/>
      <c r="DF41" s="801"/>
      <c r="DG41" s="802"/>
      <c r="DH41" s="1574"/>
      <c r="DI41" s="1672"/>
      <c r="DJ41" s="1673"/>
      <c r="DK41" s="1674"/>
      <c r="DL41" s="1672"/>
      <c r="DM41" s="1781"/>
      <c r="DN41" s="922"/>
      <c r="DO41" s="1672"/>
      <c r="DP41" s="1673"/>
      <c r="DQ41" s="1674"/>
      <c r="DR41" s="1672"/>
      <c r="DS41" s="1643"/>
      <c r="DT41" s="1574"/>
      <c r="DU41" s="1672"/>
      <c r="DV41" s="1673"/>
      <c r="DW41" s="1674"/>
      <c r="DX41" s="1672"/>
      <c r="DY41" s="1643"/>
      <c r="DZ41" s="1574"/>
      <c r="EA41" s="1672"/>
      <c r="EB41" s="1673"/>
      <c r="EC41" s="1674"/>
      <c r="ED41" s="1672"/>
      <c r="EE41" s="1643"/>
    </row>
    <row r="42" spans="1:142" x14ac:dyDescent="0.2">
      <c r="A42" s="332">
        <v>39</v>
      </c>
      <c r="B42" s="329"/>
      <c r="C42" s="331">
        <v>3</v>
      </c>
      <c r="D42" s="329"/>
      <c r="E42" s="331">
        <v>3</v>
      </c>
      <c r="F42" s="329">
        <v>1</v>
      </c>
      <c r="G42" s="348">
        <v>2</v>
      </c>
      <c r="H42" s="331"/>
      <c r="I42" s="331"/>
      <c r="J42" s="329">
        <v>6</v>
      </c>
      <c r="K42" s="331">
        <v>1</v>
      </c>
      <c r="L42" s="329"/>
      <c r="M42" s="331"/>
      <c r="N42" s="329">
        <v>1</v>
      </c>
      <c r="O42" s="331"/>
      <c r="P42" s="343"/>
      <c r="Q42" s="330"/>
      <c r="R42" s="329"/>
      <c r="S42" s="331">
        <v>1</v>
      </c>
      <c r="T42" s="329"/>
      <c r="U42" s="331"/>
      <c r="V42" s="329">
        <v>2</v>
      </c>
      <c r="W42" s="331"/>
      <c r="X42" s="329"/>
      <c r="Y42" s="331"/>
      <c r="Z42" s="329">
        <v>3</v>
      </c>
      <c r="AA42" s="331"/>
      <c r="AB42" s="343"/>
      <c r="AC42" s="330"/>
      <c r="AD42" s="329">
        <v>1</v>
      </c>
      <c r="AE42" s="331"/>
      <c r="AF42" s="343"/>
      <c r="AG42" s="330"/>
      <c r="AH42" s="343">
        <v>2</v>
      </c>
      <c r="AI42" s="358"/>
      <c r="AJ42" s="330"/>
      <c r="AK42" s="331"/>
      <c r="AL42" s="329">
        <v>1</v>
      </c>
      <c r="AM42" s="331"/>
      <c r="AN42" s="343"/>
      <c r="AO42" s="330"/>
      <c r="AP42" s="343"/>
      <c r="AQ42" s="348"/>
      <c r="AS42" s="367">
        <v>1</v>
      </c>
      <c r="AT42" s="17">
        <v>2</v>
      </c>
      <c r="AU42" s="367"/>
      <c r="AV42" s="17">
        <v>1</v>
      </c>
      <c r="AW42" s="367"/>
      <c r="AY42" s="367">
        <v>1</v>
      </c>
      <c r="BA42" s="367"/>
      <c r="BB42" s="368"/>
      <c r="BC42" s="367"/>
      <c r="BD42" s="368"/>
      <c r="BE42" s="367"/>
      <c r="BF42" s="350"/>
      <c r="BG42" s="361"/>
      <c r="BH42" s="725"/>
      <c r="BI42" s="361"/>
      <c r="BJ42" s="361"/>
      <c r="BK42" s="732"/>
      <c r="BL42" s="350"/>
      <c r="BM42" s="361"/>
      <c r="BN42" s="801"/>
      <c r="BO42" s="361"/>
      <c r="BP42" s="361"/>
      <c r="BQ42" s="732"/>
      <c r="BR42" s="350">
        <v>1</v>
      </c>
      <c r="BS42" s="361">
        <v>0</v>
      </c>
      <c r="BT42" s="904">
        <f>BR42+BS42*CB$62</f>
        <v>1</v>
      </c>
      <c r="BU42" s="361">
        <v>0</v>
      </c>
      <c r="BV42" s="361">
        <v>0</v>
      </c>
      <c r="BW42" s="906">
        <f>BU42+BV42*CB$62</f>
        <v>0</v>
      </c>
      <c r="BX42" s="350"/>
      <c r="BY42" s="361"/>
      <c r="BZ42" s="801"/>
      <c r="CA42" s="361"/>
      <c r="CB42" s="361"/>
      <c r="CC42" s="732"/>
      <c r="CD42" s="350"/>
      <c r="CE42" s="361"/>
      <c r="CF42" s="801"/>
      <c r="CG42" s="361"/>
      <c r="CH42" s="361"/>
      <c r="CI42" s="732"/>
      <c r="CJ42" s="748">
        <v>0</v>
      </c>
      <c r="CK42" s="903">
        <v>0</v>
      </c>
      <c r="CL42" s="904">
        <f>CJ42+CK42*CT$62</f>
        <v>0</v>
      </c>
      <c r="CM42" s="903">
        <v>1</v>
      </c>
      <c r="CN42" s="903">
        <v>0</v>
      </c>
      <c r="CO42" s="904">
        <f>CM42+CN42*CT$62</f>
        <v>1</v>
      </c>
      <c r="CP42" s="1574">
        <v>0</v>
      </c>
      <c r="CQ42" s="922">
        <v>0</v>
      </c>
      <c r="CR42" s="1119">
        <f>CP42+CQ42*CZ$62</f>
        <v>0</v>
      </c>
      <c r="CS42" s="922">
        <v>1</v>
      </c>
      <c r="CT42" s="922">
        <v>0</v>
      </c>
      <c r="CU42" s="906">
        <f>CS42+CT42*CZ$62</f>
        <v>1</v>
      </c>
      <c r="CV42" s="1129"/>
      <c r="CW42" s="725"/>
      <c r="CX42" s="1119"/>
      <c r="CY42" s="725"/>
      <c r="CZ42" s="725"/>
      <c r="DA42" s="906"/>
      <c r="DB42" s="1129"/>
      <c r="DC42" s="725"/>
      <c r="DD42" s="725"/>
      <c r="DE42" s="725"/>
      <c r="DF42" s="725"/>
      <c r="DG42" s="732"/>
      <c r="DH42" s="1574"/>
      <c r="DI42" s="1672"/>
      <c r="DJ42" s="1673"/>
      <c r="DK42" s="1674"/>
      <c r="DL42" s="1672"/>
      <c r="DM42" s="1780"/>
      <c r="DN42" s="922"/>
      <c r="DO42" s="1672"/>
      <c r="DP42" s="1673"/>
      <c r="DQ42" s="1674"/>
      <c r="DR42" s="1672"/>
      <c r="DS42" s="1013"/>
      <c r="DT42" s="1574"/>
      <c r="DU42" s="1672"/>
      <c r="DV42" s="1673"/>
      <c r="DW42" s="1674"/>
      <c r="DX42" s="1672"/>
      <c r="DY42" s="1013"/>
      <c r="DZ42" s="1574"/>
      <c r="EA42" s="1672"/>
      <c r="EB42" s="1673"/>
      <c r="EC42" s="1674"/>
      <c r="ED42" s="1672"/>
      <c r="EE42" s="1013"/>
    </row>
    <row r="43" spans="1:142" x14ac:dyDescent="0.2">
      <c r="A43" s="332">
        <v>40</v>
      </c>
      <c r="B43" s="329"/>
      <c r="C43" s="331">
        <v>1</v>
      </c>
      <c r="D43" s="329"/>
      <c r="E43" s="331">
        <v>2</v>
      </c>
      <c r="F43" s="329">
        <v>1</v>
      </c>
      <c r="G43" s="348">
        <v>1</v>
      </c>
      <c r="H43" s="331"/>
      <c r="I43" s="331"/>
      <c r="J43" s="329"/>
      <c r="K43" s="331"/>
      <c r="L43" s="329"/>
      <c r="M43" s="331">
        <v>1</v>
      </c>
      <c r="N43" s="329"/>
      <c r="O43" s="331">
        <v>8</v>
      </c>
      <c r="P43" s="343"/>
      <c r="Q43" s="330"/>
      <c r="R43" s="329">
        <v>1</v>
      </c>
      <c r="S43" s="331"/>
      <c r="T43" s="329">
        <v>1</v>
      </c>
      <c r="U43" s="331"/>
      <c r="V43" s="329">
        <v>2</v>
      </c>
      <c r="W43" s="331"/>
      <c r="X43" s="329"/>
      <c r="Y43" s="331">
        <v>1</v>
      </c>
      <c r="Z43" s="329">
        <v>1</v>
      </c>
      <c r="AA43" s="331"/>
      <c r="AB43" s="343"/>
      <c r="AC43" s="330"/>
      <c r="AD43" s="329">
        <v>1</v>
      </c>
      <c r="AE43" s="331"/>
      <c r="AF43" s="343"/>
      <c r="AG43" s="330"/>
      <c r="AH43" s="343">
        <v>2</v>
      </c>
      <c r="AI43" s="358"/>
      <c r="AJ43" s="330"/>
      <c r="AK43" s="331"/>
      <c r="AL43" s="329">
        <v>1</v>
      </c>
      <c r="AM43" s="331"/>
      <c r="AN43" s="343"/>
      <c r="AO43" s="330">
        <v>1</v>
      </c>
      <c r="AP43" s="343"/>
      <c r="AQ43" s="348"/>
      <c r="AS43" s="367"/>
      <c r="AT43" s="17">
        <v>2</v>
      </c>
      <c r="AU43" s="367"/>
      <c r="AW43" s="367"/>
      <c r="AY43" s="367"/>
      <c r="BA43" s="367"/>
      <c r="BB43" s="368"/>
      <c r="BC43" s="367"/>
      <c r="BD43" s="368"/>
      <c r="BE43" s="367"/>
      <c r="BF43" s="350"/>
      <c r="BG43" s="361"/>
      <c r="BH43" s="725"/>
      <c r="BI43" s="361"/>
      <c r="BJ43" s="361"/>
      <c r="BK43" s="732"/>
      <c r="BL43" s="350"/>
      <c r="BM43" s="361"/>
      <c r="BN43" s="725"/>
      <c r="BO43" s="361"/>
      <c r="BP43" s="361"/>
      <c r="BQ43" s="732"/>
      <c r="BR43" s="350"/>
      <c r="BS43" s="361"/>
      <c r="BT43" s="725"/>
      <c r="BU43" s="361"/>
      <c r="BV43" s="361"/>
      <c r="BW43" s="732"/>
      <c r="BX43" s="350"/>
      <c r="BY43" s="361"/>
      <c r="BZ43" s="725"/>
      <c r="CA43" s="361"/>
      <c r="CB43" s="361"/>
      <c r="CC43" s="732"/>
      <c r="CD43" s="748">
        <v>1</v>
      </c>
      <c r="CE43" s="903">
        <v>0</v>
      </c>
      <c r="CF43" s="904">
        <f>CD43+CE43*CN$62</f>
        <v>1</v>
      </c>
      <c r="CG43" s="930">
        <v>0</v>
      </c>
      <c r="CH43" s="930">
        <v>0</v>
      </c>
      <c r="CI43" s="906">
        <f>CG43+CH43*CN$62</f>
        <v>0</v>
      </c>
      <c r="CJ43" s="1129"/>
      <c r="CK43" s="725"/>
      <c r="CL43" s="725"/>
      <c r="CM43" s="725"/>
      <c r="CN43" s="725"/>
      <c r="CO43" s="732"/>
      <c r="CP43" s="350"/>
      <c r="CQ43" s="361"/>
      <c r="CR43" s="725"/>
      <c r="CS43" s="361"/>
      <c r="CT43" s="361"/>
      <c r="CU43" s="732"/>
      <c r="CV43" s="1129"/>
      <c r="CW43" s="725"/>
      <c r="CX43" s="725"/>
      <c r="CY43" s="725"/>
      <c r="CZ43" s="725"/>
      <c r="DA43" s="732"/>
      <c r="DB43" s="350">
        <v>0</v>
      </c>
      <c r="DC43" s="361">
        <v>0</v>
      </c>
      <c r="DD43" s="1611">
        <f>DB43+DC43*DL$62</f>
        <v>0</v>
      </c>
      <c r="DE43" s="1489">
        <v>1</v>
      </c>
      <c r="DF43" s="361">
        <v>0</v>
      </c>
      <c r="DG43" s="1611">
        <f t="shared" ref="DG43" si="24">DE43+DF43*DL$62</f>
        <v>1</v>
      </c>
      <c r="DH43" s="1574"/>
      <c r="DI43" s="1672"/>
      <c r="DJ43" s="1673"/>
      <c r="DK43" s="1674"/>
      <c r="DL43" s="1672"/>
      <c r="DM43" s="1780"/>
      <c r="DN43" s="922"/>
      <c r="DO43" s="1672"/>
      <c r="DP43" s="1673"/>
      <c r="DQ43" s="1674"/>
      <c r="DR43" s="1672"/>
      <c r="DS43" s="1013"/>
      <c r="DT43" s="1574"/>
      <c r="DU43" s="1672"/>
      <c r="DV43" s="1673"/>
      <c r="DW43" s="1674"/>
      <c r="DX43" s="1672"/>
      <c r="DY43" s="1013"/>
      <c r="DZ43" s="1574"/>
      <c r="EA43" s="1672"/>
      <c r="EB43" s="1673"/>
      <c r="EC43" s="1674"/>
      <c r="ED43" s="1672"/>
      <c r="EE43" s="1013"/>
    </row>
    <row r="44" spans="1:142" x14ac:dyDescent="0.2">
      <c r="A44" s="332">
        <v>41</v>
      </c>
      <c r="B44" s="329"/>
      <c r="C44" s="331"/>
      <c r="D44" s="329">
        <v>1</v>
      </c>
      <c r="E44" s="331">
        <v>1</v>
      </c>
      <c r="F44" s="329"/>
      <c r="G44" s="348"/>
      <c r="H44" s="331"/>
      <c r="I44" s="331"/>
      <c r="J44" s="329">
        <v>1</v>
      </c>
      <c r="K44" s="331">
        <v>1</v>
      </c>
      <c r="L44" s="329"/>
      <c r="M44" s="331"/>
      <c r="N44" s="329"/>
      <c r="O44" s="331">
        <v>1</v>
      </c>
      <c r="P44" s="343"/>
      <c r="Q44" s="330"/>
      <c r="R44" s="329">
        <v>1</v>
      </c>
      <c r="S44" s="331"/>
      <c r="T44" s="329"/>
      <c r="U44" s="331"/>
      <c r="V44" s="329"/>
      <c r="W44" s="331"/>
      <c r="X44" s="329"/>
      <c r="Y44" s="331"/>
      <c r="Z44" s="329"/>
      <c r="AA44" s="331"/>
      <c r="AB44" s="343"/>
      <c r="AC44" s="330"/>
      <c r="AD44" s="329"/>
      <c r="AE44" s="331">
        <v>1</v>
      </c>
      <c r="AF44" s="343"/>
      <c r="AG44" s="330"/>
      <c r="AH44" s="343"/>
      <c r="AI44" s="358">
        <v>2</v>
      </c>
      <c r="AJ44" s="330"/>
      <c r="AK44" s="331"/>
      <c r="AL44" s="329">
        <v>2</v>
      </c>
      <c r="AM44" s="331"/>
      <c r="AN44" s="343"/>
      <c r="AO44" s="330"/>
      <c r="AP44" s="343"/>
      <c r="AQ44" s="348"/>
      <c r="AS44" s="367"/>
      <c r="AU44" s="367"/>
      <c r="AW44" s="367"/>
      <c r="AY44" s="367"/>
      <c r="BA44" s="367"/>
      <c r="BB44" s="368"/>
      <c r="BC44" s="367"/>
      <c r="BD44" s="368"/>
      <c r="BE44" s="367"/>
      <c r="BF44" s="722">
        <v>1</v>
      </c>
      <c r="BG44" s="361">
        <v>0</v>
      </c>
      <c r="BH44" s="725">
        <f>BF44+BG44*BP$62</f>
        <v>1</v>
      </c>
      <c r="BI44" s="361">
        <v>0</v>
      </c>
      <c r="BJ44" s="361">
        <v>0</v>
      </c>
      <c r="BK44" s="803">
        <f>BI44+BJ44*BP$62</f>
        <v>0</v>
      </c>
      <c r="BL44" s="350"/>
      <c r="BM44" s="361"/>
      <c r="BN44" s="725"/>
      <c r="BO44" s="361"/>
      <c r="BP44" s="361"/>
      <c r="BQ44" s="732"/>
      <c r="BR44" s="350"/>
      <c r="BS44" s="361"/>
      <c r="BT44" s="725"/>
      <c r="BU44" s="361"/>
      <c r="BV44" s="361"/>
      <c r="BW44" s="732"/>
      <c r="BX44" s="350"/>
      <c r="BY44" s="361"/>
      <c r="BZ44" s="725"/>
      <c r="CA44" s="361"/>
      <c r="CB44" s="361"/>
      <c r="CC44" s="732"/>
      <c r="CD44" s="350"/>
      <c r="CE44" s="361"/>
      <c r="CF44" s="725"/>
      <c r="CG44" s="361"/>
      <c r="CH44" s="361"/>
      <c r="CI44" s="732"/>
      <c r="CJ44" s="1129"/>
      <c r="CK44" s="725"/>
      <c r="CL44" s="725"/>
      <c r="CM44" s="725"/>
      <c r="CN44" s="725"/>
      <c r="CO44" s="732"/>
      <c r="CP44" s="350"/>
      <c r="CQ44" s="361"/>
      <c r="CR44" s="725"/>
      <c r="CS44" s="361"/>
      <c r="CT44" s="361"/>
      <c r="CU44" s="732"/>
      <c r="CV44" s="1129"/>
      <c r="CW44" s="725"/>
      <c r="CX44" s="725"/>
      <c r="CY44" s="725"/>
      <c r="CZ44" s="725"/>
      <c r="DA44" s="732"/>
      <c r="DB44" s="1129"/>
      <c r="DC44" s="725"/>
      <c r="DD44" s="725"/>
      <c r="DE44" s="725"/>
      <c r="DF44" s="725"/>
      <c r="DG44" s="732"/>
      <c r="DH44" s="1574"/>
      <c r="DI44" s="1672"/>
      <c r="DJ44" s="1673"/>
      <c r="DK44" s="1674"/>
      <c r="DL44" s="1672"/>
      <c r="DM44" s="1780"/>
      <c r="DN44" s="922"/>
      <c r="DO44" s="1672"/>
      <c r="DP44" s="1673"/>
      <c r="DQ44" s="1674"/>
      <c r="DR44" s="1672"/>
      <c r="DS44" s="1013"/>
      <c r="DT44" s="1574"/>
      <c r="DU44" s="1672"/>
      <c r="DV44" s="1673"/>
      <c r="DW44" s="1674"/>
      <c r="DX44" s="1672"/>
      <c r="DY44" s="1013"/>
      <c r="DZ44" s="1574"/>
      <c r="EA44" s="1672"/>
      <c r="EB44" s="1673"/>
      <c r="EC44" s="1674"/>
      <c r="ED44" s="1672"/>
      <c r="EE44" s="1013"/>
    </row>
    <row r="45" spans="1:142" x14ac:dyDescent="0.2">
      <c r="A45" s="332">
        <v>42</v>
      </c>
      <c r="B45" s="329"/>
      <c r="C45" s="331"/>
      <c r="D45" s="329"/>
      <c r="E45" s="331"/>
      <c r="F45" s="329"/>
      <c r="G45" s="348"/>
      <c r="H45" s="331"/>
      <c r="I45" s="331"/>
      <c r="J45" s="329"/>
      <c r="K45" s="331"/>
      <c r="L45" s="329"/>
      <c r="M45" s="331"/>
      <c r="N45" s="329"/>
      <c r="O45" s="331">
        <v>2</v>
      </c>
      <c r="P45" s="343"/>
      <c r="Q45" s="330"/>
      <c r="R45" s="329">
        <v>1</v>
      </c>
      <c r="S45" s="331"/>
      <c r="T45" s="329"/>
      <c r="U45" s="331"/>
      <c r="V45" s="329"/>
      <c r="W45" s="331"/>
      <c r="X45" s="329"/>
      <c r="Y45" s="331"/>
      <c r="Z45" s="329"/>
      <c r="AA45" s="331"/>
      <c r="AB45" s="343"/>
      <c r="AC45" s="330"/>
      <c r="AD45" s="329">
        <v>1</v>
      </c>
      <c r="AE45" s="331">
        <v>1</v>
      </c>
      <c r="AF45" s="343"/>
      <c r="AG45" s="330"/>
      <c r="AH45" s="343">
        <v>2</v>
      </c>
      <c r="AI45" s="358">
        <v>1</v>
      </c>
      <c r="AJ45" s="330"/>
      <c r="AK45" s="331"/>
      <c r="AL45" s="329">
        <v>2</v>
      </c>
      <c r="AM45" s="331"/>
      <c r="AN45" s="343"/>
      <c r="AO45" s="330">
        <v>1</v>
      </c>
      <c r="AP45" s="343"/>
      <c r="AQ45" s="348">
        <v>1</v>
      </c>
      <c r="AS45" s="367"/>
      <c r="AT45" s="17">
        <v>5</v>
      </c>
      <c r="AU45" s="367">
        <v>1</v>
      </c>
      <c r="AW45" s="367"/>
      <c r="AY45" s="367"/>
      <c r="BA45" s="367"/>
      <c r="BB45" s="368"/>
      <c r="BC45" s="367"/>
      <c r="BD45" s="368"/>
      <c r="BE45" s="367"/>
      <c r="BF45" s="350"/>
      <c r="BG45" s="361"/>
      <c r="BH45" s="725"/>
      <c r="BI45" s="361"/>
      <c r="BJ45" s="361"/>
      <c r="BK45" s="732"/>
      <c r="BL45" s="350"/>
      <c r="BM45" s="361"/>
      <c r="BN45" s="725"/>
      <c r="BO45" s="361"/>
      <c r="BP45" s="361"/>
      <c r="BQ45" s="732"/>
      <c r="BR45" s="350"/>
      <c r="BS45" s="361"/>
      <c r="BT45" s="725"/>
      <c r="BU45" s="361"/>
      <c r="BV45" s="361"/>
      <c r="BW45" s="732"/>
      <c r="BX45" s="350"/>
      <c r="BY45" s="361"/>
      <c r="BZ45" s="725"/>
      <c r="CA45" s="361"/>
      <c r="CB45" s="361"/>
      <c r="CC45" s="732"/>
      <c r="CD45" s="350"/>
      <c r="CE45" s="361"/>
      <c r="CF45" s="725"/>
      <c r="CG45" s="361"/>
      <c r="CH45" s="361"/>
      <c r="CI45" s="732"/>
      <c r="CJ45" s="1129"/>
      <c r="CK45" s="725"/>
      <c r="CL45" s="725"/>
      <c r="CM45" s="725"/>
      <c r="CN45" s="725"/>
      <c r="CO45" s="732"/>
      <c r="CP45" s="350"/>
      <c r="CQ45" s="361"/>
      <c r="CR45" s="725"/>
      <c r="CS45" s="361"/>
      <c r="CT45" s="361"/>
      <c r="CU45" s="732"/>
      <c r="CV45" s="1612">
        <v>0</v>
      </c>
      <c r="CW45" s="1613">
        <v>0</v>
      </c>
      <c r="CX45" s="1119">
        <f>CV45+CW45*DF$62</f>
        <v>0</v>
      </c>
      <c r="CY45" s="1614">
        <v>1</v>
      </c>
      <c r="CZ45" s="1613">
        <v>0</v>
      </c>
      <c r="DA45" s="906">
        <f>CY45+CZ45*DF$62</f>
        <v>1</v>
      </c>
      <c r="DB45" s="1129"/>
      <c r="DC45" s="725"/>
      <c r="DD45" s="725"/>
      <c r="DE45" s="725"/>
      <c r="DF45" s="725"/>
      <c r="DG45" s="732"/>
      <c r="DH45" s="1574"/>
      <c r="DI45" s="1672"/>
      <c r="DJ45" s="1673"/>
      <c r="DK45" s="1674"/>
      <c r="DL45" s="1672"/>
      <c r="DM45" s="1780"/>
      <c r="DN45" s="922"/>
      <c r="DO45" s="1672"/>
      <c r="DP45" s="1673"/>
      <c r="DQ45" s="1674"/>
      <c r="DR45" s="1672"/>
      <c r="DS45" s="1013"/>
      <c r="DT45" s="1574"/>
      <c r="DU45" s="1672"/>
      <c r="DV45" s="1673"/>
      <c r="DW45" s="1674"/>
      <c r="DX45" s="1672"/>
      <c r="DY45" s="1013"/>
      <c r="DZ45" s="1574"/>
      <c r="EA45" s="1672"/>
      <c r="EB45" s="1673"/>
      <c r="EC45" s="1674"/>
      <c r="ED45" s="1672"/>
      <c r="EE45" s="1013"/>
    </row>
    <row r="46" spans="1:142" x14ac:dyDescent="0.2">
      <c r="A46" s="332">
        <v>43</v>
      </c>
      <c r="B46" s="329"/>
      <c r="C46" s="331"/>
      <c r="D46" s="329"/>
      <c r="E46" s="331"/>
      <c r="F46" s="329">
        <v>1</v>
      </c>
      <c r="G46" s="348">
        <v>2</v>
      </c>
      <c r="H46" s="331"/>
      <c r="I46" s="331"/>
      <c r="J46" s="329"/>
      <c r="K46" s="331"/>
      <c r="L46" s="329"/>
      <c r="M46" s="331"/>
      <c r="N46" s="329"/>
      <c r="O46" s="331"/>
      <c r="P46" s="343"/>
      <c r="Q46" s="330"/>
      <c r="R46" s="329"/>
      <c r="S46" s="331"/>
      <c r="T46" s="329">
        <v>1</v>
      </c>
      <c r="U46" s="331"/>
      <c r="V46" s="329">
        <v>1</v>
      </c>
      <c r="W46" s="331"/>
      <c r="X46" s="329"/>
      <c r="Y46" s="331"/>
      <c r="Z46" s="329">
        <v>2</v>
      </c>
      <c r="AA46" s="331">
        <v>1</v>
      </c>
      <c r="AB46" s="343"/>
      <c r="AC46" s="330"/>
      <c r="AD46" s="329"/>
      <c r="AE46" s="331">
        <v>1</v>
      </c>
      <c r="AF46" s="343"/>
      <c r="AG46" s="330"/>
      <c r="AH46" s="343"/>
      <c r="AI46" s="358"/>
      <c r="AJ46" s="330"/>
      <c r="AK46" s="331"/>
      <c r="AL46" s="329"/>
      <c r="AM46" s="331"/>
      <c r="AN46" s="343"/>
      <c r="AO46" s="330"/>
      <c r="AP46" s="343"/>
      <c r="AQ46" s="348"/>
      <c r="AS46" s="367"/>
      <c r="AT46" s="17">
        <v>1</v>
      </c>
      <c r="AU46" s="367">
        <v>1</v>
      </c>
      <c r="AW46" s="367"/>
      <c r="AX46" s="17">
        <v>1</v>
      </c>
      <c r="AY46" s="367"/>
      <c r="AZ46" s="17">
        <v>1</v>
      </c>
      <c r="BA46" s="367"/>
      <c r="BB46" s="368"/>
      <c r="BC46" s="367"/>
      <c r="BD46" s="368"/>
      <c r="BE46" s="367"/>
      <c r="BF46" s="350">
        <v>1</v>
      </c>
      <c r="BG46" s="361">
        <v>0</v>
      </c>
      <c r="BH46" s="725">
        <f>BF46+BG46*BP$62</f>
        <v>1</v>
      </c>
      <c r="BI46" s="361">
        <v>0</v>
      </c>
      <c r="BJ46" s="361">
        <v>0</v>
      </c>
      <c r="BK46" s="803">
        <f>BI46+BJ46*BP$62</f>
        <v>0</v>
      </c>
      <c r="BL46" s="350"/>
      <c r="BM46" s="361"/>
      <c r="BN46" s="725"/>
      <c r="BO46" s="361"/>
      <c r="BP46" s="361"/>
      <c r="BQ46" s="732"/>
      <c r="BR46" s="350"/>
      <c r="BS46" s="361"/>
      <c r="BT46" s="725"/>
      <c r="BU46" s="361"/>
      <c r="BV46" s="361"/>
      <c r="BW46" s="732"/>
      <c r="BX46" s="350"/>
      <c r="BY46" s="361"/>
      <c r="BZ46" s="725"/>
      <c r="CA46" s="361"/>
      <c r="CB46" s="361"/>
      <c r="CC46" s="732"/>
      <c r="CD46" s="350"/>
      <c r="CE46" s="361"/>
      <c r="CF46" s="725"/>
      <c r="CG46" s="361"/>
      <c r="CH46" s="361"/>
      <c r="CI46" s="732"/>
      <c r="CJ46" s="1129"/>
      <c r="CK46" s="725"/>
      <c r="CL46" s="725"/>
      <c r="CM46" s="725"/>
      <c r="CN46" s="725"/>
      <c r="CO46" s="732"/>
      <c r="CP46" s="350"/>
      <c r="CQ46" s="361"/>
      <c r="CR46" s="725"/>
      <c r="CS46" s="361"/>
      <c r="CT46" s="361"/>
      <c r="CU46" s="732"/>
      <c r="CV46" s="1129"/>
      <c r="CW46" s="725"/>
      <c r="CX46" s="725"/>
      <c r="CY46" s="725"/>
      <c r="CZ46" s="725"/>
      <c r="DA46" s="732"/>
      <c r="DB46" s="1129"/>
      <c r="DC46" s="725"/>
      <c r="DD46" s="725"/>
      <c r="DE46" s="725"/>
      <c r="DF46" s="725"/>
      <c r="DG46" s="732"/>
      <c r="DH46" s="1574"/>
      <c r="DI46" s="1672"/>
      <c r="DJ46" s="1673"/>
      <c r="DK46" s="1674"/>
      <c r="DL46" s="1672"/>
      <c r="DM46" s="1780"/>
      <c r="DN46" s="922"/>
      <c r="DO46" s="1672"/>
      <c r="DP46" s="1673"/>
      <c r="DQ46" s="1674"/>
      <c r="DR46" s="1672"/>
      <c r="DS46" s="1013"/>
      <c r="DT46" s="1574"/>
      <c r="DU46" s="1672"/>
      <c r="DV46" s="1673"/>
      <c r="DW46" s="1674"/>
      <c r="DX46" s="1672"/>
      <c r="DY46" s="1013"/>
      <c r="DZ46" s="1574"/>
      <c r="EA46" s="1672"/>
      <c r="EB46" s="1673"/>
      <c r="EC46" s="1674"/>
      <c r="ED46" s="1672"/>
      <c r="EE46" s="1013"/>
    </row>
    <row r="47" spans="1:142" x14ac:dyDescent="0.2">
      <c r="A47" s="332">
        <v>44</v>
      </c>
      <c r="B47" s="335"/>
      <c r="C47" s="336"/>
      <c r="D47" s="335"/>
      <c r="E47" s="336"/>
      <c r="F47" s="335">
        <v>9</v>
      </c>
      <c r="G47" s="347"/>
      <c r="H47" s="336"/>
      <c r="I47" s="336"/>
      <c r="J47" s="335"/>
      <c r="K47" s="336">
        <v>1</v>
      </c>
      <c r="L47" s="335"/>
      <c r="M47" s="336">
        <v>1</v>
      </c>
      <c r="N47" s="335"/>
      <c r="O47" s="336"/>
      <c r="P47" s="344"/>
      <c r="Q47" s="336"/>
      <c r="R47" s="335"/>
      <c r="S47" s="336"/>
      <c r="T47" s="335">
        <v>2</v>
      </c>
      <c r="U47" s="336"/>
      <c r="V47" s="335"/>
      <c r="W47" s="336"/>
      <c r="X47" s="335"/>
      <c r="Y47" s="336"/>
      <c r="Z47" s="335"/>
      <c r="AA47" s="336"/>
      <c r="AB47" s="344"/>
      <c r="AC47" s="336"/>
      <c r="AD47" s="335"/>
      <c r="AE47" s="336"/>
      <c r="AF47" s="344"/>
      <c r="AG47" s="336"/>
      <c r="AH47" s="344"/>
      <c r="AI47" s="357"/>
      <c r="AJ47" s="336"/>
      <c r="AK47" s="336"/>
      <c r="AL47" s="335">
        <v>1</v>
      </c>
      <c r="AM47" s="336"/>
      <c r="AN47" s="344"/>
      <c r="AO47" s="336"/>
      <c r="AP47" s="344"/>
      <c r="AQ47" s="347"/>
      <c r="AR47" s="29"/>
      <c r="AS47" s="365"/>
      <c r="AT47" s="29">
        <v>1</v>
      </c>
      <c r="AU47" s="365">
        <v>1</v>
      </c>
      <c r="AV47" s="29"/>
      <c r="AW47" s="365"/>
      <c r="AX47" s="29">
        <v>2</v>
      </c>
      <c r="AY47" s="365"/>
      <c r="AZ47" s="29"/>
      <c r="BA47" s="365"/>
      <c r="BB47" s="366"/>
      <c r="BC47" s="365"/>
      <c r="BD47" s="366"/>
      <c r="BE47" s="365">
        <v>1</v>
      </c>
      <c r="BF47" s="557"/>
      <c r="BG47" s="712"/>
      <c r="BH47" s="724"/>
      <c r="BI47" s="712"/>
      <c r="BJ47" s="712"/>
      <c r="BK47" s="731"/>
      <c r="BL47" s="557"/>
      <c r="BM47" s="712"/>
      <c r="BN47" s="724"/>
      <c r="BO47" s="712"/>
      <c r="BP47" s="712"/>
      <c r="BQ47" s="731"/>
      <c r="BR47" s="557"/>
      <c r="BS47" s="712"/>
      <c r="BT47" s="724"/>
      <c r="BU47" s="712"/>
      <c r="BV47" s="712"/>
      <c r="BW47" s="731"/>
      <c r="BX47" s="557"/>
      <c r="BY47" s="712"/>
      <c r="BZ47" s="724"/>
      <c r="CA47" s="712"/>
      <c r="CB47" s="712"/>
      <c r="CC47" s="731"/>
      <c r="CD47" s="557"/>
      <c r="CE47" s="712"/>
      <c r="CF47" s="724"/>
      <c r="CG47" s="712"/>
      <c r="CH47" s="712"/>
      <c r="CI47" s="731"/>
      <c r="CJ47" s="1129"/>
      <c r="CK47" s="725"/>
      <c r="CL47" s="725"/>
      <c r="CM47" s="725"/>
      <c r="CN47" s="725"/>
      <c r="CO47" s="732"/>
      <c r="CP47" s="350"/>
      <c r="CQ47" s="361"/>
      <c r="CR47" s="725"/>
      <c r="CS47" s="361"/>
      <c r="CT47" s="361"/>
      <c r="CU47" s="732"/>
      <c r="CV47" s="1129"/>
      <c r="CW47" s="725"/>
      <c r="CX47" s="725"/>
      <c r="CY47" s="725"/>
      <c r="CZ47" s="725"/>
      <c r="DA47" s="732"/>
      <c r="DB47" s="1129"/>
      <c r="DC47" s="725"/>
      <c r="DD47" s="725"/>
      <c r="DE47" s="725"/>
      <c r="DF47" s="725"/>
      <c r="DG47" s="732"/>
      <c r="DH47" s="1641"/>
      <c r="DI47" s="1642"/>
      <c r="DJ47" s="1642"/>
      <c r="DK47" s="1642"/>
      <c r="DL47" s="1642"/>
      <c r="DM47" s="1780"/>
      <c r="DN47" s="1642"/>
      <c r="DO47" s="1642"/>
      <c r="DP47" s="1642"/>
      <c r="DQ47" s="1642"/>
      <c r="DR47" s="1642"/>
      <c r="DS47" s="1013"/>
      <c r="DT47" s="1641"/>
      <c r="DU47" s="1642"/>
      <c r="DV47" s="1642"/>
      <c r="DW47" s="1642"/>
      <c r="DX47" s="1642"/>
      <c r="DY47" s="1013"/>
      <c r="DZ47" s="1641"/>
      <c r="EA47" s="1642"/>
      <c r="EB47" s="1642"/>
      <c r="EC47" s="1642"/>
      <c r="ED47" s="1642"/>
      <c r="EE47" s="1013"/>
    </row>
    <row r="48" spans="1:142" x14ac:dyDescent="0.2">
      <c r="A48" s="333">
        <v>45</v>
      </c>
      <c r="B48" s="329"/>
      <c r="C48" s="331"/>
      <c r="D48" s="329"/>
      <c r="E48" s="331"/>
      <c r="F48" s="329"/>
      <c r="G48" s="348"/>
      <c r="H48" s="331"/>
      <c r="I48" s="331"/>
      <c r="J48" s="329"/>
      <c r="K48" s="331"/>
      <c r="L48" s="329"/>
      <c r="M48" s="331"/>
      <c r="N48" s="329"/>
      <c r="O48" s="331"/>
      <c r="P48" s="343"/>
      <c r="Q48" s="330"/>
      <c r="R48" s="329"/>
      <c r="S48" s="331"/>
      <c r="T48" s="329"/>
      <c r="U48" s="331"/>
      <c r="V48" s="329">
        <v>1</v>
      </c>
      <c r="W48" s="331"/>
      <c r="X48" s="329"/>
      <c r="Y48" s="331"/>
      <c r="Z48" s="329">
        <v>2</v>
      </c>
      <c r="AA48" s="331"/>
      <c r="AB48" s="343"/>
      <c r="AC48" s="330"/>
      <c r="AD48" s="329"/>
      <c r="AE48" s="331"/>
      <c r="AF48" s="343"/>
      <c r="AG48" s="330"/>
      <c r="AH48" s="343"/>
      <c r="AI48" s="358"/>
      <c r="AJ48" s="330">
        <v>2</v>
      </c>
      <c r="AK48" s="331"/>
      <c r="AL48" s="329"/>
      <c r="AM48" s="331"/>
      <c r="AN48" s="343"/>
      <c r="AO48" s="330"/>
      <c r="AP48" s="343"/>
      <c r="AQ48" s="348"/>
      <c r="AS48" s="367"/>
      <c r="AU48" s="367"/>
      <c r="AW48" s="367"/>
      <c r="AY48" s="367"/>
      <c r="BA48" s="367"/>
      <c r="BB48" s="368"/>
      <c r="BC48" s="367"/>
      <c r="BD48" s="368">
        <v>1</v>
      </c>
      <c r="BE48" s="367"/>
      <c r="BF48" s="350"/>
      <c r="BG48" s="361"/>
      <c r="BH48" s="725"/>
      <c r="BI48" s="361"/>
      <c r="BJ48" s="361"/>
      <c r="BK48" s="732"/>
      <c r="BL48" s="350"/>
      <c r="BM48" s="361"/>
      <c r="BN48" s="725"/>
      <c r="BO48" s="361"/>
      <c r="BP48" s="361"/>
      <c r="BQ48" s="732"/>
      <c r="BR48" s="350"/>
      <c r="BS48" s="361"/>
      <c r="BT48" s="725"/>
      <c r="BU48" s="361"/>
      <c r="BV48" s="361"/>
      <c r="BW48" s="732"/>
      <c r="BX48" s="350">
        <v>1</v>
      </c>
      <c r="BY48" s="361">
        <v>0</v>
      </c>
      <c r="BZ48" s="904">
        <f>BX48+BY48*CH$62</f>
        <v>1</v>
      </c>
      <c r="CA48" s="361">
        <v>0</v>
      </c>
      <c r="CB48" s="361">
        <v>0</v>
      </c>
      <c r="CC48" s="906">
        <f>CA48+CB48*CB$62</f>
        <v>0</v>
      </c>
      <c r="CD48" s="350"/>
      <c r="CE48" s="361"/>
      <c r="CF48" s="725"/>
      <c r="CG48" s="361"/>
      <c r="CH48" s="361"/>
      <c r="CI48" s="732"/>
      <c r="CJ48" s="1129"/>
      <c r="CK48" s="725"/>
      <c r="CL48" s="725"/>
      <c r="CM48" s="725"/>
      <c r="CN48" s="725"/>
      <c r="CO48" s="732"/>
      <c r="CP48" s="350"/>
      <c r="CQ48" s="361"/>
      <c r="CR48" s="725"/>
      <c r="CS48" s="361"/>
      <c r="CT48" s="361"/>
      <c r="CU48" s="732"/>
      <c r="CV48" s="1129"/>
      <c r="CW48" s="725"/>
      <c r="CX48" s="725"/>
      <c r="CY48" s="725"/>
      <c r="CZ48" s="725"/>
      <c r="DA48" s="732"/>
      <c r="DB48" s="1129"/>
      <c r="DC48" s="725"/>
      <c r="DD48" s="725"/>
      <c r="DE48" s="725"/>
      <c r="DF48" s="725"/>
      <c r="DG48" s="732"/>
      <c r="DH48" s="1641"/>
      <c r="DI48" s="1642"/>
      <c r="DJ48" s="1642"/>
      <c r="DK48" s="1642"/>
      <c r="DL48" s="1642"/>
      <c r="DM48" s="1780"/>
      <c r="DN48" s="1642"/>
      <c r="DO48" s="1642"/>
      <c r="DP48" s="1642"/>
      <c r="DQ48" s="1642"/>
      <c r="DR48" s="1642"/>
      <c r="DS48" s="1013"/>
      <c r="DT48" s="1641"/>
      <c r="DU48" s="1642"/>
      <c r="DV48" s="1642"/>
      <c r="DW48" s="1642"/>
      <c r="DX48" s="1642"/>
      <c r="DY48" s="1013"/>
      <c r="DZ48" s="1641"/>
      <c r="EA48" s="1642"/>
      <c r="EB48" s="1642"/>
      <c r="EC48" s="1642"/>
      <c r="ED48" s="1642"/>
      <c r="EE48" s="1013"/>
    </row>
    <row r="49" spans="1:137" x14ac:dyDescent="0.2">
      <c r="A49" s="333">
        <v>46</v>
      </c>
      <c r="B49" s="329"/>
      <c r="C49" s="331">
        <v>1</v>
      </c>
      <c r="D49" s="329"/>
      <c r="E49" s="331"/>
      <c r="F49" s="329"/>
      <c r="G49" s="348"/>
      <c r="H49" s="331"/>
      <c r="I49" s="331"/>
      <c r="J49" s="329"/>
      <c r="K49" s="331"/>
      <c r="L49" s="329"/>
      <c r="M49" s="331"/>
      <c r="N49" s="329"/>
      <c r="O49" s="331"/>
      <c r="P49" s="343"/>
      <c r="Q49" s="330"/>
      <c r="R49" s="329"/>
      <c r="S49" s="331"/>
      <c r="T49" s="329"/>
      <c r="U49" s="331"/>
      <c r="V49" s="329"/>
      <c r="W49" s="331"/>
      <c r="X49" s="329"/>
      <c r="Y49" s="331"/>
      <c r="Z49" s="329"/>
      <c r="AA49" s="331"/>
      <c r="AB49" s="343"/>
      <c r="AC49" s="330"/>
      <c r="AD49" s="329"/>
      <c r="AE49" s="331"/>
      <c r="AF49" s="343"/>
      <c r="AG49" s="330"/>
      <c r="AH49" s="343"/>
      <c r="AI49" s="358"/>
      <c r="AJ49" s="330"/>
      <c r="AK49" s="331"/>
      <c r="AL49" s="329"/>
      <c r="AM49" s="331"/>
      <c r="AN49" s="343"/>
      <c r="AO49" s="330"/>
      <c r="AP49" s="343"/>
      <c r="AQ49" s="348"/>
      <c r="AS49" s="367"/>
      <c r="AU49" s="367"/>
      <c r="AW49" s="367"/>
      <c r="AY49" s="367"/>
      <c r="BA49" s="367"/>
      <c r="BB49" s="368"/>
      <c r="BC49" s="367"/>
      <c r="BD49" s="368"/>
      <c r="BE49" s="367"/>
      <c r="BF49" s="350"/>
      <c r="BG49" s="361"/>
      <c r="BH49" s="725"/>
      <c r="BI49" s="361"/>
      <c r="BJ49" s="361"/>
      <c r="BK49" s="732"/>
      <c r="BL49" s="350"/>
      <c r="BM49" s="361"/>
      <c r="BN49" s="725"/>
      <c r="BO49" s="361"/>
      <c r="BP49" s="361"/>
      <c r="BQ49" s="732"/>
      <c r="BR49" s="350"/>
      <c r="BS49" s="361"/>
      <c r="BT49" s="725"/>
      <c r="BU49" s="361"/>
      <c r="BV49" s="361"/>
      <c r="BW49" s="732"/>
      <c r="BX49" s="350"/>
      <c r="BY49" s="361"/>
      <c r="BZ49" s="725"/>
      <c r="CA49" s="361"/>
      <c r="CB49" s="361"/>
      <c r="CC49" s="732"/>
      <c r="CD49" s="350"/>
      <c r="CE49" s="361"/>
      <c r="CF49" s="725"/>
      <c r="CG49" s="361"/>
      <c r="CH49" s="361"/>
      <c r="CI49" s="732"/>
      <c r="CJ49" s="1129"/>
      <c r="CK49" s="725"/>
      <c r="CL49" s="725"/>
      <c r="CM49" s="725"/>
      <c r="CN49" s="725"/>
      <c r="CO49" s="732"/>
      <c r="CP49" s="350"/>
      <c r="CQ49" s="361"/>
      <c r="CR49" s="725"/>
      <c r="CS49" s="361"/>
      <c r="CT49" s="361"/>
      <c r="CU49" s="732"/>
      <c r="CV49" s="1129"/>
      <c r="CW49" s="725"/>
      <c r="CX49" s="725"/>
      <c r="CY49" s="725"/>
      <c r="CZ49" s="725"/>
      <c r="DA49" s="732"/>
      <c r="DB49" s="1129"/>
      <c r="DC49" s="725"/>
      <c r="DD49" s="725"/>
      <c r="DE49" s="725"/>
      <c r="DF49" s="725"/>
      <c r="DG49" s="732"/>
      <c r="DH49" s="1641"/>
      <c r="DI49" s="1642"/>
      <c r="DJ49" s="1642"/>
      <c r="DK49" s="1642"/>
      <c r="DL49" s="1642"/>
      <c r="DM49" s="1780"/>
      <c r="DN49" s="1642"/>
      <c r="DO49" s="1642"/>
      <c r="DP49" s="1642"/>
      <c r="DQ49" s="1642"/>
      <c r="DR49" s="1642"/>
      <c r="DS49" s="1013"/>
      <c r="DT49" s="1641"/>
      <c r="DU49" s="1642"/>
      <c r="DV49" s="1642"/>
      <c r="DW49" s="1642"/>
      <c r="DX49" s="1642"/>
      <c r="DY49" s="1013"/>
      <c r="DZ49" s="1641"/>
      <c r="EA49" s="1642"/>
      <c r="EB49" s="1642"/>
      <c r="EC49" s="1642"/>
      <c r="ED49" s="1642"/>
      <c r="EE49" s="1013"/>
    </row>
    <row r="50" spans="1:137" x14ac:dyDescent="0.2">
      <c r="A50" s="333">
        <v>47</v>
      </c>
      <c r="B50" s="329"/>
      <c r="C50" s="331"/>
      <c r="D50" s="329"/>
      <c r="E50" s="331"/>
      <c r="F50" s="329"/>
      <c r="G50" s="348"/>
      <c r="H50" s="331"/>
      <c r="I50" s="331"/>
      <c r="J50" s="329"/>
      <c r="K50" s="331"/>
      <c r="L50" s="329"/>
      <c r="M50" s="331"/>
      <c r="N50" s="329"/>
      <c r="O50" s="331"/>
      <c r="P50" s="343"/>
      <c r="Q50" s="330"/>
      <c r="R50" s="329"/>
      <c r="S50" s="331"/>
      <c r="T50" s="329"/>
      <c r="U50" s="331"/>
      <c r="V50" s="329">
        <v>1</v>
      </c>
      <c r="W50" s="331"/>
      <c r="X50" s="329"/>
      <c r="Y50" s="331"/>
      <c r="Z50" s="329"/>
      <c r="AA50" s="331"/>
      <c r="AB50" s="343"/>
      <c r="AC50" s="330"/>
      <c r="AD50" s="329"/>
      <c r="AE50" s="331"/>
      <c r="AF50" s="343"/>
      <c r="AG50" s="330"/>
      <c r="AH50" s="343"/>
      <c r="AI50" s="358"/>
      <c r="AJ50" s="330"/>
      <c r="AK50" s="331"/>
      <c r="AL50" s="329"/>
      <c r="AM50" s="331"/>
      <c r="AN50" s="343"/>
      <c r="AO50" s="330"/>
      <c r="AP50" s="343"/>
      <c r="AQ50" s="348"/>
      <c r="AS50" s="367"/>
      <c r="AU50" s="367"/>
      <c r="AW50" s="367"/>
      <c r="AY50" s="367"/>
      <c r="BA50" s="367"/>
      <c r="BB50" s="368"/>
      <c r="BC50" s="367"/>
      <c r="BD50" s="368"/>
      <c r="BE50" s="367"/>
      <c r="BF50" s="350"/>
      <c r="BG50" s="361"/>
      <c r="BH50" s="725"/>
      <c r="BI50" s="361"/>
      <c r="BJ50" s="361"/>
      <c r="BK50" s="732"/>
      <c r="BL50" s="350"/>
      <c r="BM50" s="361"/>
      <c r="BN50" s="725"/>
      <c r="BO50" s="361"/>
      <c r="BP50" s="361"/>
      <c r="BQ50" s="732"/>
      <c r="BR50" s="350"/>
      <c r="BS50" s="361"/>
      <c r="BT50" s="725"/>
      <c r="BU50" s="361"/>
      <c r="BV50" s="361"/>
      <c r="BW50" s="732"/>
      <c r="BX50" s="350"/>
      <c r="BY50" s="361"/>
      <c r="BZ50" s="725"/>
      <c r="CA50" s="361"/>
      <c r="CB50" s="361"/>
      <c r="CC50" s="732"/>
      <c r="CD50" s="350"/>
      <c r="CE50" s="361"/>
      <c r="CF50" s="725"/>
      <c r="CG50" s="361"/>
      <c r="CH50" s="361"/>
      <c r="CI50" s="732"/>
      <c r="CJ50" s="1129"/>
      <c r="CK50" s="725"/>
      <c r="CL50" s="725"/>
      <c r="CM50" s="725"/>
      <c r="CN50" s="725"/>
      <c r="CO50" s="732"/>
      <c r="CP50" s="350"/>
      <c r="CQ50" s="361"/>
      <c r="CR50" s="725"/>
      <c r="CS50" s="361"/>
      <c r="CT50" s="361"/>
      <c r="CU50" s="732"/>
      <c r="CV50" s="1129"/>
      <c r="CW50" s="725"/>
      <c r="CX50" s="725"/>
      <c r="CY50" s="725"/>
      <c r="CZ50" s="725"/>
      <c r="DA50" s="732"/>
      <c r="DB50" s="1129"/>
      <c r="DC50" s="725"/>
      <c r="DD50" s="725"/>
      <c r="DE50" s="725"/>
      <c r="DF50" s="725"/>
      <c r="DG50" s="732"/>
      <c r="DH50" s="1641"/>
      <c r="DI50" s="1642"/>
      <c r="DJ50" s="1642"/>
      <c r="DK50" s="1642"/>
      <c r="DL50" s="1642"/>
      <c r="DM50" s="1780"/>
      <c r="DN50" s="1642"/>
      <c r="DO50" s="1642"/>
      <c r="DP50" s="1642"/>
      <c r="DQ50" s="1642"/>
      <c r="DR50" s="1642"/>
      <c r="DS50" s="1013"/>
      <c r="DT50" s="1641"/>
      <c r="DU50" s="1642"/>
      <c r="DV50" s="1642"/>
      <c r="DW50" s="1642"/>
      <c r="DX50" s="1642"/>
      <c r="DY50" s="1013"/>
      <c r="DZ50" s="1641"/>
      <c r="EA50" s="1642"/>
      <c r="EB50" s="1642"/>
      <c r="EC50" s="1642"/>
      <c r="ED50" s="1642"/>
      <c r="EE50" s="1013"/>
    </row>
    <row r="51" spans="1:137" x14ac:dyDescent="0.2">
      <c r="A51" s="333">
        <v>48</v>
      </c>
      <c r="B51" s="329"/>
      <c r="C51" s="331"/>
      <c r="D51" s="329"/>
      <c r="E51" s="331"/>
      <c r="F51" s="329"/>
      <c r="G51" s="348"/>
      <c r="H51" s="331"/>
      <c r="I51" s="331"/>
      <c r="J51" s="329"/>
      <c r="K51" s="331"/>
      <c r="L51" s="329"/>
      <c r="M51" s="331"/>
      <c r="N51" s="329"/>
      <c r="O51" s="331"/>
      <c r="P51" s="343"/>
      <c r="Q51" s="330"/>
      <c r="R51" s="329"/>
      <c r="S51" s="331"/>
      <c r="T51" s="329"/>
      <c r="U51" s="331"/>
      <c r="V51" s="329"/>
      <c r="W51" s="331"/>
      <c r="X51" s="329"/>
      <c r="Y51" s="331"/>
      <c r="Z51" s="329"/>
      <c r="AA51" s="331"/>
      <c r="AB51" s="343"/>
      <c r="AC51" s="330"/>
      <c r="AD51" s="329"/>
      <c r="AE51" s="331"/>
      <c r="AF51" s="343"/>
      <c r="AG51" s="330"/>
      <c r="AH51" s="343"/>
      <c r="AI51" s="358"/>
      <c r="AJ51" s="330"/>
      <c r="AK51" s="331"/>
      <c r="AL51" s="329"/>
      <c r="AM51" s="331"/>
      <c r="AN51" s="343"/>
      <c r="AO51" s="330"/>
      <c r="AP51" s="343"/>
      <c r="AQ51" s="348"/>
      <c r="AS51" s="367"/>
      <c r="AU51" s="367"/>
      <c r="AW51" s="367"/>
      <c r="AY51" s="367"/>
      <c r="BA51" s="367"/>
      <c r="BB51" s="368"/>
      <c r="BC51" s="367"/>
      <c r="BD51" s="368"/>
      <c r="BE51" s="367"/>
      <c r="BF51" s="350"/>
      <c r="BG51" s="361"/>
      <c r="BH51" s="725"/>
      <c r="BI51" s="361"/>
      <c r="BJ51" s="361"/>
      <c r="BK51" s="732"/>
      <c r="BL51" s="350"/>
      <c r="BM51" s="361"/>
      <c r="BN51" s="725"/>
      <c r="BO51" s="361"/>
      <c r="BP51" s="361"/>
      <c r="BQ51" s="732"/>
      <c r="BR51" s="350"/>
      <c r="BS51" s="361"/>
      <c r="BT51" s="725"/>
      <c r="BU51" s="361"/>
      <c r="BV51" s="361"/>
      <c r="BW51" s="732"/>
      <c r="BX51" s="350"/>
      <c r="BY51" s="361"/>
      <c r="BZ51" s="725"/>
      <c r="CA51" s="361"/>
      <c r="CB51" s="361"/>
      <c r="CC51" s="732"/>
      <c r="CD51" s="350"/>
      <c r="CE51" s="361"/>
      <c r="CF51" s="725"/>
      <c r="CG51" s="361"/>
      <c r="CH51" s="361"/>
      <c r="CI51" s="732"/>
      <c r="CJ51" s="1129"/>
      <c r="CK51" s="725"/>
      <c r="CL51" s="725"/>
      <c r="CM51" s="725"/>
      <c r="CN51" s="725"/>
      <c r="CO51" s="732"/>
      <c r="CP51" s="350"/>
      <c r="CQ51" s="361"/>
      <c r="CR51" s="725"/>
      <c r="CS51" s="361"/>
      <c r="CT51" s="361"/>
      <c r="CU51" s="732"/>
      <c r="CV51" s="1129"/>
      <c r="CW51" s="725"/>
      <c r="CX51" s="725"/>
      <c r="CY51" s="725"/>
      <c r="CZ51" s="725"/>
      <c r="DA51" s="732"/>
      <c r="DB51" s="1129"/>
      <c r="DC51" s="725"/>
      <c r="DD51" s="725"/>
      <c r="DE51" s="725"/>
      <c r="DF51" s="725"/>
      <c r="DG51" s="732"/>
      <c r="DH51" s="1641"/>
      <c r="DI51" s="1642"/>
      <c r="DJ51" s="1642"/>
      <c r="DK51" s="1642"/>
      <c r="DL51" s="1642"/>
      <c r="DM51" s="1780"/>
      <c r="DN51" s="1642"/>
      <c r="DO51" s="1642"/>
      <c r="DP51" s="1642"/>
      <c r="DQ51" s="1642"/>
      <c r="DR51" s="1642"/>
      <c r="DS51" s="1013"/>
      <c r="DT51" s="1641"/>
      <c r="DU51" s="1642"/>
      <c r="DV51" s="1642"/>
      <c r="DW51" s="1642"/>
      <c r="DX51" s="1642"/>
      <c r="DY51" s="1013"/>
      <c r="DZ51" s="1641"/>
      <c r="EA51" s="1642"/>
      <c r="EB51" s="1642"/>
      <c r="EC51" s="1642"/>
      <c r="ED51" s="1642"/>
      <c r="EE51" s="1013"/>
    </row>
    <row r="52" spans="1:137" x14ac:dyDescent="0.2">
      <c r="A52" s="333">
        <v>49</v>
      </c>
      <c r="B52" s="329">
        <v>9</v>
      </c>
      <c r="C52" s="331">
        <v>26</v>
      </c>
      <c r="D52" s="329"/>
      <c r="E52" s="331"/>
      <c r="F52" s="329"/>
      <c r="G52" s="348"/>
      <c r="H52" s="331"/>
      <c r="I52" s="331"/>
      <c r="J52" s="329"/>
      <c r="K52" s="331"/>
      <c r="L52" s="329"/>
      <c r="M52" s="331"/>
      <c r="N52" s="329"/>
      <c r="O52" s="331"/>
      <c r="P52" s="343"/>
      <c r="Q52" s="330"/>
      <c r="R52" s="329"/>
      <c r="S52" s="331"/>
      <c r="T52" s="329"/>
      <c r="U52" s="331"/>
      <c r="V52" s="329"/>
      <c r="W52" s="331"/>
      <c r="X52" s="329"/>
      <c r="Y52" s="331"/>
      <c r="Z52" s="329"/>
      <c r="AA52" s="331"/>
      <c r="AB52" s="343"/>
      <c r="AC52" s="330"/>
      <c r="AD52" s="329"/>
      <c r="AE52" s="331"/>
      <c r="AF52" s="343"/>
      <c r="AG52" s="330"/>
      <c r="AH52" s="343"/>
      <c r="AI52" s="358"/>
      <c r="AJ52" s="330"/>
      <c r="AK52" s="331"/>
      <c r="AL52" s="329"/>
      <c r="AM52" s="331"/>
      <c r="AN52" s="343"/>
      <c r="AO52" s="330"/>
      <c r="AP52" s="343"/>
      <c r="AQ52" s="348"/>
      <c r="AS52" s="367"/>
      <c r="AU52" s="367"/>
      <c r="AW52" s="367"/>
      <c r="AY52" s="367"/>
      <c r="BA52" s="367"/>
      <c r="BB52" s="368"/>
      <c r="BC52" s="367"/>
      <c r="BD52" s="368"/>
      <c r="BE52" s="367"/>
      <c r="BF52" s="350"/>
      <c r="BG52" s="361"/>
      <c r="BH52" s="725"/>
      <c r="BI52" s="361"/>
      <c r="BJ52" s="361"/>
      <c r="BK52" s="732"/>
      <c r="BL52" s="350"/>
      <c r="BM52" s="361"/>
      <c r="BN52" s="725"/>
      <c r="BO52" s="361"/>
      <c r="BP52" s="361"/>
      <c r="BQ52" s="732"/>
      <c r="BR52" s="350"/>
      <c r="BS52" s="361"/>
      <c r="BT52" s="725"/>
      <c r="BU52" s="361"/>
      <c r="BV52" s="361"/>
      <c r="BW52" s="732"/>
      <c r="BX52" s="350"/>
      <c r="BY52" s="361"/>
      <c r="BZ52" s="725"/>
      <c r="CA52" s="361"/>
      <c r="CB52" s="361"/>
      <c r="CC52" s="732"/>
      <c r="CD52" s="350"/>
      <c r="CE52" s="361"/>
      <c r="CF52" s="725"/>
      <c r="CG52" s="361"/>
      <c r="CH52" s="361"/>
      <c r="CI52" s="732"/>
      <c r="CJ52" s="1129"/>
      <c r="CK52" s="725"/>
      <c r="CL52" s="725"/>
      <c r="CM52" s="725"/>
      <c r="CN52" s="725"/>
      <c r="CO52" s="732"/>
      <c r="CP52" s="350"/>
      <c r="CQ52" s="361"/>
      <c r="CR52" s="725"/>
      <c r="CS52" s="361"/>
      <c r="CT52" s="361"/>
      <c r="CU52" s="732"/>
      <c r="CV52" s="1129"/>
      <c r="CW52" s="725"/>
      <c r="CX52" s="725"/>
      <c r="CY52" s="725"/>
      <c r="CZ52" s="725"/>
      <c r="DA52" s="732"/>
      <c r="DB52" s="1129"/>
      <c r="DC52" s="725"/>
      <c r="DD52" s="725"/>
      <c r="DE52" s="725"/>
      <c r="DF52" s="725"/>
      <c r="DG52" s="732"/>
      <c r="DH52" s="1641"/>
      <c r="DI52" s="1642"/>
      <c r="DJ52" s="1642"/>
      <c r="DK52" s="1642"/>
      <c r="DL52" s="1642"/>
      <c r="DM52" s="1780"/>
      <c r="DN52" s="1642"/>
      <c r="DO52" s="1642"/>
      <c r="DP52" s="1642"/>
      <c r="DQ52" s="1642"/>
      <c r="DR52" s="1642"/>
      <c r="DS52" s="1013"/>
      <c r="DT52" s="1641"/>
      <c r="DU52" s="1642"/>
      <c r="DV52" s="1642"/>
      <c r="DW52" s="1642"/>
      <c r="DX52" s="1642"/>
      <c r="DY52" s="1013"/>
      <c r="DZ52" s="1641"/>
      <c r="EA52" s="1642"/>
      <c r="EB52" s="1642"/>
      <c r="EC52" s="1642"/>
      <c r="ED52" s="1642"/>
      <c r="EE52" s="1013"/>
    </row>
    <row r="53" spans="1:137" x14ac:dyDescent="0.2">
      <c r="A53" s="333">
        <v>50</v>
      </c>
      <c r="B53" s="329"/>
      <c r="C53" s="331">
        <v>4</v>
      </c>
      <c r="D53" s="329"/>
      <c r="E53" s="331"/>
      <c r="F53" s="329"/>
      <c r="G53" s="348"/>
      <c r="H53" s="331"/>
      <c r="I53" s="331"/>
      <c r="J53" s="329"/>
      <c r="K53" s="331"/>
      <c r="L53" s="329"/>
      <c r="M53" s="331"/>
      <c r="N53" s="329"/>
      <c r="O53" s="331"/>
      <c r="P53" s="343"/>
      <c r="Q53" s="330"/>
      <c r="R53" s="329"/>
      <c r="S53" s="331"/>
      <c r="T53" s="329"/>
      <c r="U53" s="331"/>
      <c r="V53" s="329"/>
      <c r="W53" s="331"/>
      <c r="X53" s="329"/>
      <c r="Y53" s="331"/>
      <c r="Z53" s="329"/>
      <c r="AA53" s="331"/>
      <c r="AB53" s="343"/>
      <c r="AC53" s="330"/>
      <c r="AD53" s="329"/>
      <c r="AE53" s="331"/>
      <c r="AF53" s="343"/>
      <c r="AG53" s="330"/>
      <c r="AH53" s="343"/>
      <c r="AI53" s="358"/>
      <c r="AJ53" s="330"/>
      <c r="AK53" s="331"/>
      <c r="AL53" s="329"/>
      <c r="AM53" s="331"/>
      <c r="AN53" s="343"/>
      <c r="AO53" s="330"/>
      <c r="AP53" s="343"/>
      <c r="AQ53" s="348"/>
      <c r="AS53" s="367"/>
      <c r="AU53" s="367"/>
      <c r="AW53" s="367"/>
      <c r="AY53" s="367"/>
      <c r="BA53" s="367"/>
      <c r="BB53" s="368"/>
      <c r="BC53" s="367"/>
      <c r="BD53" s="368"/>
      <c r="BE53" s="367"/>
      <c r="BF53" s="350"/>
      <c r="BG53" s="361"/>
      <c r="BH53" s="725"/>
      <c r="BI53" s="361"/>
      <c r="BJ53" s="361"/>
      <c r="BK53" s="732"/>
      <c r="BL53" s="350"/>
      <c r="BM53" s="361"/>
      <c r="BN53" s="725"/>
      <c r="BO53" s="361"/>
      <c r="BP53" s="361"/>
      <c r="BQ53" s="732"/>
      <c r="BR53" s="350"/>
      <c r="BS53" s="361"/>
      <c r="BT53" s="725"/>
      <c r="BU53" s="361"/>
      <c r="BV53" s="361"/>
      <c r="BW53" s="732"/>
      <c r="BX53" s="350"/>
      <c r="BY53" s="361"/>
      <c r="BZ53" s="725"/>
      <c r="CA53" s="361"/>
      <c r="CB53" s="361"/>
      <c r="CC53" s="732"/>
      <c r="CD53" s="350"/>
      <c r="CE53" s="361"/>
      <c r="CF53" s="725"/>
      <c r="CG53" s="361"/>
      <c r="CH53" s="361"/>
      <c r="CI53" s="732"/>
      <c r="CJ53" s="1129"/>
      <c r="CK53" s="725"/>
      <c r="CL53" s="725"/>
      <c r="CM53" s="725"/>
      <c r="CN53" s="725"/>
      <c r="CO53" s="732"/>
      <c r="CP53" s="350"/>
      <c r="CQ53" s="361"/>
      <c r="CR53" s="725"/>
      <c r="CS53" s="361"/>
      <c r="CT53" s="361"/>
      <c r="CU53" s="732"/>
      <c r="CV53" s="1129"/>
      <c r="CW53" s="725"/>
      <c r="CX53" s="725"/>
      <c r="CY53" s="725"/>
      <c r="CZ53" s="725"/>
      <c r="DA53" s="732"/>
      <c r="DB53" s="1129"/>
      <c r="DC53" s="725"/>
      <c r="DD53" s="725"/>
      <c r="DE53" s="725"/>
      <c r="DF53" s="725"/>
      <c r="DG53" s="732"/>
      <c r="DH53" s="1641"/>
      <c r="DI53" s="1642"/>
      <c r="DJ53" s="1642"/>
      <c r="DK53" s="1642"/>
      <c r="DL53" s="1642"/>
      <c r="DM53" s="1780"/>
      <c r="DN53" s="1642"/>
      <c r="DO53" s="1642"/>
      <c r="DP53" s="1642"/>
      <c r="DQ53" s="1642"/>
      <c r="DR53" s="1642"/>
      <c r="DS53" s="1013"/>
      <c r="DT53" s="1641"/>
      <c r="DU53" s="1642"/>
      <c r="DV53" s="1642"/>
      <c r="DW53" s="1642"/>
      <c r="DX53" s="1642"/>
      <c r="DY53" s="1013"/>
      <c r="DZ53" s="1641"/>
      <c r="EA53" s="1642"/>
      <c r="EB53" s="1642"/>
      <c r="EC53" s="1642"/>
      <c r="ED53" s="1642"/>
      <c r="EE53" s="1013"/>
    </row>
    <row r="54" spans="1:137" x14ac:dyDescent="0.2">
      <c r="A54" s="333">
        <v>51</v>
      </c>
      <c r="B54" s="329">
        <v>17</v>
      </c>
      <c r="C54" s="331">
        <v>54</v>
      </c>
      <c r="D54" s="329"/>
      <c r="E54" s="331"/>
      <c r="F54" s="329"/>
      <c r="G54" s="348"/>
      <c r="H54" s="331"/>
      <c r="I54" s="331"/>
      <c r="J54" s="329"/>
      <c r="K54" s="331"/>
      <c r="L54" s="329"/>
      <c r="M54" s="331"/>
      <c r="N54" s="329"/>
      <c r="O54" s="331"/>
      <c r="P54" s="343"/>
      <c r="Q54" s="330"/>
      <c r="R54" s="329"/>
      <c r="S54" s="331"/>
      <c r="T54" s="329"/>
      <c r="U54" s="331"/>
      <c r="V54" s="329"/>
      <c r="W54" s="331"/>
      <c r="X54" s="329"/>
      <c r="Y54" s="331"/>
      <c r="Z54" s="329"/>
      <c r="AA54" s="331"/>
      <c r="AB54" s="343"/>
      <c r="AC54" s="330"/>
      <c r="AD54" s="329"/>
      <c r="AE54" s="331"/>
      <c r="AF54" s="343"/>
      <c r="AG54" s="330"/>
      <c r="AH54" s="343"/>
      <c r="AI54" s="358"/>
      <c r="AJ54" s="330"/>
      <c r="AK54" s="331"/>
      <c r="AL54" s="329"/>
      <c r="AM54" s="331"/>
      <c r="AN54" s="343"/>
      <c r="AO54" s="330"/>
      <c r="AP54" s="343"/>
      <c r="AQ54" s="348"/>
      <c r="AS54" s="367"/>
      <c r="AU54" s="367"/>
      <c r="AW54" s="367"/>
      <c r="AY54" s="367"/>
      <c r="BA54" s="367"/>
      <c r="BB54" s="368"/>
      <c r="BC54" s="367"/>
      <c r="BD54" s="368"/>
      <c r="BE54" s="367"/>
      <c r="BF54" s="350"/>
      <c r="BG54" s="361"/>
      <c r="BH54" s="725"/>
      <c r="BI54" s="361"/>
      <c r="BJ54" s="361"/>
      <c r="BK54" s="732"/>
      <c r="BL54" s="350"/>
      <c r="BM54" s="361"/>
      <c r="BN54" s="725"/>
      <c r="BO54" s="361"/>
      <c r="BP54" s="361"/>
      <c r="BQ54" s="732"/>
      <c r="BR54" s="350"/>
      <c r="BS54" s="361"/>
      <c r="BT54" s="725"/>
      <c r="BU54" s="361"/>
      <c r="BV54" s="361"/>
      <c r="BW54" s="732"/>
      <c r="BX54" s="350"/>
      <c r="BY54" s="361"/>
      <c r="BZ54" s="725"/>
      <c r="CA54" s="361"/>
      <c r="CB54" s="361"/>
      <c r="CC54" s="732"/>
      <c r="CD54" s="350"/>
      <c r="CE54" s="361"/>
      <c r="CF54" s="725"/>
      <c r="CG54" s="361"/>
      <c r="CH54" s="361"/>
      <c r="CI54" s="732"/>
      <c r="CJ54" s="1129"/>
      <c r="CK54" s="725"/>
      <c r="CL54" s="725"/>
      <c r="CM54" s="725"/>
      <c r="CN54" s="725"/>
      <c r="CO54" s="732"/>
      <c r="CP54" s="350"/>
      <c r="CQ54" s="361"/>
      <c r="CR54" s="725"/>
      <c r="CS54" s="361"/>
      <c r="CT54" s="361"/>
      <c r="CU54" s="732"/>
      <c r="CV54" s="1129"/>
      <c r="CW54" s="725"/>
      <c r="CX54" s="725"/>
      <c r="CY54" s="725"/>
      <c r="CZ54" s="725"/>
      <c r="DA54" s="732"/>
      <c r="DB54" s="1129"/>
      <c r="DC54" s="725"/>
      <c r="DD54" s="725"/>
      <c r="DE54" s="725"/>
      <c r="DF54" s="725"/>
      <c r="DG54" s="732"/>
      <c r="DH54" s="1641"/>
      <c r="DI54" s="1642"/>
      <c r="DJ54" s="1642"/>
      <c r="DK54" s="1642"/>
      <c r="DL54" s="1642"/>
      <c r="DM54" s="1780"/>
      <c r="DN54" s="1642"/>
      <c r="DO54" s="1642"/>
      <c r="DP54" s="1642"/>
      <c r="DQ54" s="1642"/>
      <c r="DR54" s="1642"/>
      <c r="DS54" s="1013"/>
      <c r="DT54" s="1641"/>
      <c r="DU54" s="1642"/>
      <c r="DV54" s="1642"/>
      <c r="DW54" s="1642"/>
      <c r="DX54" s="1642"/>
      <c r="DY54" s="1013"/>
      <c r="DZ54" s="1641"/>
      <c r="EA54" s="1642"/>
      <c r="EB54" s="1642"/>
      <c r="EC54" s="1642"/>
      <c r="ED54" s="1642"/>
      <c r="EE54" s="1013"/>
    </row>
    <row r="55" spans="1:137" x14ac:dyDescent="0.2">
      <c r="A55" s="337">
        <v>52</v>
      </c>
      <c r="B55" s="335">
        <v>4</v>
      </c>
      <c r="C55" s="336">
        <v>7</v>
      </c>
      <c r="D55" s="335"/>
      <c r="E55" s="336"/>
      <c r="F55" s="335"/>
      <c r="G55" s="347"/>
      <c r="H55" s="336"/>
      <c r="I55" s="336"/>
      <c r="J55" s="335"/>
      <c r="K55" s="336"/>
      <c r="L55" s="335"/>
      <c r="M55" s="336"/>
      <c r="N55" s="335"/>
      <c r="O55" s="336"/>
      <c r="P55" s="344"/>
      <c r="Q55" s="336"/>
      <c r="R55" s="335"/>
      <c r="S55" s="336"/>
      <c r="T55" s="335"/>
      <c r="U55" s="336"/>
      <c r="V55" s="335"/>
      <c r="W55" s="336"/>
      <c r="X55" s="335"/>
      <c r="Y55" s="336"/>
      <c r="Z55" s="335"/>
      <c r="AA55" s="336"/>
      <c r="AB55" s="344"/>
      <c r="AC55" s="336"/>
      <c r="AD55" s="335"/>
      <c r="AE55" s="336"/>
      <c r="AF55" s="344"/>
      <c r="AG55" s="336"/>
      <c r="AH55" s="344"/>
      <c r="AI55" s="357"/>
      <c r="AJ55" s="336"/>
      <c r="AK55" s="336"/>
      <c r="AL55" s="335"/>
      <c r="AM55" s="336"/>
      <c r="AN55" s="344"/>
      <c r="AO55" s="336"/>
      <c r="AP55" s="344"/>
      <c r="AQ55" s="347"/>
      <c r="AR55" s="29"/>
      <c r="AS55" s="365"/>
      <c r="AT55" s="29"/>
      <c r="AU55" s="365"/>
      <c r="AV55" s="29"/>
      <c r="AW55" s="365"/>
      <c r="AX55" s="29"/>
      <c r="AY55" s="365"/>
      <c r="AZ55" s="29"/>
      <c r="BA55" s="365"/>
      <c r="BB55" s="366"/>
      <c r="BC55" s="365"/>
      <c r="BD55" s="366"/>
      <c r="BE55" s="365"/>
      <c r="BF55" s="350"/>
      <c r="BG55" s="361"/>
      <c r="BH55" s="725"/>
      <c r="BI55" s="361"/>
      <c r="BJ55" s="361"/>
      <c r="BK55" s="732"/>
      <c r="BL55" s="350"/>
      <c r="BM55" s="361"/>
      <c r="BN55" s="725"/>
      <c r="BO55" s="361"/>
      <c r="BP55" s="361"/>
      <c r="BQ55" s="732"/>
      <c r="BR55" s="350"/>
      <c r="BS55" s="361"/>
      <c r="BT55" s="725"/>
      <c r="BU55" s="361"/>
      <c r="BV55" s="361"/>
      <c r="BW55" s="732"/>
      <c r="BX55" s="350"/>
      <c r="BY55" s="361"/>
      <c r="BZ55" s="725"/>
      <c r="CA55" s="361"/>
      <c r="CB55" s="361"/>
      <c r="CC55" s="732"/>
      <c r="CD55" s="350"/>
      <c r="CE55" s="361"/>
      <c r="CF55" s="725"/>
      <c r="CG55" s="361"/>
      <c r="CH55" s="361"/>
      <c r="CI55" s="732"/>
      <c r="CJ55" s="1129"/>
      <c r="CK55" s="725"/>
      <c r="CL55" s="725"/>
      <c r="CM55" s="725"/>
      <c r="CN55" s="725"/>
      <c r="CO55" s="732"/>
      <c r="CP55" s="350"/>
      <c r="CQ55" s="361"/>
      <c r="CR55" s="725"/>
      <c r="CS55" s="361"/>
      <c r="CT55" s="361"/>
      <c r="CU55" s="732"/>
      <c r="CV55" s="1129"/>
      <c r="CW55" s="725"/>
      <c r="CX55" s="725"/>
      <c r="CY55" s="725"/>
      <c r="CZ55" s="725"/>
      <c r="DA55" s="732"/>
      <c r="DB55" s="1129"/>
      <c r="DC55" s="725"/>
      <c r="DD55" s="725"/>
      <c r="DE55" s="725"/>
      <c r="DF55" s="725"/>
      <c r="DG55" s="732"/>
      <c r="DH55" s="1129"/>
      <c r="DI55" s="725"/>
      <c r="DJ55" s="725"/>
      <c r="DK55" s="725"/>
      <c r="DL55" s="725"/>
      <c r="DM55" s="1782"/>
      <c r="DN55" s="725"/>
      <c r="DO55" s="725"/>
      <c r="DP55" s="725"/>
      <c r="DQ55" s="725"/>
      <c r="DR55" s="725"/>
      <c r="DS55" s="732"/>
      <c r="DT55" s="1641"/>
      <c r="DU55" s="1642"/>
      <c r="DV55" s="1642"/>
      <c r="DW55" s="1642"/>
      <c r="DX55" s="1642"/>
      <c r="DY55" s="1013"/>
      <c r="DZ55" s="1641"/>
      <c r="EA55" s="1642"/>
      <c r="EB55" s="1642"/>
      <c r="EC55" s="1642"/>
      <c r="ED55" s="1642"/>
      <c r="EE55" s="1013"/>
    </row>
    <row r="56" spans="1:137" x14ac:dyDescent="0.2">
      <c r="A56" s="338" t="s">
        <v>133</v>
      </c>
      <c r="B56" s="342"/>
      <c r="D56" s="351">
        <f>SUM(B21:B47)</f>
        <v>0</v>
      </c>
      <c r="E56" s="328"/>
      <c r="F56" s="342">
        <f t="shared" ref="F56:BB56" si="25">SUM(D21:D47)</f>
        <v>1</v>
      </c>
      <c r="G56" s="361"/>
      <c r="H56" s="351">
        <f t="shared" si="25"/>
        <v>21</v>
      </c>
      <c r="I56" s="328"/>
      <c r="J56" s="342">
        <f t="shared" si="25"/>
        <v>0</v>
      </c>
      <c r="L56" s="351">
        <f t="shared" si="25"/>
        <v>28</v>
      </c>
      <c r="M56" s="328"/>
      <c r="N56" s="342">
        <f t="shared" si="25"/>
        <v>2</v>
      </c>
      <c r="P56" s="351">
        <f t="shared" si="25"/>
        <v>5</v>
      </c>
      <c r="Q56" s="328"/>
      <c r="R56" s="342">
        <f t="shared" si="25"/>
        <v>0</v>
      </c>
      <c r="T56" s="351">
        <f t="shared" si="25"/>
        <v>10</v>
      </c>
      <c r="U56" s="328"/>
      <c r="V56" s="342">
        <f t="shared" si="25"/>
        <v>6</v>
      </c>
      <c r="X56" s="351">
        <f t="shared" si="25"/>
        <v>12</v>
      </c>
      <c r="Y56" s="328"/>
      <c r="Z56" s="342">
        <f t="shared" si="25"/>
        <v>1</v>
      </c>
      <c r="AB56" s="351">
        <f t="shared" si="25"/>
        <v>11</v>
      </c>
      <c r="AC56" s="328"/>
      <c r="AD56" s="342">
        <f t="shared" si="25"/>
        <v>0</v>
      </c>
      <c r="AF56" s="351">
        <f t="shared" si="25"/>
        <v>9</v>
      </c>
      <c r="AG56" s="360"/>
      <c r="AH56" s="362">
        <f t="shared" si="25"/>
        <v>0</v>
      </c>
      <c r="AI56" s="359"/>
      <c r="AJ56" s="353">
        <f t="shared" si="25"/>
        <v>10</v>
      </c>
      <c r="AL56" s="352">
        <f t="shared" si="25"/>
        <v>1</v>
      </c>
      <c r="AM56" s="328"/>
      <c r="AN56" s="353">
        <f t="shared" si="25"/>
        <v>10</v>
      </c>
      <c r="AP56" s="352">
        <f t="shared" si="25"/>
        <v>0</v>
      </c>
      <c r="AQ56" s="328"/>
      <c r="AR56" s="352">
        <f t="shared" si="25"/>
        <v>1</v>
      </c>
      <c r="AS56" s="363"/>
      <c r="AT56" s="353">
        <f t="shared" si="25"/>
        <v>0</v>
      </c>
      <c r="AV56" s="352">
        <f t="shared" si="25"/>
        <v>18</v>
      </c>
      <c r="AW56" s="363"/>
      <c r="AX56" s="353">
        <f t="shared" si="25"/>
        <v>1</v>
      </c>
      <c r="AZ56" s="352">
        <f t="shared" si="25"/>
        <v>4</v>
      </c>
      <c r="BA56" s="363"/>
      <c r="BB56" s="352">
        <f t="shared" si="25"/>
        <v>3</v>
      </c>
      <c r="BC56" s="363"/>
      <c r="BD56" s="352">
        <f>SUM(BB21:BB47)</f>
        <v>3</v>
      </c>
      <c r="BE56" s="363"/>
      <c r="BF56" s="743">
        <f>SUM(BD21:BD47)</f>
        <v>2</v>
      </c>
      <c r="BG56" s="745" t="s">
        <v>263</v>
      </c>
      <c r="BH56" s="726"/>
      <c r="BI56" s="717"/>
      <c r="BJ56" s="717"/>
      <c r="BK56" s="733"/>
      <c r="BL56" s="743">
        <f>SUM(BH21:BH47)</f>
        <v>4.2595000000000001</v>
      </c>
      <c r="BM56" s="745" t="s">
        <v>263</v>
      </c>
      <c r="BN56" s="723"/>
      <c r="BO56" s="360"/>
      <c r="BP56" s="360"/>
      <c r="BQ56" s="730"/>
      <c r="BR56" s="923">
        <f>SUM(BN21:BN47)</f>
        <v>1</v>
      </c>
      <c r="BS56" s="745" t="s">
        <v>263</v>
      </c>
      <c r="BT56" s="723"/>
      <c r="BU56" s="360"/>
      <c r="BV56" s="360"/>
      <c r="BW56" s="730"/>
      <c r="BX56" s="923">
        <f>SUM(BT21:BT47)</f>
        <v>5</v>
      </c>
      <c r="BY56" s="745" t="s">
        <v>263</v>
      </c>
      <c r="BZ56" s="723"/>
      <c r="CA56" s="360"/>
      <c r="CB56" s="360"/>
      <c r="CC56" s="730"/>
      <c r="CD56" s="923">
        <f>SUM(BZ21:BZ47)</f>
        <v>1</v>
      </c>
      <c r="CE56" s="745" t="s">
        <v>263</v>
      </c>
      <c r="CF56" s="723"/>
      <c r="CG56" s="360"/>
      <c r="CH56" s="360"/>
      <c r="CI56" s="730"/>
      <c r="CJ56" s="923">
        <f>SUM(CF21:CF47)</f>
        <v>2</v>
      </c>
      <c r="CK56" s="745" t="s">
        <v>263</v>
      </c>
      <c r="CL56" s="723"/>
      <c r="CM56" s="360"/>
      <c r="CN56" s="360"/>
      <c r="CO56" s="730"/>
      <c r="CP56" s="923">
        <f>SUM(CL21:CL47)</f>
        <v>6.0877999999999997</v>
      </c>
      <c r="CQ56" s="745" t="s">
        <v>263</v>
      </c>
      <c r="CR56" s="723"/>
      <c r="CS56" s="360"/>
      <c r="CT56" s="360"/>
      <c r="CU56" s="730"/>
      <c r="CV56" s="923">
        <f>SUM(CR21:CR47)</f>
        <v>3</v>
      </c>
      <c r="CW56" s="745" t="s">
        <v>263</v>
      </c>
      <c r="CX56" s="723"/>
      <c r="CY56" s="360"/>
      <c r="CZ56" s="360"/>
      <c r="DA56" s="730"/>
      <c r="DB56" s="923">
        <f>SUM(CX21:CX47)</f>
        <v>0</v>
      </c>
      <c r="DC56" s="745" t="s">
        <v>263</v>
      </c>
      <c r="DD56" s="723"/>
      <c r="DE56" s="360"/>
      <c r="DF56" s="360"/>
      <c r="DG56" s="730"/>
      <c r="DH56" s="923">
        <f>SUM(DD21:DD47)</f>
        <v>1</v>
      </c>
      <c r="DI56" s="745" t="s">
        <v>263</v>
      </c>
      <c r="DJ56" s="723"/>
      <c r="DK56" s="360"/>
      <c r="DL56" s="360"/>
      <c r="DM56" s="732"/>
      <c r="DN56" s="923">
        <f>SUM(DJ21:DJ47)</f>
        <v>0</v>
      </c>
      <c r="DO56" s="745" t="s">
        <v>263</v>
      </c>
      <c r="DP56" s="723"/>
      <c r="DQ56" s="360"/>
      <c r="DR56" s="360"/>
      <c r="DS56" s="730"/>
      <c r="DT56" s="923">
        <f>SUM(DP21:DP47)</f>
        <v>0</v>
      </c>
      <c r="DU56" s="745" t="s">
        <v>263</v>
      </c>
      <c r="DV56" s="723"/>
      <c r="DW56" s="360"/>
      <c r="DX56" s="360"/>
      <c r="DY56" s="730"/>
      <c r="DZ56" s="923">
        <f>SUM(DV21:DV47)</f>
        <v>0</v>
      </c>
      <c r="EA56" s="745" t="s">
        <v>263</v>
      </c>
      <c r="EB56" s="723"/>
      <c r="EC56" s="360"/>
      <c r="ED56" s="360"/>
      <c r="EE56" s="730"/>
    </row>
    <row r="57" spans="1:137" s="27" customFormat="1" x14ac:dyDescent="0.2">
      <c r="A57" s="87" t="s">
        <v>75</v>
      </c>
      <c r="B57" s="90">
        <v>1984</v>
      </c>
      <c r="C57" s="43"/>
      <c r="D57" s="90">
        <v>1985</v>
      </c>
      <c r="E57" s="91"/>
      <c r="F57" s="43">
        <v>1986</v>
      </c>
      <c r="G57" s="43"/>
      <c r="H57" s="90">
        <v>1987</v>
      </c>
      <c r="I57" s="91"/>
      <c r="J57" s="43">
        <v>1988</v>
      </c>
      <c r="K57" s="43"/>
      <c r="L57" s="90">
        <v>1989</v>
      </c>
      <c r="M57" s="91"/>
      <c r="N57" s="43">
        <v>1990</v>
      </c>
      <c r="O57" s="43"/>
      <c r="P57" s="90">
        <v>1991</v>
      </c>
      <c r="Q57" s="91"/>
      <c r="R57" s="43">
        <v>1992</v>
      </c>
      <c r="S57" s="43"/>
      <c r="T57" s="90">
        <v>1993</v>
      </c>
      <c r="U57" s="91"/>
      <c r="V57" s="43">
        <v>1994</v>
      </c>
      <c r="W57" s="43"/>
      <c r="X57" s="90">
        <v>1995</v>
      </c>
      <c r="Y57" s="91"/>
      <c r="Z57" s="43">
        <v>1996</v>
      </c>
      <c r="AA57" s="43"/>
      <c r="AB57" s="90">
        <v>1997</v>
      </c>
      <c r="AC57" s="91"/>
      <c r="AD57" s="43">
        <v>1998</v>
      </c>
      <c r="AE57" s="43"/>
      <c r="AF57" s="90">
        <v>1999</v>
      </c>
      <c r="AG57" s="43"/>
      <c r="AH57" s="90">
        <v>2000</v>
      </c>
      <c r="AI57" s="282"/>
      <c r="AJ57" s="132">
        <v>2001</v>
      </c>
      <c r="AK57" s="132"/>
      <c r="AL57" s="134">
        <v>2002</v>
      </c>
      <c r="AM57" s="133"/>
      <c r="AN57" s="132">
        <v>2003</v>
      </c>
      <c r="AO57" s="132"/>
      <c r="AP57" s="134">
        <v>2004</v>
      </c>
      <c r="AQ57" s="133"/>
      <c r="AR57" s="134">
        <v>2005</v>
      </c>
      <c r="AS57" s="133"/>
      <c r="AT57" s="132">
        <v>2006</v>
      </c>
      <c r="AU57" s="132"/>
      <c r="AV57" s="134">
        <v>2007</v>
      </c>
      <c r="AW57" s="133"/>
      <c r="AX57" s="132">
        <v>2008</v>
      </c>
      <c r="AY57" s="132"/>
      <c r="AZ57" s="134">
        <v>2009</v>
      </c>
      <c r="BA57" s="133"/>
      <c r="BB57" s="134">
        <v>2010</v>
      </c>
      <c r="BC57" s="133"/>
      <c r="BD57" s="134">
        <v>2011</v>
      </c>
      <c r="BE57" s="133"/>
      <c r="BF57" s="744">
        <v>2012</v>
      </c>
      <c r="BG57" s="718"/>
      <c r="BH57" s="727"/>
      <c r="BI57" s="718"/>
      <c r="BJ57" s="718"/>
      <c r="BK57" s="734"/>
      <c r="BL57" s="744">
        <v>2013</v>
      </c>
      <c r="BM57" s="718"/>
      <c r="BN57" s="736"/>
      <c r="BO57" s="132"/>
      <c r="BP57" s="132"/>
      <c r="BQ57" s="740"/>
      <c r="BR57" s="744">
        <v>2014</v>
      </c>
      <c r="BS57" s="718"/>
      <c r="BT57" s="736"/>
      <c r="BU57" s="132"/>
      <c r="BV57" s="132"/>
      <c r="BW57" s="740"/>
      <c r="BX57" s="744">
        <v>2015</v>
      </c>
      <c r="BY57" s="718"/>
      <c r="BZ57" s="736"/>
      <c r="CA57" s="132"/>
      <c r="CB57" s="132"/>
      <c r="CC57" s="740"/>
      <c r="CD57" s="744">
        <v>2016</v>
      </c>
      <c r="CE57" s="718"/>
      <c r="CF57" s="736"/>
      <c r="CG57" s="132"/>
      <c r="CH57" s="132"/>
      <c r="CI57" s="740"/>
      <c r="CJ57" s="744">
        <v>2017</v>
      </c>
      <c r="CK57" s="718"/>
      <c r="CL57" s="736"/>
      <c r="CM57" s="132"/>
      <c r="CN57" s="132"/>
      <c r="CO57" s="740"/>
      <c r="CP57" s="744">
        <v>2018</v>
      </c>
      <c r="CQ57" s="718"/>
      <c r="CR57" s="736"/>
      <c r="CS57" s="132"/>
      <c r="CT57" s="132"/>
      <c r="CU57" s="740"/>
      <c r="CV57" s="744">
        <v>2019</v>
      </c>
      <c r="CW57" s="718"/>
      <c r="CX57" s="736"/>
      <c r="CY57" s="132"/>
      <c r="CZ57" s="132"/>
      <c r="DA57" s="740"/>
      <c r="DB57" s="744">
        <v>2020</v>
      </c>
      <c r="DC57" s="718"/>
      <c r="DD57" s="736"/>
      <c r="DE57" s="132"/>
      <c r="DF57" s="132"/>
      <c r="DG57" s="740"/>
      <c r="DH57" s="744">
        <v>2021</v>
      </c>
      <c r="DI57" s="718"/>
      <c r="DJ57" s="736"/>
      <c r="DK57" s="132"/>
      <c r="DL57" s="132"/>
      <c r="DM57" s="740"/>
      <c r="DN57" s="744">
        <v>2022</v>
      </c>
      <c r="DO57" s="718"/>
      <c r="DP57" s="736"/>
      <c r="DQ57" s="132"/>
      <c r="DR57" s="132"/>
      <c r="DS57" s="740"/>
      <c r="DT57" s="744">
        <v>2023</v>
      </c>
      <c r="DU57" s="718"/>
      <c r="DV57" s="736"/>
      <c r="DW57" s="132"/>
      <c r="DX57" s="132"/>
      <c r="DY57" s="740"/>
      <c r="DZ57" s="744">
        <v>2024</v>
      </c>
      <c r="EA57" s="718"/>
      <c r="EB57" s="736"/>
      <c r="EC57" s="132"/>
      <c r="ED57" s="132"/>
      <c r="EE57" s="740"/>
      <c r="EF57" s="127"/>
      <c r="EG57" s="37"/>
    </row>
    <row r="58" spans="1:137" x14ac:dyDescent="0.2">
      <c r="A58" s="339" t="s">
        <v>134</v>
      </c>
      <c r="D58" s="746">
        <f>SUM(B48:B55,F4:F20)</f>
        <v>30</v>
      </c>
      <c r="E58" s="10"/>
      <c r="F58" s="746">
        <f>SUM(D48:D55,H4:H20)</f>
        <v>0</v>
      </c>
      <c r="G58" s="361"/>
      <c r="H58" s="746">
        <f>SUM(F48:F55,J4:J20)</f>
        <v>0</v>
      </c>
      <c r="I58" s="10"/>
      <c r="J58" s="746">
        <f>SUM(H48:H55,L4:L20)</f>
        <v>0</v>
      </c>
      <c r="L58" s="746">
        <f>SUM(J48:J55,N4:N20)</f>
        <v>0</v>
      </c>
      <c r="M58" s="10"/>
      <c r="N58" s="746">
        <f>SUM(L48:L55,P4:P20)</f>
        <v>0</v>
      </c>
      <c r="P58" s="746">
        <f>SUM(N48:N55,R4:R20)</f>
        <v>0</v>
      </c>
      <c r="Q58" s="10"/>
      <c r="R58" s="746">
        <f>SUM(P48:P55,T4:T20)</f>
        <v>0</v>
      </c>
      <c r="T58" s="746">
        <f>SUM(R48:R55,V4:V20)</f>
        <v>0</v>
      </c>
      <c r="U58" s="10"/>
      <c r="V58" s="746">
        <f>SUM(T48:T55,X4:X20)</f>
        <v>0</v>
      </c>
      <c r="X58" s="746">
        <f>SUM(V48:V55,Z4:Z20)</f>
        <v>2</v>
      </c>
      <c r="Y58" s="10"/>
      <c r="Z58" s="746">
        <f>SUM(X48:X55,AB4:AB20)</f>
        <v>0</v>
      </c>
      <c r="AB58" s="746">
        <f>SUM(Z48:Z55,AD4:AD20)</f>
        <v>2</v>
      </c>
      <c r="AC58" s="10"/>
      <c r="AD58" s="746">
        <f>SUM(AB48:AB55,AF4:AF20)</f>
        <v>0</v>
      </c>
      <c r="AF58" s="746">
        <f>SUM(AD48:AD55,AH4:AH20)</f>
        <v>0</v>
      </c>
      <c r="AG58" s="361"/>
      <c r="AH58" s="746">
        <f>SUM(AF48:AF55,AJ4:AJ20)</f>
        <v>0</v>
      </c>
      <c r="AI58" s="359"/>
      <c r="AJ58" s="746">
        <f>SUM(AH48:AH55,AL4:AL20)</f>
        <v>0</v>
      </c>
      <c r="AL58" s="746">
        <f>SUM(AJ48:AJ55,AN4:AN20)</f>
        <v>2</v>
      </c>
      <c r="AM58" s="328"/>
      <c r="AN58" s="746">
        <f>SUM(AL48:AL55,AP4:AP20)</f>
        <v>0</v>
      </c>
      <c r="AP58" s="746">
        <f>SUM(AN48:AN55,AR4:AR20)</f>
        <v>0</v>
      </c>
      <c r="AQ58" s="10"/>
      <c r="AR58" s="746">
        <f>SUM(AP48:AP55,AT4:AT20)</f>
        <v>0</v>
      </c>
      <c r="AS58" s="367"/>
      <c r="AT58" s="746">
        <f>SUM(AR48:AR55,AV4:AV20)</f>
        <v>0</v>
      </c>
      <c r="AV58" s="746">
        <f>SUM(AT48:AT55,AX4:AX20)</f>
        <v>0</v>
      </c>
      <c r="AW58" s="367"/>
      <c r="AX58" s="746">
        <f>SUM(AV48:AV55,AZ4:AZ20)</f>
        <v>0</v>
      </c>
      <c r="AZ58" s="746">
        <f>SUM(AX48:AX55,BB4:BB20)</f>
        <v>0</v>
      </c>
      <c r="BA58" s="367"/>
      <c r="BB58" s="746">
        <f>SUM(AZ48:AZ55,BD4:BD20)</f>
        <v>0</v>
      </c>
      <c r="BC58" s="363"/>
      <c r="BD58" s="746">
        <f>SUM(BB48:BB55,BF4:BF20)</f>
        <v>0</v>
      </c>
      <c r="BE58" s="363"/>
      <c r="BF58" s="746">
        <f>SUM(BD48:BD55,BH4:BH20)</f>
        <v>1</v>
      </c>
      <c r="BG58" s="745" t="s">
        <v>263</v>
      </c>
      <c r="BH58" s="726"/>
      <c r="BI58" s="717"/>
      <c r="BJ58" s="717"/>
      <c r="BK58" s="733"/>
      <c r="BL58" s="746">
        <f>SUM(BH48:BH55,BN4:BN20)</f>
        <v>0</v>
      </c>
      <c r="BM58" s="745" t="s">
        <v>263</v>
      </c>
      <c r="BN58" s="723"/>
      <c r="BO58" s="360"/>
      <c r="BP58" s="360"/>
      <c r="BQ58" s="730"/>
      <c r="BR58" s="746">
        <f>SUM(BN48:BN55,BT4:BT20)</f>
        <v>0</v>
      </c>
      <c r="BS58" s="745" t="s">
        <v>263</v>
      </c>
      <c r="BT58" s="723"/>
      <c r="BU58" s="360"/>
      <c r="BV58" s="360"/>
      <c r="BW58" s="730"/>
      <c r="BX58" s="746">
        <f>SUM(BT48:BT55,BZ4:BZ20)</f>
        <v>0</v>
      </c>
      <c r="BY58" s="745" t="s">
        <v>263</v>
      </c>
      <c r="BZ58" s="723"/>
      <c r="CA58" s="360"/>
      <c r="CB58" s="360"/>
      <c r="CC58" s="730"/>
      <c r="CD58" s="746">
        <f>SUM(BZ48:BZ55,CF4:CF20)</f>
        <v>1</v>
      </c>
      <c r="CE58" s="745" t="s">
        <v>263</v>
      </c>
      <c r="CF58" s="723"/>
      <c r="CG58" s="360"/>
      <c r="CH58" s="360"/>
      <c r="CI58" s="730"/>
      <c r="CJ58" s="746">
        <f>SUM(CF48:CF55,CL4:CL20)</f>
        <v>2.0878000000000001</v>
      </c>
      <c r="CK58" s="745" t="s">
        <v>263</v>
      </c>
      <c r="CL58" s="723"/>
      <c r="CM58" s="360"/>
      <c r="CN58" s="360"/>
      <c r="CO58" s="730"/>
      <c r="CP58" s="746">
        <f>SUM(CL48:CL55,CR4:CR20)</f>
        <v>0</v>
      </c>
      <c r="CQ58" s="745" t="s">
        <v>263</v>
      </c>
      <c r="CR58" s="723"/>
      <c r="CS58" s="360"/>
      <c r="CT58" s="360"/>
      <c r="CU58" s="730"/>
      <c r="CV58" s="746">
        <f>SUM(CR48:CR55,CX4:CX20)</f>
        <v>0</v>
      </c>
      <c r="CW58" s="745" t="s">
        <v>263</v>
      </c>
      <c r="CX58" s="723"/>
      <c r="CY58" s="360"/>
      <c r="CZ58" s="360"/>
      <c r="DA58" s="730"/>
      <c r="DB58" s="746">
        <f>SUM(CX48:CX55,DD4:DD20)</f>
        <v>1</v>
      </c>
      <c r="DC58" s="745" t="s">
        <v>263</v>
      </c>
      <c r="DD58" s="723"/>
      <c r="DE58" s="360"/>
      <c r="DF58" s="360"/>
      <c r="DG58" s="730"/>
      <c r="DH58" s="746">
        <f>SUM(DD48:DD55,DJ4:DJ20)</f>
        <v>0</v>
      </c>
      <c r="DI58" s="745" t="s">
        <v>263</v>
      </c>
      <c r="DJ58" s="723"/>
      <c r="DK58" s="360"/>
      <c r="DL58" s="360"/>
      <c r="DM58" s="730"/>
      <c r="DN58" s="746">
        <f>SUM(DJ48:DJ55,DP4:DP20)</f>
        <v>4</v>
      </c>
      <c r="DO58" s="745" t="s">
        <v>263</v>
      </c>
      <c r="DP58" s="723"/>
      <c r="DQ58" s="360"/>
      <c r="DR58" s="360"/>
      <c r="DS58" s="730"/>
      <c r="DT58" s="746">
        <f>SUM(DP48:DP55,DV4:DV20)</f>
        <v>3</v>
      </c>
      <c r="DU58" s="745" t="s">
        <v>263</v>
      </c>
      <c r="DV58" s="723"/>
      <c r="DW58" s="360"/>
      <c r="DX58" s="360"/>
      <c r="DY58" s="730"/>
      <c r="DZ58" s="746">
        <f>SUM(DV48:DV55,EB4:EB20)</f>
        <v>0</v>
      </c>
      <c r="EA58" s="745" t="s">
        <v>263</v>
      </c>
      <c r="EB58" s="723"/>
      <c r="EC58" s="360"/>
      <c r="ED58" s="360"/>
      <c r="EE58" s="730"/>
    </row>
    <row r="59" spans="1:137" s="27" customFormat="1" x14ac:dyDescent="0.2">
      <c r="A59" s="87" t="s">
        <v>77</v>
      </c>
      <c r="B59" s="113" t="s">
        <v>135</v>
      </c>
      <c r="C59" s="43"/>
      <c r="D59" s="113" t="s">
        <v>112</v>
      </c>
      <c r="E59" s="179"/>
      <c r="F59" s="129" t="s">
        <v>113</v>
      </c>
      <c r="G59" s="129"/>
      <c r="H59" s="113" t="s">
        <v>114</v>
      </c>
      <c r="I59" s="179"/>
      <c r="J59" s="129" t="s">
        <v>115</v>
      </c>
      <c r="K59" s="129"/>
      <c r="L59" s="113" t="s">
        <v>116</v>
      </c>
      <c r="M59" s="179"/>
      <c r="N59" s="129" t="s">
        <v>117</v>
      </c>
      <c r="O59" s="129"/>
      <c r="P59" s="113" t="s">
        <v>118</v>
      </c>
      <c r="Q59" s="179"/>
      <c r="R59" s="129" t="s">
        <v>53</v>
      </c>
      <c r="S59" s="129"/>
      <c r="T59" s="113" t="s">
        <v>54</v>
      </c>
      <c r="U59" s="179"/>
      <c r="V59" s="129" t="s">
        <v>55</v>
      </c>
      <c r="W59" s="129"/>
      <c r="X59" s="113" t="s">
        <v>56</v>
      </c>
      <c r="Y59" s="179"/>
      <c r="Z59" s="129" t="s">
        <v>57</v>
      </c>
      <c r="AA59" s="129"/>
      <c r="AB59" s="113" t="s">
        <v>58</v>
      </c>
      <c r="AC59" s="179"/>
      <c r="AD59" s="129" t="s">
        <v>59</v>
      </c>
      <c r="AE59" s="129"/>
      <c r="AF59" s="113" t="s">
        <v>60</v>
      </c>
      <c r="AG59" s="129"/>
      <c r="AH59" s="113" t="s">
        <v>61</v>
      </c>
      <c r="AI59" s="282"/>
      <c r="AJ59" s="129" t="s">
        <v>62</v>
      </c>
      <c r="AK59" s="281"/>
      <c r="AL59" s="103" t="s">
        <v>63</v>
      </c>
      <c r="AM59" s="106"/>
      <c r="AN59" s="114" t="s">
        <v>64</v>
      </c>
      <c r="AO59" s="114"/>
      <c r="AP59" s="103" t="s">
        <v>65</v>
      </c>
      <c r="AQ59" s="106"/>
      <c r="AR59" s="103" t="s">
        <v>66</v>
      </c>
      <c r="AS59" s="133"/>
      <c r="AT59" s="114" t="s">
        <v>67</v>
      </c>
      <c r="AU59" s="132"/>
      <c r="AV59" s="103" t="s">
        <v>68</v>
      </c>
      <c r="AW59" s="133"/>
      <c r="AX59" s="114" t="s">
        <v>69</v>
      </c>
      <c r="AY59" s="132"/>
      <c r="AZ59" s="103" t="s">
        <v>70</v>
      </c>
      <c r="BA59" s="133"/>
      <c r="BB59" s="103" t="s">
        <v>71</v>
      </c>
      <c r="BC59" s="133"/>
      <c r="BD59" s="103" t="s">
        <v>119</v>
      </c>
      <c r="BE59" s="133"/>
      <c r="BF59" s="747" t="s">
        <v>120</v>
      </c>
      <c r="BG59" s="713"/>
      <c r="BH59" s="728"/>
      <c r="BI59" s="719"/>
      <c r="BJ59" s="719"/>
      <c r="BK59" s="735"/>
      <c r="BL59" s="747" t="s">
        <v>121</v>
      </c>
      <c r="BM59" s="719"/>
      <c r="BN59" s="737"/>
      <c r="BO59" s="45"/>
      <c r="BP59" s="45"/>
      <c r="BQ59" s="741"/>
      <c r="BR59" s="747" t="s">
        <v>286</v>
      </c>
      <c r="BS59" s="719"/>
      <c r="BT59" s="737"/>
      <c r="BU59" s="45"/>
      <c r="BV59" s="45"/>
      <c r="BW59" s="741"/>
      <c r="BX59" s="747" t="s">
        <v>298</v>
      </c>
      <c r="BY59" s="719"/>
      <c r="BZ59" s="737"/>
      <c r="CA59" s="45"/>
      <c r="CB59" s="45"/>
      <c r="CC59" s="741"/>
      <c r="CD59" s="747" t="s">
        <v>335</v>
      </c>
      <c r="CE59" s="719"/>
      <c r="CF59" s="737"/>
      <c r="CG59" s="45"/>
      <c r="CH59" s="45"/>
      <c r="CI59" s="741"/>
      <c r="CJ59" s="747" t="s">
        <v>364</v>
      </c>
      <c r="CK59" s="719"/>
      <c r="CL59" s="737"/>
      <c r="CM59" s="45"/>
      <c r="CN59" s="45"/>
      <c r="CO59" s="741"/>
      <c r="CP59" s="747" t="s">
        <v>384</v>
      </c>
      <c r="CQ59" s="719"/>
      <c r="CR59" s="737"/>
      <c r="CS59" s="45"/>
      <c r="CT59" s="45"/>
      <c r="CU59" s="741"/>
      <c r="CV59" s="747" t="s">
        <v>446</v>
      </c>
      <c r="CW59" s="719"/>
      <c r="CX59" s="737"/>
      <c r="CY59" s="45"/>
      <c r="CZ59" s="45"/>
      <c r="DA59" s="741"/>
      <c r="DB59" s="747" t="s">
        <v>467</v>
      </c>
      <c r="DC59" s="719"/>
      <c r="DD59" s="737"/>
      <c r="DE59" s="45"/>
      <c r="DF59" s="45"/>
      <c r="DG59" s="741"/>
      <c r="DH59" s="747" t="s">
        <v>477</v>
      </c>
      <c r="DI59" s="719"/>
      <c r="DJ59" s="737"/>
      <c r="DK59" s="45"/>
      <c r="DL59" s="45"/>
      <c r="DM59" s="741"/>
      <c r="DN59" s="747" t="s">
        <v>487</v>
      </c>
      <c r="DO59" s="577"/>
      <c r="DP59" s="737"/>
      <c r="DQ59" s="45"/>
      <c r="DR59" s="45"/>
      <c r="DS59" s="741"/>
      <c r="DT59" s="747" t="s">
        <v>492</v>
      </c>
      <c r="DU59" s="719"/>
      <c r="DV59" s="737"/>
      <c r="DW59" s="45"/>
      <c r="DX59" s="45"/>
      <c r="DY59" s="741"/>
      <c r="DZ59" s="747" t="s">
        <v>531</v>
      </c>
      <c r="EA59" s="719"/>
      <c r="EB59" s="737"/>
      <c r="EC59" s="45"/>
      <c r="ED59" s="45"/>
      <c r="EE59" s="741"/>
      <c r="EF59" s="127"/>
      <c r="EG59" s="37"/>
    </row>
    <row r="60" spans="1:137" x14ac:dyDescent="0.2">
      <c r="A60" s="340" t="s">
        <v>136</v>
      </c>
      <c r="D60" s="350"/>
      <c r="E60" s="1014">
        <f>SUM(C30:C55,E4:E29)</f>
        <v>96</v>
      </c>
      <c r="G60" s="1014">
        <f>SUM(E30:E55,G4:G29)</f>
        <v>6</v>
      </c>
      <c r="H60" s="350"/>
      <c r="I60" s="1014">
        <f>SUM(G30:G55,I4:I29)</f>
        <v>10</v>
      </c>
      <c r="K60" s="1014">
        <f>SUM(I30:I55,K4:K29)</f>
        <v>0</v>
      </c>
      <c r="L60" s="350"/>
      <c r="M60" s="1014">
        <f>SUM(K30:K55,M4:M29)</f>
        <v>17</v>
      </c>
      <c r="O60" s="1014">
        <f>SUM(M30:M55,O4:O29)</f>
        <v>5</v>
      </c>
      <c r="P60" s="350"/>
      <c r="Q60" s="1014">
        <f>SUM(O30:O55,Q4:Q29)</f>
        <v>16</v>
      </c>
      <c r="S60" s="1014">
        <f>SUM(Q30:Q55,S4:S29)</f>
        <v>10</v>
      </c>
      <c r="T60" s="350"/>
      <c r="U60" s="1014">
        <f>SUM(S30:S55,U4:U29)</f>
        <v>24</v>
      </c>
      <c r="W60" s="1014">
        <f>SUM(U30:U55,W4:W29)</f>
        <v>14</v>
      </c>
      <c r="X60" s="350"/>
      <c r="Y60" s="1014">
        <f>SUM(W30:W55,Y4:Y29)</f>
        <v>20</v>
      </c>
      <c r="AA60" s="1014">
        <f>SUM(Y30:Y55,AA4:AA29)</f>
        <v>5</v>
      </c>
      <c r="AB60" s="350"/>
      <c r="AC60" s="1014">
        <f>SUM(AA30:AA55,AC4:AC29)</f>
        <v>5</v>
      </c>
      <c r="AE60" s="1014">
        <f>SUM(AC30:AC55,AE4:AE29)</f>
        <v>5</v>
      </c>
      <c r="AF60" s="350"/>
      <c r="AG60" s="1014">
        <f>SUM(AE30:AE55,AG4:AG29)</f>
        <v>4</v>
      </c>
      <c r="AH60" s="350"/>
      <c r="AI60" s="1014">
        <f>SUM(AG30:AG55,AI4:AI29)</f>
        <v>1</v>
      </c>
      <c r="AK60" s="1014">
        <f>SUM(AI30:AI55,AK4:AK29)</f>
        <v>11</v>
      </c>
      <c r="AL60" s="349"/>
      <c r="AM60" s="1014">
        <f>SUM(AK30:AK55,AM4:AM29)</f>
        <v>4</v>
      </c>
      <c r="AO60" s="1014">
        <f>SUM(AM30:AM55,AO4:AO29)</f>
        <v>0</v>
      </c>
      <c r="AP60" s="350"/>
      <c r="AQ60" s="1014">
        <f>SUM(AO30:AO55,AQ4:AQ29)</f>
        <v>9</v>
      </c>
      <c r="AR60" s="368"/>
      <c r="AS60" s="1014">
        <f>SUM(AQ30:AQ55,AS4:AS29)</f>
        <v>9</v>
      </c>
      <c r="AT60" s="388"/>
      <c r="AU60" s="1014">
        <f>SUM(AS30:AS55,AU4:AU29)</f>
        <v>10</v>
      </c>
      <c r="AV60" s="389"/>
      <c r="AW60" s="1014">
        <f>SUM(AU30:AU55,AW4:AW29)</f>
        <v>19</v>
      </c>
      <c r="AX60" s="388"/>
      <c r="AY60" s="1014">
        <f>SUM(AW30:AW55,AY4:AY29)</f>
        <v>3</v>
      </c>
      <c r="AZ60" s="389"/>
      <c r="BA60" s="1014">
        <f>SUM(AY30:AY55,BA4:BA29)</f>
        <v>1</v>
      </c>
      <c r="BB60" s="390"/>
      <c r="BC60" s="1014">
        <f>SUM(BA30:BA55,BC4:BC29)</f>
        <v>0.13220000000000001</v>
      </c>
      <c r="BD60" s="390"/>
      <c r="BE60" s="1014">
        <f>SUM(BC30:BC55,BE4:BE29)</f>
        <v>3.6610000000000005</v>
      </c>
      <c r="BF60" s="748"/>
      <c r="BG60" s="1015">
        <f>SUM(BE30:BE55,BK19:BK29)</f>
        <v>6.5949</v>
      </c>
      <c r="BH60" s="749" t="s">
        <v>263</v>
      </c>
      <c r="BI60" s="750"/>
      <c r="BJ60" s="750"/>
      <c r="BK60" s="751"/>
      <c r="BL60" s="748"/>
      <c r="BM60" s="1015">
        <f>SUM(BK30:BK55,BQ4:BQ29)</f>
        <v>3.1858411764705883</v>
      </c>
      <c r="BN60" s="745" t="s">
        <v>263</v>
      </c>
      <c r="BO60" s="752"/>
      <c r="BP60" s="752"/>
      <c r="BQ60" s="753"/>
      <c r="BR60" s="748"/>
      <c r="BS60" s="1015">
        <f>SUM(BQ30:BQ55,BW4:BW29)</f>
        <v>7.5280000000000005</v>
      </c>
      <c r="BT60" s="745" t="s">
        <v>263</v>
      </c>
      <c r="BU60" s="752"/>
      <c r="BV60" s="752"/>
      <c r="BW60" s="753"/>
      <c r="BX60" s="748"/>
      <c r="BY60" s="1015">
        <f>SUM(BW30:BW55,CC4:CC29)</f>
        <v>1.4339999999999999</v>
      </c>
      <c r="BZ60" s="745" t="s">
        <v>263</v>
      </c>
      <c r="CA60" s="752"/>
      <c r="CB60" s="752"/>
      <c r="CC60" s="753"/>
      <c r="CD60" s="748"/>
      <c r="CE60" s="1015">
        <f>SUM(CC30:CC55,CI4:CI29)</f>
        <v>6.5309999999999988</v>
      </c>
      <c r="CF60" s="745" t="s">
        <v>263</v>
      </c>
      <c r="CG60" s="752"/>
      <c r="CH60" s="752"/>
      <c r="CI60" s="753"/>
      <c r="CJ60" s="748"/>
      <c r="CK60" s="1015">
        <f>SUM(CI30:CI55,CO4:CO29)</f>
        <v>81.103518000000008</v>
      </c>
      <c r="CL60" s="745" t="s">
        <v>263</v>
      </c>
      <c r="CM60" s="752"/>
      <c r="CN60" s="752"/>
      <c r="CO60" s="753"/>
      <c r="CP60" s="748"/>
      <c r="CQ60" s="1015">
        <f>SUM(CO30:CO55,CU4:CU29)</f>
        <v>1.8679999999999999</v>
      </c>
      <c r="CR60" s="745" t="s">
        <v>263</v>
      </c>
      <c r="CS60" s="752"/>
      <c r="CT60" s="752"/>
      <c r="CU60" s="753"/>
      <c r="CV60" s="748"/>
      <c r="CW60" s="1015">
        <f>SUM(CU30:CU55,DA4:DA29)</f>
        <v>37.064746</v>
      </c>
      <c r="CX60" s="745" t="s">
        <v>263</v>
      </c>
      <c r="CY60" s="752"/>
      <c r="CZ60" s="752"/>
      <c r="DA60" s="753"/>
      <c r="DB60" s="748"/>
      <c r="DC60" s="1015">
        <f>SUM(DA30:DA55,DG4:DG29)</f>
        <v>17.641199</v>
      </c>
      <c r="DD60" s="745" t="s">
        <v>263</v>
      </c>
      <c r="DE60" s="752"/>
      <c r="DF60" s="752"/>
      <c r="DG60" s="753"/>
      <c r="DH60" s="748"/>
      <c r="DI60" s="1015">
        <f>SUM(DG30:DG55,DM4:DM29)</f>
        <v>3</v>
      </c>
      <c r="DJ60" s="745" t="s">
        <v>263</v>
      </c>
      <c r="DK60" s="752"/>
      <c r="DL60" s="752"/>
      <c r="DM60" s="753"/>
      <c r="DN60" s="748"/>
      <c r="DO60" s="1776">
        <f>SUM(DM30:DM55,DS4:DS29)</f>
        <v>44.686655000000002</v>
      </c>
      <c r="DP60" s="745" t="s">
        <v>263</v>
      </c>
      <c r="DQ60" s="752"/>
      <c r="DR60" s="752"/>
      <c r="DS60" s="753"/>
      <c r="DT60" s="748"/>
      <c r="DU60" s="1015">
        <f>SUM(DS30:DS55,DY4:DY29)</f>
        <v>35.243168000000004</v>
      </c>
      <c r="DV60" s="745" t="s">
        <v>263</v>
      </c>
      <c r="DW60" s="752"/>
      <c r="DX60" s="752"/>
      <c r="DY60" s="753"/>
      <c r="DZ60" s="748"/>
      <c r="EA60" s="1015">
        <f>SUM(DY30:DY55,EE4:EE29)</f>
        <v>1</v>
      </c>
      <c r="EB60" s="745" t="s">
        <v>263</v>
      </c>
      <c r="EC60" s="752"/>
      <c r="ED60" s="752"/>
      <c r="EE60" s="753"/>
      <c r="EF60" s="521"/>
      <c r="EG60" s="520"/>
    </row>
    <row r="61" spans="1:137" s="27" customFormat="1" x14ac:dyDescent="0.2">
      <c r="A61" s="87" t="s">
        <v>79</v>
      </c>
      <c r="B61" s="113" t="s">
        <v>135</v>
      </c>
      <c r="C61" s="129"/>
      <c r="D61" s="113" t="s">
        <v>112</v>
      </c>
      <c r="E61" s="179"/>
      <c r="F61" s="129" t="s">
        <v>113</v>
      </c>
      <c r="G61" s="129"/>
      <c r="H61" s="113" t="s">
        <v>114</v>
      </c>
      <c r="I61" s="179"/>
      <c r="J61" s="129" t="s">
        <v>115</v>
      </c>
      <c r="K61" s="129"/>
      <c r="L61" s="113" t="s">
        <v>116</v>
      </c>
      <c r="M61" s="179"/>
      <c r="N61" s="129" t="s">
        <v>117</v>
      </c>
      <c r="O61" s="129"/>
      <c r="P61" s="113" t="s">
        <v>118</v>
      </c>
      <c r="Q61" s="179"/>
      <c r="R61" s="129" t="s">
        <v>53</v>
      </c>
      <c r="S61" s="129"/>
      <c r="T61" s="113" t="s">
        <v>54</v>
      </c>
      <c r="U61" s="179"/>
      <c r="V61" s="129" t="s">
        <v>55</v>
      </c>
      <c r="W61" s="129"/>
      <c r="X61" s="113" t="s">
        <v>56</v>
      </c>
      <c r="Y61" s="179"/>
      <c r="Z61" s="129" t="s">
        <v>57</v>
      </c>
      <c r="AA61" s="129"/>
      <c r="AB61" s="113" t="s">
        <v>58</v>
      </c>
      <c r="AC61" s="179"/>
      <c r="AD61" s="129" t="s">
        <v>59</v>
      </c>
      <c r="AE61" s="129"/>
      <c r="AF61" s="113" t="s">
        <v>60</v>
      </c>
      <c r="AG61" s="129"/>
      <c r="AH61" s="113" t="s">
        <v>61</v>
      </c>
      <c r="AI61" s="282"/>
      <c r="AJ61" s="129" t="s">
        <v>62</v>
      </c>
      <c r="AK61" s="281"/>
      <c r="AL61" s="103" t="s">
        <v>63</v>
      </c>
      <c r="AM61" s="106"/>
      <c r="AN61" s="114" t="s">
        <v>64</v>
      </c>
      <c r="AO61" s="114"/>
      <c r="AP61" s="103" t="s">
        <v>65</v>
      </c>
      <c r="AQ61" s="106"/>
      <c r="AR61" s="103" t="s">
        <v>66</v>
      </c>
      <c r="AS61" s="133"/>
      <c r="AT61" s="114" t="s">
        <v>67</v>
      </c>
      <c r="AU61" s="132"/>
      <c r="AV61" s="103" t="s">
        <v>68</v>
      </c>
      <c r="AW61" s="133"/>
      <c r="AX61" s="114" t="s">
        <v>69</v>
      </c>
      <c r="AY61" s="132"/>
      <c r="AZ61" s="103" t="s">
        <v>70</v>
      </c>
      <c r="BA61" s="133"/>
      <c r="BB61" s="103" t="s">
        <v>71</v>
      </c>
      <c r="BC61" s="133"/>
      <c r="BD61" s="103" t="s">
        <v>119</v>
      </c>
      <c r="BE61" s="133"/>
      <c r="BF61" s="747" t="s">
        <v>120</v>
      </c>
      <c r="BG61" s="713"/>
      <c r="BH61" s="728"/>
      <c r="BI61" s="719"/>
      <c r="BJ61" s="719"/>
      <c r="BK61" s="735"/>
      <c r="BL61" s="747" t="s">
        <v>121</v>
      </c>
      <c r="BM61" s="713"/>
      <c r="BN61" s="738"/>
      <c r="BO61" s="713"/>
      <c r="BP61" s="713"/>
      <c r="BQ61" s="742"/>
      <c r="BR61" s="747" t="s">
        <v>286</v>
      </c>
      <c r="BS61" s="713"/>
      <c r="BT61" s="738"/>
      <c r="BU61" s="713"/>
      <c r="BV61" s="713"/>
      <c r="BW61" s="742"/>
      <c r="BX61" s="747" t="s">
        <v>298</v>
      </c>
      <c r="BY61" s="713"/>
      <c r="BZ61" s="738"/>
      <c r="CA61" s="713"/>
      <c r="CB61" s="713"/>
      <c r="CC61" s="742"/>
      <c r="CD61" s="747" t="s">
        <v>335</v>
      </c>
      <c r="CE61" s="713"/>
      <c r="CF61" s="738"/>
      <c r="CG61" s="713"/>
      <c r="CH61" s="713"/>
      <c r="CI61" s="742"/>
      <c r="CJ61" s="747" t="s">
        <v>364</v>
      </c>
      <c r="CK61" s="713"/>
      <c r="CL61" s="738"/>
      <c r="CM61" s="713"/>
      <c r="CN61" s="713"/>
      <c r="CO61" s="742"/>
      <c r="CP61" s="747" t="s">
        <v>384</v>
      </c>
      <c r="CQ61" s="713"/>
      <c r="CR61" s="738"/>
      <c r="CS61" s="713"/>
      <c r="CT61" s="713"/>
      <c r="CU61" s="742"/>
      <c r="CV61" s="747" t="s">
        <v>446</v>
      </c>
      <c r="CW61" s="713"/>
      <c r="CX61" s="738"/>
      <c r="CY61" s="713"/>
      <c r="CZ61" s="713"/>
      <c r="DA61" s="742"/>
      <c r="DB61" s="747" t="s">
        <v>467</v>
      </c>
      <c r="DC61" s="713"/>
      <c r="DD61" s="738"/>
      <c r="DE61" s="713"/>
      <c r="DF61" s="713"/>
      <c r="DG61" s="742"/>
      <c r="DH61" s="747" t="s">
        <v>477</v>
      </c>
      <c r="DI61" s="713"/>
      <c r="DJ61" s="738"/>
      <c r="DK61" s="713"/>
      <c r="DL61" s="713"/>
      <c r="DM61" s="742"/>
      <c r="DN61" s="747" t="s">
        <v>487</v>
      </c>
      <c r="DO61" s="713"/>
      <c r="DP61" s="738"/>
      <c r="DQ61" s="713"/>
      <c r="DR61" s="713"/>
      <c r="DS61" s="742"/>
      <c r="DT61" s="747" t="s">
        <v>492</v>
      </c>
      <c r="DU61" s="713"/>
      <c r="DV61" s="738"/>
      <c r="DW61" s="713"/>
      <c r="DX61" s="713"/>
      <c r="DY61" s="742"/>
      <c r="DZ61" s="747" t="s">
        <v>531</v>
      </c>
      <c r="EA61" s="713"/>
      <c r="EB61" s="738"/>
      <c r="EC61" s="713"/>
      <c r="ED61" s="713"/>
      <c r="EE61" s="742"/>
      <c r="EF61" s="521"/>
      <c r="EG61" s="520"/>
    </row>
    <row r="62" spans="1:137" s="27" customFormat="1" x14ac:dyDescent="0.2">
      <c r="A62" s="87"/>
      <c r="B62" s="755"/>
      <c r="C62" s="755"/>
      <c r="D62" s="755"/>
      <c r="E62" s="755"/>
      <c r="F62" s="755"/>
      <c r="G62" s="755"/>
      <c r="H62" s="755"/>
      <c r="I62" s="755"/>
      <c r="J62" s="755"/>
      <c r="K62" s="755"/>
      <c r="L62" s="755"/>
      <c r="M62" s="755"/>
      <c r="N62" s="755"/>
      <c r="O62" s="755"/>
      <c r="P62" s="755"/>
      <c r="Q62" s="755"/>
      <c r="R62" s="755"/>
      <c r="S62" s="755"/>
      <c r="T62" s="755"/>
      <c r="U62" s="755"/>
      <c r="V62" s="755"/>
      <c r="W62" s="755"/>
      <c r="X62" s="755"/>
      <c r="Y62" s="755"/>
      <c r="Z62" s="755"/>
      <c r="AA62" s="755"/>
      <c r="AB62" s="755"/>
      <c r="AC62" s="755"/>
      <c r="AD62" s="755"/>
      <c r="AE62" s="755"/>
      <c r="AF62" s="755"/>
      <c r="AG62" s="755"/>
      <c r="AH62" s="755"/>
      <c r="AI62" s="224"/>
      <c r="AJ62" s="755"/>
      <c r="AK62" s="224"/>
      <c r="AL62" s="107"/>
      <c r="AM62" s="107"/>
      <c r="AN62" s="107"/>
      <c r="AO62" s="107"/>
      <c r="AP62" s="107"/>
      <c r="AQ62" s="107"/>
      <c r="AR62" s="107"/>
      <c r="AS62" s="135"/>
      <c r="AT62" s="107"/>
      <c r="AU62" s="135"/>
      <c r="AV62" s="107"/>
      <c r="AW62" s="135"/>
      <c r="AX62" s="107"/>
      <c r="AY62" s="135"/>
      <c r="AZ62" s="107"/>
      <c r="BA62" s="135"/>
      <c r="BB62" s="107"/>
      <c r="BC62" s="135"/>
      <c r="BD62" s="107"/>
      <c r="BE62" s="135"/>
      <c r="BF62" s="5"/>
      <c r="BG62" s="1"/>
      <c r="BH62" s="795"/>
      <c r="BI62" s="577"/>
      <c r="BJ62" s="577"/>
      <c r="BK62" s="795"/>
      <c r="BL62" s="796" t="s">
        <v>285</v>
      </c>
      <c r="BM62" s="797"/>
      <c r="BN62" s="798"/>
      <c r="BO62" s="797"/>
      <c r="BP62" s="800">
        <f>TreatyCatch!BO303</f>
        <v>8.6499999999999994E-2</v>
      </c>
      <c r="BQ62" s="799"/>
      <c r="BR62" s="796" t="s">
        <v>289</v>
      </c>
      <c r="BS62" s="797"/>
      <c r="BT62" s="798"/>
      <c r="BU62" s="797"/>
      <c r="BV62" s="947">
        <f>TreatyCatch!BU303</f>
        <v>8.7999999999999995E-2</v>
      </c>
      <c r="BW62" s="799"/>
      <c r="BX62" s="796" t="s">
        <v>294</v>
      </c>
      <c r="BY62" s="797"/>
      <c r="BZ62" s="798"/>
      <c r="CA62" s="797"/>
      <c r="CB62" s="947">
        <f>TreatyCatch!CA303</f>
        <v>8.6800000000000002E-2</v>
      </c>
      <c r="CC62" s="799"/>
      <c r="CD62" s="796" t="s">
        <v>343</v>
      </c>
      <c r="CE62" s="797"/>
      <c r="CF62" s="798"/>
      <c r="CG62" s="797"/>
      <c r="CH62" s="947">
        <f>TreatyCatch!CG303</f>
        <v>8.8499999999999995E-2</v>
      </c>
      <c r="CI62" s="799"/>
      <c r="CJ62" s="796" t="s">
        <v>365</v>
      </c>
      <c r="CK62" s="798"/>
      <c r="CL62" s="798"/>
      <c r="CM62" s="798"/>
      <c r="CN62" s="800">
        <f>TreatyCatch!CM303</f>
        <v>8.7800000000000003E-2</v>
      </c>
      <c r="CO62" s="1131"/>
      <c r="CP62" s="796" t="s">
        <v>386</v>
      </c>
      <c r="CQ62" s="798"/>
      <c r="CR62" s="798"/>
      <c r="CS62" s="798"/>
      <c r="CT62" s="800">
        <f>TreatyCatch!CS303</f>
        <v>8.6800000000000002E-2</v>
      </c>
      <c r="CU62" s="1131"/>
      <c r="CV62" s="796" t="s">
        <v>449</v>
      </c>
      <c r="CW62" s="798"/>
      <c r="CX62" s="798"/>
      <c r="CY62" s="798"/>
      <c r="CZ62" s="800">
        <f>TreatyCatch!CY303</f>
        <v>8.9399999999999993E-2</v>
      </c>
      <c r="DA62" s="1131"/>
      <c r="DB62" s="796" t="s">
        <v>469</v>
      </c>
      <c r="DC62" s="798"/>
      <c r="DD62" s="798"/>
      <c r="DE62" s="798"/>
      <c r="DF62" s="800">
        <f>TreatyCatch!DE303</f>
        <v>8.5400000000000004E-2</v>
      </c>
      <c r="DG62" s="1131"/>
      <c r="DH62" s="796" t="s">
        <v>479</v>
      </c>
      <c r="DI62" s="798"/>
      <c r="DJ62" s="798"/>
      <c r="DK62" s="798"/>
      <c r="DL62" s="800">
        <f>TreatyCatch!DK303</f>
        <v>8.5400000000000004E-2</v>
      </c>
      <c r="DM62" s="1131"/>
      <c r="DN62" s="796" t="s">
        <v>488</v>
      </c>
      <c r="DO62" s="798"/>
      <c r="DP62" s="798"/>
      <c r="DQ62" s="798"/>
      <c r="DR62" s="800">
        <f>TreatyCatch!DQ303</f>
        <v>8.1000000000000003E-2</v>
      </c>
      <c r="DS62" s="1131"/>
      <c r="DT62" s="796" t="s">
        <v>494</v>
      </c>
      <c r="DU62" s="798"/>
      <c r="DV62" s="798"/>
      <c r="DW62" s="798"/>
      <c r="DX62" s="800">
        <f>TreatyCatch!DW303</f>
        <v>8.6599999999999996E-2</v>
      </c>
      <c r="DY62" s="1131"/>
      <c r="DZ62" s="796" t="s">
        <v>533</v>
      </c>
      <c r="EA62" s="798"/>
      <c r="EB62" s="798"/>
      <c r="EC62" s="798"/>
      <c r="ED62" s="800">
        <f>TreatyCatch!EC303</f>
        <v>8.6999999999999994E-2</v>
      </c>
      <c r="EE62" s="1131"/>
      <c r="EF62" s="521"/>
      <c r="EG62" s="520"/>
    </row>
    <row r="63" spans="1:137" x14ac:dyDescent="0.2">
      <c r="A63" s="341" t="s">
        <v>52</v>
      </c>
      <c r="B63" s="18">
        <f>SUM(B56,B58,C60)</f>
        <v>0</v>
      </c>
      <c r="D63" s="18">
        <f>SUM(D56,D58,E60)</f>
        <v>126</v>
      </c>
      <c r="F63" s="18">
        <f t="shared" ref="F63:BB63" si="26">SUM(F56,F58,G60)</f>
        <v>7</v>
      </c>
      <c r="H63" s="18">
        <f t="shared" si="26"/>
        <v>31</v>
      </c>
      <c r="J63" s="18">
        <f t="shared" si="26"/>
        <v>0</v>
      </c>
      <c r="L63" s="18">
        <f t="shared" si="26"/>
        <v>45</v>
      </c>
      <c r="N63" s="18">
        <f t="shared" si="26"/>
        <v>7</v>
      </c>
      <c r="P63" s="18">
        <f t="shared" si="26"/>
        <v>21</v>
      </c>
      <c r="R63" s="18">
        <f t="shared" si="26"/>
        <v>10</v>
      </c>
      <c r="T63" s="18">
        <f t="shared" si="26"/>
        <v>34</v>
      </c>
      <c r="V63" s="18">
        <f t="shared" si="26"/>
        <v>20</v>
      </c>
      <c r="X63" s="18">
        <f t="shared" si="26"/>
        <v>34</v>
      </c>
      <c r="Z63" s="18">
        <f t="shared" si="26"/>
        <v>6</v>
      </c>
      <c r="AB63" s="18">
        <f t="shared" si="26"/>
        <v>18</v>
      </c>
      <c r="AD63" s="18">
        <f t="shared" si="26"/>
        <v>5</v>
      </c>
      <c r="AF63" s="18">
        <f t="shared" si="26"/>
        <v>13</v>
      </c>
      <c r="AH63" s="18">
        <f t="shared" si="26"/>
        <v>1</v>
      </c>
      <c r="AJ63" s="18">
        <f t="shared" si="26"/>
        <v>21</v>
      </c>
      <c r="AL63" s="18">
        <f t="shared" si="26"/>
        <v>7</v>
      </c>
      <c r="AN63" s="18">
        <f t="shared" si="26"/>
        <v>10</v>
      </c>
      <c r="AP63" s="18">
        <f t="shared" si="26"/>
        <v>9</v>
      </c>
      <c r="AR63" s="18">
        <f t="shared" si="26"/>
        <v>10</v>
      </c>
      <c r="AS63" s="18"/>
      <c r="AT63" s="18">
        <f t="shared" si="26"/>
        <v>10</v>
      </c>
      <c r="AU63" s="18"/>
      <c r="AV63" s="18">
        <f t="shared" si="26"/>
        <v>37</v>
      </c>
      <c r="AW63" s="18"/>
      <c r="AX63" s="18">
        <f t="shared" si="26"/>
        <v>4</v>
      </c>
      <c r="AY63" s="18"/>
      <c r="AZ63" s="18">
        <f t="shared" si="26"/>
        <v>5</v>
      </c>
      <c r="BA63" s="18"/>
      <c r="BB63" s="18">
        <f t="shared" si="26"/>
        <v>3.1322000000000001</v>
      </c>
      <c r="BC63" s="18"/>
      <c r="BD63" s="18">
        <f>SUM(BD56,BD58,BE60)</f>
        <v>6.6610000000000005</v>
      </c>
      <c r="BE63" s="18"/>
      <c r="BF63" s="754">
        <f>SUM(BF56,BF58,BG60)</f>
        <v>9.5948999999999991</v>
      </c>
      <c r="BG63" s="720"/>
      <c r="BH63" s="729"/>
      <c r="BI63" s="720"/>
      <c r="BJ63" s="720"/>
      <c r="BK63" s="720"/>
      <c r="BL63" s="754">
        <f>SUM(BL56,BL58,BM60)</f>
        <v>7.4453411764705884</v>
      </c>
      <c r="BM63" s="720"/>
      <c r="BR63" s="754"/>
      <c r="BS63" s="720"/>
      <c r="BX63" s="754"/>
      <c r="BY63" s="720"/>
      <c r="CD63" s="754"/>
      <c r="CE63" s="720"/>
      <c r="EF63" s="18" t="s">
        <v>353</v>
      </c>
    </row>
    <row r="64" spans="1:137" x14ac:dyDescent="0.2">
      <c r="BB64" s="784" t="s">
        <v>268</v>
      </c>
      <c r="BC64" s="785">
        <f>BC60/TerminalRR!AJ38</f>
        <v>3.1963198931523908E-5</v>
      </c>
      <c r="BE64" s="785">
        <f>BE60/TerminalRR!AJ39</f>
        <v>6.4321923525795786E-4</v>
      </c>
      <c r="BG64" s="786">
        <f>BG60/TerminalRR!AJ40</f>
        <v>1.0318793872572546E-3</v>
      </c>
      <c r="BM64" s="786">
        <f>BM60/TerminalRR!AJ41</f>
        <v>3.5654413828985725E-4</v>
      </c>
      <c r="BS64" s="786">
        <f>BS60/TerminalRR!AJ42</f>
        <v>8.0615340898913411E-4</v>
      </c>
      <c r="BY64" s="786">
        <f>BY60/TerminalRR!AJ43</f>
        <v>1.6359196114676806E-4</v>
      </c>
      <c r="CE64" s="786">
        <f>CE60/TerminalRR!AJ44</f>
        <v>8.1457645622199477E-4</v>
      </c>
      <c r="EF64" s="787">
        <f>AVERAGE(BE64,BG64,BM64,BS64, BY64)</f>
        <v>6.0027762618819437E-4</v>
      </c>
    </row>
    <row r="65" spans="54:137" x14ac:dyDescent="0.2">
      <c r="BB65" s="784" t="s">
        <v>269</v>
      </c>
      <c r="BC65" s="785">
        <f>(BC60+0.02*BC60)/TerminalRR!AJ38</f>
        <v>3.2602462910154386E-5</v>
      </c>
      <c r="BE65" s="785">
        <f>(BE60+0.02*BE60)/TerminalRR!AJ39</f>
        <v>6.560836199631171E-4</v>
      </c>
      <c r="BG65" s="786">
        <f>(BG60+0.02*BG60)/TerminalRR!AJ40</f>
        <v>1.0525169750023996E-3</v>
      </c>
      <c r="BM65" s="786">
        <f>(BM60+0.02*BM60)/TerminalRR!AJ41</f>
        <v>3.6367502105565439E-4</v>
      </c>
      <c r="BS65" s="786">
        <f>(BS60+0.02*BS60)/TerminalRR!AJ42</f>
        <v>8.2227647716891672E-4</v>
      </c>
      <c r="BY65" s="786">
        <f>(BY60+0.02*BY60)/TerminalRR!AJ43</f>
        <v>1.6686380036970343E-4</v>
      </c>
      <c r="CE65" s="786">
        <f>(CE60+0.02*CE60)/TerminalRR!AJ44</f>
        <v>8.3086798534643476E-4</v>
      </c>
      <c r="EF65" s="787">
        <f>AVERAGE(BE65,BG65,BM65,BS65, BY65)</f>
        <v>6.1228317871195824E-4</v>
      </c>
      <c r="EG65" s="18" t="s">
        <v>270</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N364"/>
  <sheetViews>
    <sheetView topLeftCell="BO229" workbookViewId="0"/>
  </sheetViews>
  <sheetFormatPr defaultRowHeight="15" x14ac:dyDescent="0.25"/>
  <cols>
    <col min="1" max="1" width="21" customWidth="1"/>
    <col min="2" max="2" width="6.5703125" customWidth="1"/>
    <col min="3" max="3" width="8.85546875" customWidth="1"/>
    <col min="4" max="4" width="6.42578125" customWidth="1"/>
    <col min="5" max="5" width="9" customWidth="1"/>
    <col min="6" max="6" width="6.5703125" customWidth="1"/>
    <col min="7" max="7" width="7.140625" customWidth="1"/>
    <col min="8" max="8" width="9.5703125" customWidth="1"/>
    <col min="9" max="9" width="5.42578125" customWidth="1"/>
    <col min="10" max="10" width="6.42578125" customWidth="1"/>
    <col min="11" max="11" width="6.140625" customWidth="1"/>
    <col min="12" max="12" width="9.42578125" customWidth="1"/>
    <col min="13" max="13" width="6.5703125" customWidth="1"/>
    <col min="14" max="14" width="7" customWidth="1"/>
    <col min="15" max="15" width="9.5703125" customWidth="1"/>
    <col min="16" max="16" width="6.140625" customWidth="1"/>
    <col min="17" max="17" width="7.140625" customWidth="1"/>
    <col min="18" max="18" width="8" customWidth="1"/>
    <col min="19" max="19" width="8.85546875" customWidth="1"/>
    <col min="20" max="20" width="7.140625" customWidth="1"/>
    <col min="21" max="21" width="7.5703125" customWidth="1"/>
  </cols>
  <sheetData>
    <row r="1" spans="1:92" x14ac:dyDescent="0.25">
      <c r="A1" s="756" t="s">
        <v>296</v>
      </c>
    </row>
    <row r="2" spans="1:92" x14ac:dyDescent="0.25">
      <c r="A2" t="s">
        <v>267</v>
      </c>
    </row>
    <row r="3" spans="1:92" x14ac:dyDescent="0.25">
      <c r="A3" t="s">
        <v>295</v>
      </c>
    </row>
    <row r="5" spans="1:92" x14ac:dyDescent="0.25">
      <c r="I5" s="759" t="s">
        <v>285</v>
      </c>
      <c r="J5" s="761"/>
      <c r="K5" s="761"/>
      <c r="L5" s="761"/>
      <c r="M5" s="761"/>
      <c r="N5" s="804">
        <f>TreatyCatch!BO303</f>
        <v>8.6499999999999994E-2</v>
      </c>
      <c r="O5" s="762"/>
      <c r="P5" s="759" t="s">
        <v>289</v>
      </c>
      <c r="Q5" s="761"/>
      <c r="R5" s="761"/>
      <c r="S5" s="761"/>
      <c r="T5" s="761"/>
      <c r="U5" s="948">
        <f>TreatyCatch!BU303</f>
        <v>8.7999999999999995E-2</v>
      </c>
      <c r="V5" s="762"/>
      <c r="W5" s="759" t="s">
        <v>294</v>
      </c>
      <c r="X5" s="761"/>
      <c r="Y5" s="761"/>
      <c r="Z5" s="761"/>
      <c r="AA5" s="761"/>
      <c r="AB5" s="948">
        <f>TreatyCatch!CA303</f>
        <v>8.6800000000000002E-2</v>
      </c>
      <c r="AC5" s="762"/>
      <c r="AD5" s="759" t="s">
        <v>343</v>
      </c>
      <c r="AE5" s="761"/>
      <c r="AF5" s="761"/>
      <c r="AG5" s="761"/>
      <c r="AH5" s="761"/>
      <c r="AI5" s="948">
        <f>TreatyCatch!CG303</f>
        <v>8.8499999999999995E-2</v>
      </c>
      <c r="AJ5" s="762"/>
      <c r="AK5" s="759" t="s">
        <v>365</v>
      </c>
      <c r="AL5" s="761"/>
      <c r="AM5" s="761"/>
      <c r="AN5" s="761"/>
      <c r="AO5" s="761"/>
      <c r="AP5" s="948">
        <f>TreatyCatch!CM303</f>
        <v>8.7800000000000003E-2</v>
      </c>
      <c r="AQ5" s="762"/>
      <c r="AR5" s="759" t="s">
        <v>386</v>
      </c>
      <c r="AS5" s="761"/>
      <c r="AT5" s="761"/>
      <c r="AU5" s="761"/>
      <c r="AV5" s="761"/>
      <c r="AW5" s="948">
        <f>TreatyCatch!CS303</f>
        <v>8.6800000000000002E-2</v>
      </c>
      <c r="AX5" s="762"/>
      <c r="AY5" s="759" t="s">
        <v>449</v>
      </c>
      <c r="AZ5" s="761"/>
      <c r="BA5" s="761"/>
      <c r="BB5" s="761"/>
      <c r="BC5" s="761"/>
      <c r="BD5" s="1638">
        <f>TreatyCatch!CY303</f>
        <v>8.9399999999999993E-2</v>
      </c>
      <c r="BE5" s="762"/>
      <c r="BF5" s="759" t="s">
        <v>469</v>
      </c>
      <c r="BG5" s="761"/>
      <c r="BH5" s="761"/>
      <c r="BI5" s="761"/>
      <c r="BJ5" s="761"/>
      <c r="BK5" s="948">
        <f>TreatyCatch!DE303</f>
        <v>8.5400000000000004E-2</v>
      </c>
      <c r="BL5" s="762"/>
      <c r="BM5" s="759" t="s">
        <v>479</v>
      </c>
      <c r="BN5" s="761"/>
      <c r="BO5" s="761"/>
      <c r="BP5" s="761"/>
      <c r="BQ5" s="761"/>
      <c r="BR5" s="948">
        <f>TreatyCatch!DK303</f>
        <v>8.5400000000000004E-2</v>
      </c>
      <c r="BS5" s="762"/>
      <c r="BT5" s="759" t="s">
        <v>488</v>
      </c>
      <c r="BU5" s="761"/>
      <c r="BV5" s="761"/>
      <c r="BW5" s="761"/>
      <c r="BX5" s="761"/>
      <c r="BY5" s="948">
        <f>TreatyCatch!DQ303</f>
        <v>8.1000000000000003E-2</v>
      </c>
      <c r="BZ5" s="762"/>
      <c r="CA5" s="759" t="s">
        <v>494</v>
      </c>
      <c r="CB5" s="761"/>
      <c r="CC5" s="761"/>
      <c r="CD5" s="761"/>
      <c r="CE5" s="761"/>
      <c r="CF5" s="948">
        <f>TreatyCatch!DW303</f>
        <v>8.6599999999999996E-2</v>
      </c>
      <c r="CG5" s="762"/>
      <c r="CH5" s="759" t="s">
        <v>533</v>
      </c>
      <c r="CI5" s="761"/>
      <c r="CJ5" s="761"/>
      <c r="CK5" s="761"/>
      <c r="CL5" s="761"/>
      <c r="CM5" s="948">
        <f>TreatyCatch!EC303</f>
        <v>8.6999999999999994E-2</v>
      </c>
      <c r="CN5" s="762"/>
    </row>
    <row r="6" spans="1:92" x14ac:dyDescent="0.25">
      <c r="A6" s="756" t="s">
        <v>168</v>
      </c>
    </row>
    <row r="7" spans="1:92" x14ac:dyDescent="0.25">
      <c r="B7" s="769">
        <v>2012</v>
      </c>
      <c r="C7" s="770"/>
      <c r="D7" s="770"/>
      <c r="E7" s="770"/>
      <c r="F7" s="770"/>
      <c r="G7" s="772"/>
      <c r="H7" s="770"/>
      <c r="I7" s="771">
        <v>2013</v>
      </c>
      <c r="J7" s="772"/>
      <c r="K7" s="767"/>
      <c r="L7" s="767"/>
      <c r="M7" s="767"/>
      <c r="N7" s="767"/>
      <c r="O7" s="768"/>
      <c r="P7" s="771">
        <v>2014</v>
      </c>
      <c r="Q7" s="772"/>
      <c r="R7" s="767"/>
      <c r="S7" s="767"/>
      <c r="T7" s="767"/>
      <c r="U7" s="767"/>
      <c r="V7" s="768"/>
      <c r="W7" s="1040">
        <v>2015</v>
      </c>
      <c r="X7" s="1042"/>
      <c r="Y7" s="1043"/>
      <c r="Z7" s="1043"/>
      <c r="AA7" s="1043"/>
      <c r="AB7" s="1043"/>
      <c r="AC7" s="1044"/>
      <c r="AD7" s="1040">
        <v>2016</v>
      </c>
      <c r="AE7" s="1042"/>
      <c r="AF7" s="1043"/>
      <c r="AG7" s="1043"/>
      <c r="AH7" s="1043"/>
      <c r="AI7" s="1043"/>
      <c r="AJ7" s="1044"/>
      <c r="AK7" s="1040">
        <v>2017</v>
      </c>
      <c r="AL7" s="1042"/>
      <c r="AM7" s="1043"/>
      <c r="AN7" s="1043"/>
      <c r="AO7" s="1043"/>
      <c r="AP7" s="1043"/>
      <c r="AQ7" s="1044"/>
      <c r="AR7" s="1040">
        <v>2018</v>
      </c>
      <c r="AS7" s="1042"/>
      <c r="AT7" s="1043"/>
      <c r="AU7" s="1043"/>
      <c r="AV7" s="1043"/>
      <c r="AW7" s="1043"/>
      <c r="AX7" s="1044"/>
      <c r="AY7" s="1040">
        <v>2019</v>
      </c>
      <c r="AZ7" s="1042"/>
      <c r="BA7" s="1043"/>
      <c r="BB7" s="1043"/>
      <c r="BC7" s="1043"/>
      <c r="BD7" s="1043"/>
      <c r="BE7" s="1044"/>
      <c r="BF7" s="1040">
        <v>2020</v>
      </c>
      <c r="BG7" s="1042"/>
      <c r="BH7" s="1043"/>
      <c r="BI7" s="1043"/>
      <c r="BJ7" s="1043"/>
      <c r="BK7" s="1043"/>
      <c r="BL7" s="1044"/>
      <c r="BM7" s="1040">
        <v>2021</v>
      </c>
      <c r="BN7" s="1042"/>
      <c r="BO7" s="1043"/>
      <c r="BP7" s="1043"/>
      <c r="BQ7" s="1043"/>
      <c r="BR7" s="1043"/>
      <c r="BS7" s="1044"/>
      <c r="BT7" s="1040">
        <v>2022</v>
      </c>
      <c r="BU7" s="1042"/>
      <c r="BV7" s="1043"/>
      <c r="BW7" s="1043"/>
      <c r="BX7" s="1043"/>
      <c r="BY7" s="1043"/>
      <c r="BZ7" s="1044"/>
      <c r="CA7" s="1040">
        <v>2023</v>
      </c>
      <c r="CB7" s="1042"/>
      <c r="CC7" s="1043"/>
      <c r="CD7" s="1043"/>
      <c r="CE7" s="1043"/>
      <c r="CF7" s="1043"/>
      <c r="CG7" s="1044"/>
      <c r="CH7" s="1040">
        <v>2024</v>
      </c>
      <c r="CI7" s="1042"/>
      <c r="CJ7" s="1043"/>
      <c r="CK7" s="1043"/>
      <c r="CL7" s="1043"/>
      <c r="CM7" s="1043"/>
      <c r="CN7" s="1044"/>
    </row>
    <row r="8" spans="1:92" x14ac:dyDescent="0.25">
      <c r="A8" s="759" t="s">
        <v>265</v>
      </c>
      <c r="B8" s="764" t="s">
        <v>171</v>
      </c>
      <c r="C8" s="761" t="s">
        <v>257</v>
      </c>
      <c r="D8" s="761" t="s">
        <v>172</v>
      </c>
      <c r="E8" s="760" t="s">
        <v>261</v>
      </c>
      <c r="F8" s="761" t="s">
        <v>259</v>
      </c>
      <c r="G8" s="762" t="s">
        <v>173</v>
      </c>
      <c r="H8" s="774" t="s">
        <v>262</v>
      </c>
      <c r="I8" s="764" t="s">
        <v>171</v>
      </c>
      <c r="J8" s="759" t="s">
        <v>257</v>
      </c>
      <c r="K8" s="761" t="s">
        <v>172</v>
      </c>
      <c r="L8" s="760" t="s">
        <v>261</v>
      </c>
      <c r="M8" s="761" t="s">
        <v>259</v>
      </c>
      <c r="N8" s="762" t="s">
        <v>173</v>
      </c>
      <c r="O8" s="774" t="s">
        <v>262</v>
      </c>
      <c r="P8" s="764" t="s">
        <v>171</v>
      </c>
      <c r="Q8" s="759" t="s">
        <v>257</v>
      </c>
      <c r="R8" s="761" t="s">
        <v>172</v>
      </c>
      <c r="S8" s="760" t="s">
        <v>261</v>
      </c>
      <c r="T8" s="761" t="s">
        <v>259</v>
      </c>
      <c r="U8" s="762" t="s">
        <v>173</v>
      </c>
      <c r="V8" s="774" t="s">
        <v>262</v>
      </c>
      <c r="W8" s="1041" t="s">
        <v>171</v>
      </c>
      <c r="X8" s="1045" t="s">
        <v>257</v>
      </c>
      <c r="Y8" s="1046" t="s">
        <v>172</v>
      </c>
      <c r="Z8" s="1047" t="s">
        <v>261</v>
      </c>
      <c r="AA8" s="1046" t="s">
        <v>259</v>
      </c>
      <c r="AB8" s="1048" t="s">
        <v>173</v>
      </c>
      <c r="AC8" s="1049" t="s">
        <v>262</v>
      </c>
      <c r="AD8" s="1041" t="s">
        <v>171</v>
      </c>
      <c r="AE8" s="1045" t="s">
        <v>257</v>
      </c>
      <c r="AF8" s="1046" t="s">
        <v>172</v>
      </c>
      <c r="AG8" s="1047" t="s">
        <v>261</v>
      </c>
      <c r="AH8" s="1046" t="s">
        <v>259</v>
      </c>
      <c r="AI8" s="1048" t="s">
        <v>173</v>
      </c>
      <c r="AJ8" s="1049" t="s">
        <v>262</v>
      </c>
      <c r="AK8" s="1041" t="s">
        <v>171</v>
      </c>
      <c r="AL8" s="1045" t="s">
        <v>257</v>
      </c>
      <c r="AM8" s="1046" t="s">
        <v>172</v>
      </c>
      <c r="AN8" s="1047" t="s">
        <v>261</v>
      </c>
      <c r="AO8" s="1046" t="s">
        <v>259</v>
      </c>
      <c r="AP8" s="1048" t="s">
        <v>173</v>
      </c>
      <c r="AQ8" s="1049" t="s">
        <v>262</v>
      </c>
      <c r="AR8" s="1041" t="s">
        <v>171</v>
      </c>
      <c r="AS8" s="1045" t="s">
        <v>257</v>
      </c>
      <c r="AT8" s="1046" t="s">
        <v>172</v>
      </c>
      <c r="AU8" s="1047" t="s">
        <v>261</v>
      </c>
      <c r="AV8" s="1046" t="s">
        <v>259</v>
      </c>
      <c r="AW8" s="1048" t="s">
        <v>173</v>
      </c>
      <c r="AX8" s="1049" t="s">
        <v>262</v>
      </c>
      <c r="AY8" s="1041" t="s">
        <v>171</v>
      </c>
      <c r="AZ8" s="1045" t="s">
        <v>257</v>
      </c>
      <c r="BA8" s="1046" t="s">
        <v>172</v>
      </c>
      <c r="BB8" s="1047" t="s">
        <v>261</v>
      </c>
      <c r="BC8" s="1046" t="s">
        <v>259</v>
      </c>
      <c r="BD8" s="1048" t="s">
        <v>173</v>
      </c>
      <c r="BE8" s="1049" t="s">
        <v>262</v>
      </c>
      <c r="BF8" s="1041" t="s">
        <v>171</v>
      </c>
      <c r="BG8" s="1045" t="s">
        <v>257</v>
      </c>
      <c r="BH8" s="1046" t="s">
        <v>172</v>
      </c>
      <c r="BI8" s="1047" t="s">
        <v>261</v>
      </c>
      <c r="BJ8" s="1046" t="s">
        <v>259</v>
      </c>
      <c r="BK8" s="1048" t="s">
        <v>173</v>
      </c>
      <c r="BL8" s="1049" t="s">
        <v>262</v>
      </c>
      <c r="BM8" s="1041" t="s">
        <v>171</v>
      </c>
      <c r="BN8" s="1045" t="s">
        <v>257</v>
      </c>
      <c r="BO8" s="1046" t="s">
        <v>172</v>
      </c>
      <c r="BP8" s="1047" t="s">
        <v>261</v>
      </c>
      <c r="BQ8" s="1046" t="s">
        <v>259</v>
      </c>
      <c r="BR8" s="1048" t="s">
        <v>173</v>
      </c>
      <c r="BS8" s="1049" t="s">
        <v>262</v>
      </c>
      <c r="BT8" s="1041" t="s">
        <v>171</v>
      </c>
      <c r="BU8" s="1045" t="s">
        <v>257</v>
      </c>
      <c r="BV8" s="1046" t="s">
        <v>172</v>
      </c>
      <c r="BW8" s="1047" t="s">
        <v>261</v>
      </c>
      <c r="BX8" s="1046" t="s">
        <v>259</v>
      </c>
      <c r="BY8" s="1048" t="s">
        <v>173</v>
      </c>
      <c r="BZ8" s="1049" t="s">
        <v>262</v>
      </c>
      <c r="CA8" s="1041" t="s">
        <v>171</v>
      </c>
      <c r="CB8" s="1045" t="s">
        <v>257</v>
      </c>
      <c r="CC8" s="1046" t="s">
        <v>172</v>
      </c>
      <c r="CD8" s="1047" t="s">
        <v>261</v>
      </c>
      <c r="CE8" s="1046" t="s">
        <v>259</v>
      </c>
      <c r="CF8" s="1048" t="s">
        <v>173</v>
      </c>
      <c r="CG8" s="1049" t="s">
        <v>262</v>
      </c>
      <c r="CH8" s="1041" t="s">
        <v>171</v>
      </c>
      <c r="CI8" s="1045" t="s">
        <v>257</v>
      </c>
      <c r="CJ8" s="1046" t="s">
        <v>172</v>
      </c>
      <c r="CK8" s="1047" t="s">
        <v>261</v>
      </c>
      <c r="CL8" s="1046" t="s">
        <v>259</v>
      </c>
      <c r="CM8" s="1048" t="s">
        <v>173</v>
      </c>
      <c r="CN8" s="1049" t="s">
        <v>262</v>
      </c>
    </row>
    <row r="9" spans="1:92" x14ac:dyDescent="0.25">
      <c r="A9" s="763">
        <v>1</v>
      </c>
      <c r="B9" s="773"/>
      <c r="C9" s="868" t="str">
        <f>IF($B9,$B9*TreatyCatch!BF239/SUM(TreatyCatch!$BF239:$BG239,TreatyCatch!$BI239:$BJ239),"")</f>
        <v/>
      </c>
      <c r="D9" s="868" t="str">
        <f>IF($B9,$B9*TreatyCatch!BG239/SUM(TreatyCatch!$BF239:$BG239,TreatyCatch!$BI239:$BJ239),"")</f>
        <v/>
      </c>
      <c r="E9" s="869" t="str">
        <f>IFERROR(C9+0.0661*D9,"")</f>
        <v/>
      </c>
      <c r="F9" s="842" t="str">
        <f>IF($B9,$B9*TreatyCatch!BI239/SUM(TreatyCatch!$BF239:$BG239,TreatyCatch!$BI239:$BJ239),"")</f>
        <v/>
      </c>
      <c r="G9" s="865" t="str">
        <f>IF($B9,$B9*TreatyCatch!BJ239/SUM(TreatyCatch!$BF239:$BG239,TreatyCatch!$BI239:$BJ239),"")</f>
        <v/>
      </c>
      <c r="H9" s="839" t="str">
        <f>IFERROR(F9+0.0661*G9,"")</f>
        <v/>
      </c>
      <c r="I9" s="773"/>
      <c r="J9" s="850" t="str">
        <f>IF($I9,$I9*TreatyCatch!BL239/SUM(TreatyCatch!$BL239:$BM239,TreatyCatch!$BO239:$BP239),"")</f>
        <v/>
      </c>
      <c r="K9" s="851" t="str">
        <f>IF($I9,$I9*TreatyCatch!BM239/SUM(TreatyCatch!$BL239:$BM239,TreatyCatch!$BO239:$BP239),"")</f>
        <v/>
      </c>
      <c r="L9" s="845" t="str">
        <f t="shared" ref="L9:L25" si="0">IFERROR(J9+N$5*K9,"")</f>
        <v/>
      </c>
      <c r="M9" s="891" t="str">
        <f>IF($I9,$I9*TreatyCatch!BO239/SUM(TreatyCatch!$BL239:$BM239,TreatyCatch!$BO239:$BP239),"")</f>
        <v/>
      </c>
      <c r="N9" s="892" t="str">
        <f>IF($I9,$I9*TreatyCatch!BP239/SUM(TreatyCatch!$BL239:$BM239,TreatyCatch!$BO239:$BP239),"")</f>
        <v/>
      </c>
      <c r="O9" s="875" t="str">
        <f t="shared" ref="O9:O34" si="1">IFERROR(M9+N$5*N9,"")</f>
        <v/>
      </c>
      <c r="P9" s="773"/>
      <c r="Q9" s="880" t="str">
        <f>IF($P9,$P9*TreatyCatch!BR239/SUM(TreatyCatch!$BR239:$BS239,TreatyCatch!$BU239:$BV239),"")</f>
        <v/>
      </c>
      <c r="R9" s="881" t="str">
        <f>IF($P9,$P9*TreatyCatch!BS239/SUM(TreatyCatch!$BR239:$BS239,TreatyCatch!$BU239:$BV239),"")</f>
        <v/>
      </c>
      <c r="S9" s="869" t="str">
        <f>IFERROR(Q9+U$5*R9,"")</f>
        <v/>
      </c>
      <c r="T9" s="863" t="str">
        <f>IF($P9,$P9*TreatyCatch!BU239/SUM(TreatyCatch!$BR239:$BS239,TreatyCatch!$BU239:$BV239),"")</f>
        <v/>
      </c>
      <c r="U9" s="864" t="str">
        <f>IF($P9,$P9*TreatyCatch!BV239/SUM(TreatyCatch!$BR239:$BS239,TreatyCatch!$BU239:$BV239),"")</f>
        <v/>
      </c>
      <c r="V9" s="839" t="str">
        <f>IFERROR(T9+U$5*U9,"")</f>
        <v/>
      </c>
      <c r="W9" s="969"/>
      <c r="X9" s="850" t="str">
        <f>IF($W9,$W9*TreatyCatch!BX239/SUM(TreatyCatch!$BX239:$BY239,TreatyCatch!$CA239:$CB239),"")</f>
        <v/>
      </c>
      <c r="Y9" s="851" t="str">
        <f>IF($W9,$W9*TreatyCatch!BY239/SUM(TreatyCatch!$BX239:$BY239,TreatyCatch!$CA239:$CB239),"")</f>
        <v/>
      </c>
      <c r="Z9" s="845" t="str">
        <f>IFERROR(X9+AB$5*Y9,"")</f>
        <v/>
      </c>
      <c r="AA9" s="891" t="str">
        <f>IF($W9,$W9*TreatyCatch!CA239/SUM(TreatyCatch!$BX239:$BY239,TreatyCatch!$CA239:$CB239),"")</f>
        <v/>
      </c>
      <c r="AB9" s="892" t="str">
        <f>IF($W9,$W9*TreatyCatch!CB239/SUM(TreatyCatch!$BX239:$BY239,TreatyCatch!$CA239:$CB239),"")</f>
        <v/>
      </c>
      <c r="AC9" s="875" t="str">
        <f>IFERROR(AA9+AB$5*AB9,"")</f>
        <v/>
      </c>
      <c r="AD9" s="969"/>
      <c r="AE9" s="1050" t="str">
        <f>IF($AD9,$AD9*TreatyCatch!CD239/SUM(TreatyCatch!$CD239:$CE239,TreatyCatch!$CG239:$CH239),"")</f>
        <v/>
      </c>
      <c r="AF9" s="1051" t="str">
        <f>IF($AD9,$AD9*TreatyCatch!CE239/SUM(TreatyCatch!$CD239:$CE239,TreatyCatch!$CG239:$CH239),"")</f>
        <v/>
      </c>
      <c r="AG9" s="1052" t="str">
        <f>IFERROR(AE9+AI$5*AF9,"")</f>
        <v/>
      </c>
      <c r="AH9" s="1053" t="str">
        <f>IF($AD9,$AD9*TreatyCatch!CG239/SUM(TreatyCatch!$CD239:CE239,TreatyCatch!$CG239:$CH239),"")</f>
        <v/>
      </c>
      <c r="AI9" s="1053" t="str">
        <f>IF($AD9,$AD9*TreatyCatch!CH239/SUM(TreatyCatch!$CD239:CF239,TreatyCatch!$CG239:$CH239),"")</f>
        <v/>
      </c>
      <c r="AJ9" s="1055" t="str">
        <f>IFERROR(AH9+AI$5*AI9,"")</f>
        <v/>
      </c>
      <c r="AK9" s="969"/>
      <c r="AL9" s="850"/>
      <c r="AM9" s="851"/>
      <c r="AN9" s="845"/>
      <c r="AO9" s="891"/>
      <c r="AP9" s="892"/>
      <c r="AQ9" s="875"/>
      <c r="AR9" s="773"/>
      <c r="AS9" s="880"/>
      <c r="AT9" s="881"/>
      <c r="AU9" s="869"/>
      <c r="AV9" s="863"/>
      <c r="AW9" s="864"/>
      <c r="AX9" s="839"/>
      <c r="AY9" s="773"/>
      <c r="AZ9" s="850"/>
      <c r="BA9" s="851"/>
      <c r="BB9" s="845"/>
      <c r="BC9" s="891"/>
      <c r="BD9" s="892"/>
      <c r="BE9" s="875"/>
      <c r="BF9" s="773"/>
      <c r="BG9" s="880"/>
      <c r="BH9" s="881"/>
      <c r="BI9" s="869"/>
      <c r="BJ9" s="863"/>
      <c r="BK9" s="864"/>
      <c r="BL9" s="839"/>
      <c r="BM9" s="773"/>
      <c r="BN9" s="850"/>
      <c r="BO9" s="851"/>
      <c r="BP9" s="845"/>
      <c r="BQ9" s="891"/>
      <c r="BR9" s="892"/>
      <c r="BS9" s="875"/>
      <c r="BT9" s="773"/>
      <c r="BU9" s="880"/>
      <c r="BV9" s="881"/>
      <c r="BW9" s="869"/>
      <c r="BX9" s="863"/>
      <c r="BY9" s="864"/>
      <c r="BZ9" s="839"/>
      <c r="CA9" s="773"/>
      <c r="CB9" s="850"/>
      <c r="CC9" s="851"/>
      <c r="CD9" s="845"/>
      <c r="CE9" s="891"/>
      <c r="CF9" s="892"/>
      <c r="CG9" s="875"/>
      <c r="CH9" s="773"/>
      <c r="CI9" s="880"/>
      <c r="CJ9" s="881"/>
      <c r="CK9" s="869"/>
      <c r="CL9" s="863"/>
      <c r="CM9" s="864"/>
      <c r="CN9" s="839"/>
    </row>
    <row r="10" spans="1:92" x14ac:dyDescent="0.25">
      <c r="A10" s="757">
        <v>2</v>
      </c>
      <c r="B10" s="765"/>
      <c r="C10" s="870" t="str">
        <f>IF($B10,$B10*TreatyCatch!BF240/SUM(TreatyCatch!$BF240:$BG240,TreatyCatch!$BI240:$BJ240),"")</f>
        <v/>
      </c>
      <c r="D10" s="870" t="str">
        <f>IF($B10,$B10*TreatyCatch!BG240/SUM(TreatyCatch!$BF240:$BG240,TreatyCatch!$BI240:$BJ240),"")</f>
        <v/>
      </c>
      <c r="E10" s="871" t="str">
        <f t="shared" ref="E10:E25" si="2">IFERROR(C10+0.0661*D10,"")</f>
        <v/>
      </c>
      <c r="F10" s="838" t="str">
        <f>IF($B10,$B10*TreatyCatch!BI240/SUM(TreatyCatch!$BF240:$BG240,TreatyCatch!$BI240:$BJ240),"")</f>
        <v/>
      </c>
      <c r="G10" s="866" t="str">
        <f>IF($B10,$B10*TreatyCatch!BJ240/SUM(TreatyCatch!$BF240:$BG240,TreatyCatch!$BI240:$BJ240),"")</f>
        <v/>
      </c>
      <c r="H10" s="840" t="str">
        <f t="shared" ref="H10:H34" si="3">IFERROR(F10+0.0661*G10,"")</f>
        <v/>
      </c>
      <c r="I10" s="765"/>
      <c r="J10" s="852" t="str">
        <f>IF($I10,$I10*TreatyCatch!BL240/SUM(TreatyCatch!$BL240:$BM240,TreatyCatch!$BO240:$BP240),"")</f>
        <v/>
      </c>
      <c r="K10" s="853" t="str">
        <f>IF($I10,$I10*TreatyCatch!BM240/SUM(TreatyCatch!$BL240:$BM240,TreatyCatch!$BO240:$BP240),"")</f>
        <v/>
      </c>
      <c r="L10" s="846" t="str">
        <f t="shared" si="0"/>
        <v/>
      </c>
      <c r="M10" s="893" t="str">
        <f>IF($I10,$I10*TreatyCatch!BO240/SUM(TreatyCatch!$BL240:$BM240,TreatyCatch!$BO240:$BP240),"")</f>
        <v/>
      </c>
      <c r="N10" s="894" t="str">
        <f>IF($I10,$I10*TreatyCatch!BP240/SUM(TreatyCatch!$BL240:$BM240,TreatyCatch!$BO240:$BP240),"")</f>
        <v/>
      </c>
      <c r="O10" s="877" t="str">
        <f t="shared" si="1"/>
        <v/>
      </c>
      <c r="P10" s="765"/>
      <c r="Q10" s="882" t="str">
        <f>IF($P10,$P10*TreatyCatch!BR240/SUM(TreatyCatch!$BR240:$BS240,TreatyCatch!$BU240:$BV240),"")</f>
        <v/>
      </c>
      <c r="R10" s="883" t="str">
        <f>IF($P10,$P10*TreatyCatch!BS240/SUM(TreatyCatch!$BR240:$BS240,TreatyCatch!$BU240:$BV240),"")</f>
        <v/>
      </c>
      <c r="S10" s="871" t="str">
        <f t="shared" ref="S10:S25" si="4">IFERROR(Q10+U$5*R10,"")</f>
        <v/>
      </c>
      <c r="T10" s="858" t="str">
        <f>IF($P10,$P10*TreatyCatch!BU240/SUM(TreatyCatch!$BR240:$BS240,TreatyCatch!$BU240:$BV240),"")</f>
        <v/>
      </c>
      <c r="U10" s="859" t="str">
        <f>IF($P10,$P10*TreatyCatch!BV240/SUM(TreatyCatch!$BR240:$BS240,TreatyCatch!$BU240:$BV240),"")</f>
        <v/>
      </c>
      <c r="V10" s="840" t="str">
        <f t="shared" ref="V10:V34" si="5">IFERROR(T10+U$5*U10,"")</f>
        <v/>
      </c>
      <c r="W10" s="958"/>
      <c r="X10" s="852" t="str">
        <f>IF($W10,$W10*TreatyCatch!BX240/SUM(TreatyCatch!$BX240:$BY240,TreatyCatch!$CA240:$CB240),"")</f>
        <v/>
      </c>
      <c r="Y10" s="853" t="str">
        <f>IF($W10,$W10*TreatyCatch!BY240/SUM(TreatyCatch!$BX240:$BY240,TreatyCatch!$CA240:$CB240),"")</f>
        <v/>
      </c>
      <c r="Z10" s="846" t="str">
        <f t="shared" ref="Z10:Z25" si="6">IFERROR(X10+AB$5*Y10,"")</f>
        <v/>
      </c>
      <c r="AA10" s="893" t="str">
        <f>IF($W10,$W10*TreatyCatch!CA240/SUM(TreatyCatch!$BX240:$BY240,TreatyCatch!$CA240:$CB240),"")</f>
        <v/>
      </c>
      <c r="AB10" s="894" t="str">
        <f>IF($W10,$W10*TreatyCatch!CB240/SUM(TreatyCatch!$BX240:$BY240,TreatyCatch!$CA240:$CB240),"")</f>
        <v/>
      </c>
      <c r="AC10" s="877" t="str">
        <f t="shared" ref="AC10:AC34" si="7">IFERROR(AA10+AB$5*AB10,"")</f>
        <v/>
      </c>
      <c r="AD10" s="958"/>
      <c r="AE10" s="1056" t="str">
        <f>IF($AD10,$AD10*TreatyCatch!CD240/SUM(TreatyCatch!$CD240:$CE240,TreatyCatch!$CG240:$CH240),"")</f>
        <v/>
      </c>
      <c r="AF10" s="1057" t="str">
        <f>IF($AD10,$AD10*TreatyCatch!CE240/SUM(TreatyCatch!$CD240:$CE240,TreatyCatch!$CG240:$CH240),"")</f>
        <v/>
      </c>
      <c r="AG10" s="1058" t="str">
        <f t="shared" ref="AG10:AG25" si="8">IFERROR(AE10+AI$5*AF10,"")</f>
        <v/>
      </c>
      <c r="AH10" s="1059" t="str">
        <f>IF($AD10,$AD10*TreatyCatch!CG240/SUM(TreatyCatch!$CD240:CE240,TreatyCatch!$CG240:$CH240),"")</f>
        <v/>
      </c>
      <c r="AI10" s="1060" t="str">
        <f>IF($AD10,$AD10*TreatyCatch!CH240/SUM(TreatyCatch!$CD240:CF240,TreatyCatch!$CG240:$CH240),"")</f>
        <v/>
      </c>
      <c r="AJ10" s="1061" t="str">
        <f t="shared" ref="AJ10:AJ34" si="9">IFERROR(AH10+AI$5*AI10,"")</f>
        <v/>
      </c>
      <c r="AK10" s="958"/>
      <c r="AL10" s="852"/>
      <c r="AM10" s="853"/>
      <c r="AN10" s="846"/>
      <c r="AO10" s="893"/>
      <c r="AP10" s="894"/>
      <c r="AQ10" s="877"/>
      <c r="AR10" s="765"/>
      <c r="AS10" s="882"/>
      <c r="AT10" s="883"/>
      <c r="AU10" s="871"/>
      <c r="AV10" s="858"/>
      <c r="AW10" s="859"/>
      <c r="AX10" s="840"/>
      <c r="AY10" s="765"/>
      <c r="AZ10" s="852"/>
      <c r="BA10" s="853"/>
      <c r="BB10" s="846"/>
      <c r="BC10" s="893"/>
      <c r="BD10" s="894"/>
      <c r="BE10" s="877"/>
      <c r="BF10" s="765"/>
      <c r="BG10" s="882"/>
      <c r="BH10" s="883"/>
      <c r="BI10" s="871"/>
      <c r="BJ10" s="858"/>
      <c r="BK10" s="859"/>
      <c r="BL10" s="840"/>
      <c r="BM10" s="765"/>
      <c r="BN10" s="852"/>
      <c r="BO10" s="853"/>
      <c r="BP10" s="846"/>
      <c r="BQ10" s="893"/>
      <c r="BR10" s="894"/>
      <c r="BS10" s="877"/>
      <c r="BT10" s="765"/>
      <c r="BU10" s="882"/>
      <c r="BV10" s="883"/>
      <c r="BW10" s="871"/>
      <c r="BX10" s="858"/>
      <c r="BY10" s="859"/>
      <c r="BZ10" s="840"/>
      <c r="CA10" s="765"/>
      <c r="CB10" s="852"/>
      <c r="CC10" s="853"/>
      <c r="CD10" s="846"/>
      <c r="CE10" s="893"/>
      <c r="CF10" s="894"/>
      <c r="CG10" s="877"/>
      <c r="CH10" s="765"/>
      <c r="CI10" s="882"/>
      <c r="CJ10" s="883"/>
      <c r="CK10" s="871"/>
      <c r="CL10" s="858"/>
      <c r="CM10" s="859"/>
      <c r="CN10" s="840"/>
    </row>
    <row r="11" spans="1:92" x14ac:dyDescent="0.25">
      <c r="A11" s="757">
        <v>3</v>
      </c>
      <c r="B11" s="765"/>
      <c r="C11" s="870" t="str">
        <f>IF($B11,$B11*TreatyCatch!BF241/SUM(TreatyCatch!$BF241:$BG241,TreatyCatch!$BI241:$BJ241),"")</f>
        <v/>
      </c>
      <c r="D11" s="870" t="str">
        <f>IF($B11,$B11*TreatyCatch!BG241/SUM(TreatyCatch!$BF241:$BG241,TreatyCatch!$BI241:$BJ241),"")</f>
        <v/>
      </c>
      <c r="E11" s="871" t="str">
        <f t="shared" si="2"/>
        <v/>
      </c>
      <c r="F11" s="838" t="str">
        <f>IF($B11,$B11*TreatyCatch!BI241/SUM(TreatyCatch!$BF241:$BG241,TreatyCatch!$BI241:$BJ241),"")</f>
        <v/>
      </c>
      <c r="G11" s="866" t="str">
        <f>IF($B11,$B11*TreatyCatch!BJ241/SUM(TreatyCatch!$BF241:$BG241,TreatyCatch!$BI241:$BJ241),"")</f>
        <v/>
      </c>
      <c r="H11" s="840" t="str">
        <f t="shared" si="3"/>
        <v/>
      </c>
      <c r="I11" s="765"/>
      <c r="J11" s="852" t="str">
        <f>IF($I11,$I11*TreatyCatch!BL241/SUM(TreatyCatch!$BL241:$BM241,TreatyCatch!$BO241:$BP241),"")</f>
        <v/>
      </c>
      <c r="K11" s="853" t="str">
        <f>IF($I11,$I11*TreatyCatch!BM241/SUM(TreatyCatch!$BL241:$BM241,TreatyCatch!$BO241:$BP241),"")</f>
        <v/>
      </c>
      <c r="L11" s="846" t="str">
        <f t="shared" si="0"/>
        <v/>
      </c>
      <c r="M11" s="893" t="str">
        <f>IF($I11,$I11*TreatyCatch!BO241/SUM(TreatyCatch!$BL241:$BM241,TreatyCatch!$BO241:$BP241),"")</f>
        <v/>
      </c>
      <c r="N11" s="894" t="str">
        <f>IF($I11,$I11*TreatyCatch!BP241/SUM(TreatyCatch!$BL241:$BM241,TreatyCatch!$BO241:$BP241),"")</f>
        <v/>
      </c>
      <c r="O11" s="877" t="str">
        <f t="shared" si="1"/>
        <v/>
      </c>
      <c r="P11" s="765"/>
      <c r="Q11" s="882" t="str">
        <f>IF($P11,$P11*TreatyCatch!BR241/SUM(TreatyCatch!$BR241:$BS241,TreatyCatch!$BU241:$BV241),"")</f>
        <v/>
      </c>
      <c r="R11" s="883" t="str">
        <f>IF($P11,$P11*TreatyCatch!BS241/SUM(TreatyCatch!$BR241:$BS241,TreatyCatch!$BU241:$BV241),"")</f>
        <v/>
      </c>
      <c r="S11" s="871" t="str">
        <f t="shared" si="4"/>
        <v/>
      </c>
      <c r="T11" s="858" t="str">
        <f>IF($P11,$P11*TreatyCatch!BU241/SUM(TreatyCatch!$BR241:$BS241,TreatyCatch!$BU241:$BV241),"")</f>
        <v/>
      </c>
      <c r="U11" s="859" t="str">
        <f>IF($P11,$P11*TreatyCatch!BV241/SUM(TreatyCatch!$BR241:$BS241,TreatyCatch!$BU241:$BV241),"")</f>
        <v/>
      </c>
      <c r="V11" s="840" t="str">
        <f t="shared" si="5"/>
        <v/>
      </c>
      <c r="W11" s="958"/>
      <c r="X11" s="852" t="str">
        <f>IF($W11,$W11*TreatyCatch!BX241/SUM(TreatyCatch!$BX241:$BY241,TreatyCatch!$CA241:$CB241),"")</f>
        <v/>
      </c>
      <c r="Y11" s="853" t="str">
        <f>IF($W11,$W11*TreatyCatch!BY241/SUM(TreatyCatch!$BX241:$BY241,TreatyCatch!$CA241:$CB241),"")</f>
        <v/>
      </c>
      <c r="Z11" s="846" t="str">
        <f t="shared" si="6"/>
        <v/>
      </c>
      <c r="AA11" s="893" t="str">
        <f>IF($W11,$W11*TreatyCatch!CA241/SUM(TreatyCatch!$BX241:$BY241,TreatyCatch!$CA241:$CB241),"")</f>
        <v/>
      </c>
      <c r="AB11" s="894" t="str">
        <f>IF($W11,$W11*TreatyCatch!CB241/SUM(TreatyCatch!$BX241:$BY241,TreatyCatch!$CA241:$CB241),"")</f>
        <v/>
      </c>
      <c r="AC11" s="877" t="str">
        <f t="shared" si="7"/>
        <v/>
      </c>
      <c r="AD11" s="958"/>
      <c r="AE11" s="1056" t="str">
        <f>IF($AD11,$AD11*TreatyCatch!CD241/SUM(TreatyCatch!$CD241:$CE241,TreatyCatch!$CG241:$CH241),"")</f>
        <v/>
      </c>
      <c r="AF11" s="1057" t="str">
        <f>IF($AD11,$AD11*TreatyCatch!CE241/SUM(TreatyCatch!$CD241:$CE241,TreatyCatch!$CG241:$CH241),"")</f>
        <v/>
      </c>
      <c r="AG11" s="1058" t="str">
        <f t="shared" si="8"/>
        <v/>
      </c>
      <c r="AH11" s="1059" t="str">
        <f>IF($AD11,$AD11*TreatyCatch!CG241/SUM(TreatyCatch!$CD241:CE241,TreatyCatch!$CG241:$CH241),"")</f>
        <v/>
      </c>
      <c r="AI11" s="1060" t="str">
        <f>IF($AD11,$AD11*TreatyCatch!CH241/SUM(TreatyCatch!$CD241:CF241,TreatyCatch!$CG241:$CH241),"")</f>
        <v/>
      </c>
      <c r="AJ11" s="1061" t="str">
        <f t="shared" si="9"/>
        <v/>
      </c>
      <c r="AK11" s="958"/>
      <c r="AL11" s="852"/>
      <c r="AM11" s="853"/>
      <c r="AN11" s="846"/>
      <c r="AO11" s="893"/>
      <c r="AP11" s="894"/>
      <c r="AQ11" s="877"/>
      <c r="AR11" s="765"/>
      <c r="AS11" s="882"/>
      <c r="AT11" s="883"/>
      <c r="AU11" s="871"/>
      <c r="AV11" s="858"/>
      <c r="AW11" s="859"/>
      <c r="AX11" s="840"/>
      <c r="AY11" s="765"/>
      <c r="AZ11" s="852"/>
      <c r="BA11" s="853"/>
      <c r="BB11" s="846"/>
      <c r="BC11" s="893"/>
      <c r="BD11" s="894"/>
      <c r="BE11" s="877"/>
      <c r="BF11" s="765"/>
      <c r="BG11" s="882"/>
      <c r="BH11" s="883"/>
      <c r="BI11" s="871"/>
      <c r="BJ11" s="858"/>
      <c r="BK11" s="859"/>
      <c r="BL11" s="840"/>
      <c r="BM11" s="765"/>
      <c r="BN11" s="852"/>
      <c r="BO11" s="853"/>
      <c r="BP11" s="846"/>
      <c r="BQ11" s="893"/>
      <c r="BR11" s="894"/>
      <c r="BS11" s="877"/>
      <c r="BT11" s="765"/>
      <c r="BU11" s="882"/>
      <c r="BV11" s="883"/>
      <c r="BW11" s="871"/>
      <c r="BX11" s="858"/>
      <c r="BY11" s="859"/>
      <c r="BZ11" s="840"/>
      <c r="CA11" s="765"/>
      <c r="CB11" s="852"/>
      <c r="CC11" s="853"/>
      <c r="CD11" s="846"/>
      <c r="CE11" s="893"/>
      <c r="CF11" s="894"/>
      <c r="CG11" s="877"/>
      <c r="CH11" s="765"/>
      <c r="CI11" s="882"/>
      <c r="CJ11" s="883"/>
      <c r="CK11" s="871"/>
      <c r="CL11" s="858"/>
      <c r="CM11" s="859"/>
      <c r="CN11" s="840"/>
    </row>
    <row r="12" spans="1:92" x14ac:dyDescent="0.25">
      <c r="A12" s="757">
        <v>4</v>
      </c>
      <c r="B12" s="765"/>
      <c r="C12" s="870" t="str">
        <f>IF($B12,$B12*TreatyCatch!BF242/SUM(TreatyCatch!$BF242:$BG242,TreatyCatch!$BI242:$BJ242),"")</f>
        <v/>
      </c>
      <c r="D12" s="870" t="str">
        <f>IF($B12,$B12*TreatyCatch!BG242/SUM(TreatyCatch!$BF242:$BG242,TreatyCatch!$BI242:$BJ242),"")</f>
        <v/>
      </c>
      <c r="E12" s="871" t="str">
        <f t="shared" si="2"/>
        <v/>
      </c>
      <c r="F12" s="838" t="str">
        <f>IF($B12,$B12*TreatyCatch!BI242/SUM(TreatyCatch!$BF242:$BG242,TreatyCatch!$BI242:$BJ242),"")</f>
        <v/>
      </c>
      <c r="G12" s="866" t="str">
        <f>IF($B12,$B12*TreatyCatch!BJ242/SUM(TreatyCatch!$BF242:$BG242,TreatyCatch!$BI242:$BJ242),"")</f>
        <v/>
      </c>
      <c r="H12" s="840" t="str">
        <f t="shared" si="3"/>
        <v/>
      </c>
      <c r="I12" s="765"/>
      <c r="J12" s="852" t="str">
        <f>IF($I12,$I12*TreatyCatch!BL242/SUM(TreatyCatch!$BL242:$BM242,TreatyCatch!$BO242:$BP242),"")</f>
        <v/>
      </c>
      <c r="K12" s="853" t="str">
        <f>IF($I12,$I12*TreatyCatch!BM242/SUM(TreatyCatch!$BL242:$BM242,TreatyCatch!$BO242:$BP242),"")</f>
        <v/>
      </c>
      <c r="L12" s="846" t="str">
        <f t="shared" si="0"/>
        <v/>
      </c>
      <c r="M12" s="893" t="str">
        <f>IF($I12,$I12*TreatyCatch!BO242/SUM(TreatyCatch!$BL242:$BM242,TreatyCatch!$BO242:$BP242),"")</f>
        <v/>
      </c>
      <c r="N12" s="894" t="str">
        <f>IF($I12,$I12*TreatyCatch!BP242/SUM(TreatyCatch!$BL242:$BM242,TreatyCatch!$BO242:$BP242),"")</f>
        <v/>
      </c>
      <c r="O12" s="877" t="str">
        <f t="shared" si="1"/>
        <v/>
      </c>
      <c r="P12" s="765"/>
      <c r="Q12" s="882" t="str">
        <f>IF($P12,$P12*TreatyCatch!BR242/SUM(TreatyCatch!$BR242:$BS242,TreatyCatch!$BU242:$BV242),"")</f>
        <v/>
      </c>
      <c r="R12" s="883" t="str">
        <f>IF($P12,$P12*TreatyCatch!BS242/SUM(TreatyCatch!$BR242:$BS242,TreatyCatch!$BU242:$BV242),"")</f>
        <v/>
      </c>
      <c r="S12" s="871" t="str">
        <f t="shared" si="4"/>
        <v/>
      </c>
      <c r="T12" s="858" t="str">
        <f>IF($P12,$P12*TreatyCatch!BU242/SUM(TreatyCatch!$BR242:$BS242,TreatyCatch!$BU242:$BV242),"")</f>
        <v/>
      </c>
      <c r="U12" s="859" t="str">
        <f>IF($P12,$P12*TreatyCatch!BV242/SUM(TreatyCatch!$BR242:$BS242,TreatyCatch!$BU242:$BV242),"")</f>
        <v/>
      </c>
      <c r="V12" s="840" t="str">
        <f t="shared" si="5"/>
        <v/>
      </c>
      <c r="W12" s="958"/>
      <c r="X12" s="852" t="str">
        <f>IF($W12,$W12*TreatyCatch!BX242/SUM(TreatyCatch!$BX242:$BY242,TreatyCatch!$CA242:$CB242),"")</f>
        <v/>
      </c>
      <c r="Y12" s="853" t="str">
        <f>IF($W12,$W12*TreatyCatch!BY242/SUM(TreatyCatch!$BX242:$BY242,TreatyCatch!$CA242:$CB242),"")</f>
        <v/>
      </c>
      <c r="Z12" s="846" t="str">
        <f t="shared" si="6"/>
        <v/>
      </c>
      <c r="AA12" s="893" t="str">
        <f>IF($W12,$W12*TreatyCatch!CA242/SUM(TreatyCatch!$BX242:$BY242,TreatyCatch!$CA242:$CB242),"")</f>
        <v/>
      </c>
      <c r="AB12" s="894" t="str">
        <f>IF($W12,$W12*TreatyCatch!CB242/SUM(TreatyCatch!$BX242:$BY242,TreatyCatch!$CA242:$CB242),"")</f>
        <v/>
      </c>
      <c r="AC12" s="877" t="str">
        <f t="shared" si="7"/>
        <v/>
      </c>
      <c r="AD12" s="958"/>
      <c r="AE12" s="1056" t="str">
        <f>IF($AD12,$AD12*TreatyCatch!CD242/SUM(TreatyCatch!$CD242:$CE242,TreatyCatch!$CG242:$CH242),"")</f>
        <v/>
      </c>
      <c r="AF12" s="1057" t="str">
        <f>IF($AD12,$AD12*TreatyCatch!CE242/SUM(TreatyCatch!$CD242:$CE242,TreatyCatch!$CG242:$CH242),"")</f>
        <v/>
      </c>
      <c r="AG12" s="1058" t="str">
        <f t="shared" si="8"/>
        <v/>
      </c>
      <c r="AH12" s="1059" t="str">
        <f>IF($AD12,$AD12*TreatyCatch!CG242/SUM(TreatyCatch!$CD242:CE242,TreatyCatch!$CG242:$CH242),"")</f>
        <v/>
      </c>
      <c r="AI12" s="1060" t="str">
        <f>IF($AD12,$AD12*TreatyCatch!CH242/SUM(TreatyCatch!$CD242:CF242,TreatyCatch!$CG242:$CH242),"")</f>
        <v/>
      </c>
      <c r="AJ12" s="1061" t="str">
        <f t="shared" si="9"/>
        <v/>
      </c>
      <c r="AK12" s="958"/>
      <c r="AL12" s="852"/>
      <c r="AM12" s="853"/>
      <c r="AN12" s="846"/>
      <c r="AO12" s="893"/>
      <c r="AP12" s="894"/>
      <c r="AQ12" s="877"/>
      <c r="AR12" s="765"/>
      <c r="AS12" s="882"/>
      <c r="AT12" s="883"/>
      <c r="AU12" s="871"/>
      <c r="AV12" s="858"/>
      <c r="AW12" s="859"/>
      <c r="AX12" s="840"/>
      <c r="AY12" s="765"/>
      <c r="AZ12" s="852"/>
      <c r="BA12" s="853"/>
      <c r="BB12" s="846"/>
      <c r="BC12" s="893"/>
      <c r="BD12" s="894"/>
      <c r="BE12" s="877"/>
      <c r="BF12" s="765"/>
      <c r="BG12" s="882"/>
      <c r="BH12" s="883"/>
      <c r="BI12" s="871"/>
      <c r="BJ12" s="858"/>
      <c r="BK12" s="859"/>
      <c r="BL12" s="840"/>
      <c r="BM12" s="765"/>
      <c r="BN12" s="852"/>
      <c r="BO12" s="853"/>
      <c r="BP12" s="846"/>
      <c r="BQ12" s="893"/>
      <c r="BR12" s="894"/>
      <c r="BS12" s="877"/>
      <c r="BT12" s="765"/>
      <c r="BU12" s="882"/>
      <c r="BV12" s="883"/>
      <c r="BW12" s="871"/>
      <c r="BX12" s="858"/>
      <c r="BY12" s="859"/>
      <c r="BZ12" s="840"/>
      <c r="CA12" s="765"/>
      <c r="CB12" s="852"/>
      <c r="CC12" s="853"/>
      <c r="CD12" s="846"/>
      <c r="CE12" s="893"/>
      <c r="CF12" s="894"/>
      <c r="CG12" s="877"/>
      <c r="CH12" s="765"/>
      <c r="CI12" s="882"/>
      <c r="CJ12" s="883"/>
      <c r="CK12" s="871"/>
      <c r="CL12" s="858"/>
      <c r="CM12" s="859"/>
      <c r="CN12" s="840"/>
    </row>
    <row r="13" spans="1:92" x14ac:dyDescent="0.25">
      <c r="A13" s="757">
        <v>5</v>
      </c>
      <c r="B13" s="765"/>
      <c r="C13" s="870" t="str">
        <f>IF($B13,$B13*TreatyCatch!BF243/SUM(TreatyCatch!$BF243:$BG243,TreatyCatch!$BI243:$BJ243),"")</f>
        <v/>
      </c>
      <c r="D13" s="870" t="str">
        <f>IF($B13,$B13*TreatyCatch!BG243/SUM(TreatyCatch!$BF243:$BG243,TreatyCatch!$BI243:$BJ243),"")</f>
        <v/>
      </c>
      <c r="E13" s="871" t="str">
        <f t="shared" si="2"/>
        <v/>
      </c>
      <c r="F13" s="838" t="str">
        <f>IF($B13,$B13*TreatyCatch!BI243/SUM(TreatyCatch!$BF243:$BG243,TreatyCatch!$BI243:$BJ243),"")</f>
        <v/>
      </c>
      <c r="G13" s="866" t="str">
        <f>IF($B13,$B13*TreatyCatch!BJ243/SUM(TreatyCatch!$BF243:$BG243,TreatyCatch!$BI243:$BJ243),"")</f>
        <v/>
      </c>
      <c r="H13" s="840" t="str">
        <f t="shared" si="3"/>
        <v/>
      </c>
      <c r="I13" s="765"/>
      <c r="J13" s="852" t="str">
        <f>IF($I13,$I13*TreatyCatch!BL243/SUM(TreatyCatch!$BL243:$BM243,TreatyCatch!$BO243:$BP243),"")</f>
        <v/>
      </c>
      <c r="K13" s="853" t="str">
        <f>IF($I13,$I13*TreatyCatch!BM243/SUM(TreatyCatch!$BL243:$BM243,TreatyCatch!$BO243:$BP243),"")</f>
        <v/>
      </c>
      <c r="L13" s="846" t="str">
        <f t="shared" si="0"/>
        <v/>
      </c>
      <c r="M13" s="893" t="str">
        <f>IF($I13,$I13*TreatyCatch!BO243/SUM(TreatyCatch!$BL243:$BM243,TreatyCatch!$BO243:$BP243),"")</f>
        <v/>
      </c>
      <c r="N13" s="894" t="str">
        <f>IF($I13,$I13*TreatyCatch!BP243/SUM(TreatyCatch!$BL243:$BM243,TreatyCatch!$BO243:$BP243),"")</f>
        <v/>
      </c>
      <c r="O13" s="877" t="str">
        <f t="shared" si="1"/>
        <v/>
      </c>
      <c r="P13" s="765"/>
      <c r="Q13" s="882" t="str">
        <f>IF($P13,$P13*TreatyCatch!BR243/SUM(TreatyCatch!$BR243:$BS243,TreatyCatch!$BU243:$BV243),"")</f>
        <v/>
      </c>
      <c r="R13" s="883" t="str">
        <f>IF($P13,$P13*TreatyCatch!BS243/SUM(TreatyCatch!$BR243:$BS243,TreatyCatch!$BU243:$BV243),"")</f>
        <v/>
      </c>
      <c r="S13" s="871" t="str">
        <f t="shared" si="4"/>
        <v/>
      </c>
      <c r="T13" s="858" t="str">
        <f>IF($P13,$P13*TreatyCatch!BU243/SUM(TreatyCatch!$BR243:$BS243,TreatyCatch!$BU243:$BV243),"")</f>
        <v/>
      </c>
      <c r="U13" s="859" t="str">
        <f>IF($P13,$P13*TreatyCatch!BV243/SUM(TreatyCatch!$BR243:$BS243,TreatyCatch!$BU243:$BV243),"")</f>
        <v/>
      </c>
      <c r="V13" s="840" t="str">
        <f t="shared" si="5"/>
        <v/>
      </c>
      <c r="W13" s="958"/>
      <c r="X13" s="852" t="str">
        <f>IF($W13,$W13*TreatyCatch!BX243/SUM(TreatyCatch!$BX243:$BY243,TreatyCatch!$CA243:$CB243),"")</f>
        <v/>
      </c>
      <c r="Y13" s="853" t="str">
        <f>IF($W13,$W13*TreatyCatch!BY243/SUM(TreatyCatch!$BX243:$BY243,TreatyCatch!$CA243:$CB243),"")</f>
        <v/>
      </c>
      <c r="Z13" s="846" t="str">
        <f t="shared" si="6"/>
        <v/>
      </c>
      <c r="AA13" s="893" t="str">
        <f>IF($W13,$W13*TreatyCatch!CA243/SUM(TreatyCatch!$BX243:$BY243,TreatyCatch!$CA243:$CB243),"")</f>
        <v/>
      </c>
      <c r="AB13" s="894" t="str">
        <f>IF($W13,$W13*TreatyCatch!CB243/SUM(TreatyCatch!$BX243:$BY243,TreatyCatch!$CA243:$CB243),"")</f>
        <v/>
      </c>
      <c r="AC13" s="877" t="str">
        <f t="shared" si="7"/>
        <v/>
      </c>
      <c r="AD13" s="958"/>
      <c r="AE13" s="1056" t="str">
        <f>IF($AD13,$AD13*TreatyCatch!CD243/SUM(TreatyCatch!$CD243:$CE243,TreatyCatch!$CG243:$CH243),"")</f>
        <v/>
      </c>
      <c r="AF13" s="1057" t="str">
        <f>IF($AD13,$AD13*TreatyCatch!CE243/SUM(TreatyCatch!$CD243:$CE243,TreatyCatch!$CG243:$CH243),"")</f>
        <v/>
      </c>
      <c r="AG13" s="1058" t="str">
        <f t="shared" si="8"/>
        <v/>
      </c>
      <c r="AH13" s="1059" t="str">
        <f>IF($AD13,$AD13*TreatyCatch!CG243/SUM(TreatyCatch!$CD243:CE243,TreatyCatch!$CG243:$CH243),"")</f>
        <v/>
      </c>
      <c r="AI13" s="1060" t="str">
        <f>IF($AD13,$AD13*TreatyCatch!CH243/SUM(TreatyCatch!$CD243:CF243,TreatyCatch!$CG243:$CH243),"")</f>
        <v/>
      </c>
      <c r="AJ13" s="1061" t="str">
        <f t="shared" si="9"/>
        <v/>
      </c>
      <c r="AK13" s="958"/>
      <c r="AL13" s="852"/>
      <c r="AM13" s="853"/>
      <c r="AN13" s="846"/>
      <c r="AO13" s="893"/>
      <c r="AP13" s="894"/>
      <c r="AQ13" s="877"/>
      <c r="AR13" s="765"/>
      <c r="AS13" s="882"/>
      <c r="AT13" s="883"/>
      <c r="AU13" s="871"/>
      <c r="AV13" s="858"/>
      <c r="AW13" s="859"/>
      <c r="AX13" s="840"/>
      <c r="AY13" s="765"/>
      <c r="AZ13" s="852"/>
      <c r="BA13" s="853"/>
      <c r="BB13" s="846"/>
      <c r="BC13" s="893"/>
      <c r="BD13" s="894"/>
      <c r="BE13" s="877"/>
      <c r="BF13" s="765"/>
      <c r="BG13" s="882"/>
      <c r="BH13" s="883"/>
      <c r="BI13" s="871"/>
      <c r="BJ13" s="858"/>
      <c r="BK13" s="859"/>
      <c r="BL13" s="840"/>
      <c r="BM13" s="765"/>
      <c r="BN13" s="852"/>
      <c r="BO13" s="853"/>
      <c r="BP13" s="846"/>
      <c r="BQ13" s="893"/>
      <c r="BR13" s="894"/>
      <c r="BS13" s="877"/>
      <c r="BT13" s="765"/>
      <c r="BU13" s="882"/>
      <c r="BV13" s="883"/>
      <c r="BW13" s="871"/>
      <c r="BX13" s="858"/>
      <c r="BY13" s="859"/>
      <c r="BZ13" s="840"/>
      <c r="CA13" s="765"/>
      <c r="CB13" s="852"/>
      <c r="CC13" s="853"/>
      <c r="CD13" s="846"/>
      <c r="CE13" s="893"/>
      <c r="CF13" s="894"/>
      <c r="CG13" s="877"/>
      <c r="CH13" s="765"/>
      <c r="CI13" s="882"/>
      <c r="CJ13" s="883"/>
      <c r="CK13" s="871"/>
      <c r="CL13" s="858"/>
      <c r="CM13" s="859"/>
      <c r="CN13" s="840"/>
    </row>
    <row r="14" spans="1:92" x14ac:dyDescent="0.25">
      <c r="A14" s="757">
        <v>6</v>
      </c>
      <c r="B14" s="765"/>
      <c r="C14" s="870" t="str">
        <f>IF($B14,$B14*TreatyCatch!BF244/SUM(TreatyCatch!$BF244:$BG244,TreatyCatch!$BI244:$BJ244),"")</f>
        <v/>
      </c>
      <c r="D14" s="870" t="str">
        <f>IF($B14,$B14*TreatyCatch!BG244/SUM(TreatyCatch!$BF244:$BG244,TreatyCatch!$BI244:$BJ244),"")</f>
        <v/>
      </c>
      <c r="E14" s="871" t="str">
        <f t="shared" si="2"/>
        <v/>
      </c>
      <c r="F14" s="838" t="str">
        <f>IF($B14,$B14*TreatyCatch!BI244/SUM(TreatyCatch!$BF244:$BG244,TreatyCatch!$BI244:$BJ244),"")</f>
        <v/>
      </c>
      <c r="G14" s="866" t="str">
        <f>IF($B14,$B14*TreatyCatch!BJ244/SUM(TreatyCatch!$BF244:$BG244,TreatyCatch!$BI244:$BJ244),"")</f>
        <v/>
      </c>
      <c r="H14" s="840" t="str">
        <f t="shared" si="3"/>
        <v/>
      </c>
      <c r="I14" s="765"/>
      <c r="J14" s="852" t="str">
        <f>IF($I14,$I14*TreatyCatch!BL244/SUM(TreatyCatch!$BL244:$BM244,TreatyCatch!$BO244:$BP244),"")</f>
        <v/>
      </c>
      <c r="K14" s="853" t="str">
        <f>IF($I14,$I14*TreatyCatch!BM244/SUM(TreatyCatch!$BL244:$BM244,TreatyCatch!$BO244:$BP244),"")</f>
        <v/>
      </c>
      <c r="L14" s="846" t="str">
        <f t="shared" si="0"/>
        <v/>
      </c>
      <c r="M14" s="893" t="str">
        <f>IF($I14,$I14*TreatyCatch!BO244/SUM(TreatyCatch!$BL244:$BM244,TreatyCatch!$BO244:$BP244),"")</f>
        <v/>
      </c>
      <c r="N14" s="894" t="str">
        <f>IF($I14,$I14*TreatyCatch!BP244/SUM(TreatyCatch!$BL244:$BM244,TreatyCatch!$BO244:$BP244),"")</f>
        <v/>
      </c>
      <c r="O14" s="877" t="str">
        <f t="shared" si="1"/>
        <v/>
      </c>
      <c r="P14" s="765"/>
      <c r="Q14" s="882" t="str">
        <f>IF($P14,$P14*TreatyCatch!BR244/SUM(TreatyCatch!$BR244:$BS244,TreatyCatch!$BU244:$BV244),"")</f>
        <v/>
      </c>
      <c r="R14" s="883" t="str">
        <f>IF($P14,$P14*TreatyCatch!BS244/SUM(TreatyCatch!$BR244:$BS244,TreatyCatch!$BU244:$BV244),"")</f>
        <v/>
      </c>
      <c r="S14" s="871" t="str">
        <f t="shared" si="4"/>
        <v/>
      </c>
      <c r="T14" s="858" t="str">
        <f>IF($P14,$P14*TreatyCatch!BU244/SUM(TreatyCatch!$BR244:$BS244,TreatyCatch!$BU244:$BV244),"")</f>
        <v/>
      </c>
      <c r="U14" s="859" t="str">
        <f>IF($P14,$P14*TreatyCatch!BV244/SUM(TreatyCatch!$BR244:$BS244,TreatyCatch!$BU244:$BV244),"")</f>
        <v/>
      </c>
      <c r="V14" s="840" t="str">
        <f t="shared" si="5"/>
        <v/>
      </c>
      <c r="W14" s="958"/>
      <c r="X14" s="852" t="str">
        <f>IF($W14,$W14*TreatyCatch!BX244/SUM(TreatyCatch!$BX244:$BY244,TreatyCatch!$CA244:$CB244),"")</f>
        <v/>
      </c>
      <c r="Y14" s="853" t="str">
        <f>IF($W14,$W14*TreatyCatch!BY244/SUM(TreatyCatch!$BX244:$BY244,TreatyCatch!$CA244:$CB244),"")</f>
        <v/>
      </c>
      <c r="Z14" s="846" t="str">
        <f t="shared" si="6"/>
        <v/>
      </c>
      <c r="AA14" s="893" t="str">
        <f>IF($W14,$W14*TreatyCatch!CA244/SUM(TreatyCatch!$BX244:$BY244,TreatyCatch!$CA244:$CB244),"")</f>
        <v/>
      </c>
      <c r="AB14" s="894" t="str">
        <f>IF($W14,$W14*TreatyCatch!CB244/SUM(TreatyCatch!$BX244:$BY244,TreatyCatch!$CA244:$CB244),"")</f>
        <v/>
      </c>
      <c r="AC14" s="877" t="str">
        <f t="shared" si="7"/>
        <v/>
      </c>
      <c r="AD14" s="958"/>
      <c r="AE14" s="1056" t="str">
        <f>IF($AD14,$AD14*TreatyCatch!CD244/SUM(TreatyCatch!$CD244:$CE244,TreatyCatch!$CG244:$CH244),"")</f>
        <v/>
      </c>
      <c r="AF14" s="1057" t="str">
        <f>IF($AD14,$AD14*TreatyCatch!CE244/SUM(TreatyCatch!$CD244:$CE244,TreatyCatch!$CG244:$CH244),"")</f>
        <v/>
      </c>
      <c r="AG14" s="1058" t="str">
        <f t="shared" si="8"/>
        <v/>
      </c>
      <c r="AH14" s="1059" t="str">
        <f>IF($AD14,$AD14*TreatyCatch!CG244/SUM(TreatyCatch!$CD244:CE244,TreatyCatch!$CG244:$CH244),"")</f>
        <v/>
      </c>
      <c r="AI14" s="1060" t="str">
        <f>IF($AD14,$AD14*TreatyCatch!CH244/SUM(TreatyCatch!$CD244:CF244,TreatyCatch!$CG244:$CH244),"")</f>
        <v/>
      </c>
      <c r="AJ14" s="1061" t="str">
        <f t="shared" si="9"/>
        <v/>
      </c>
      <c r="AK14" s="958"/>
      <c r="AL14" s="852"/>
      <c r="AM14" s="853"/>
      <c r="AN14" s="846"/>
      <c r="AO14" s="893"/>
      <c r="AP14" s="894"/>
      <c r="AQ14" s="877"/>
      <c r="AR14" s="765"/>
      <c r="AS14" s="882"/>
      <c r="AT14" s="883"/>
      <c r="AU14" s="871"/>
      <c r="AV14" s="858"/>
      <c r="AW14" s="859"/>
      <c r="AX14" s="840"/>
      <c r="AY14" s="765"/>
      <c r="AZ14" s="852"/>
      <c r="BA14" s="853"/>
      <c r="BB14" s="846"/>
      <c r="BC14" s="893"/>
      <c r="BD14" s="894"/>
      <c r="BE14" s="877"/>
      <c r="BF14" s="765"/>
      <c r="BG14" s="882"/>
      <c r="BH14" s="883"/>
      <c r="BI14" s="871"/>
      <c r="BJ14" s="858"/>
      <c r="BK14" s="859"/>
      <c r="BL14" s="840"/>
      <c r="BM14" s="765"/>
      <c r="BN14" s="852"/>
      <c r="BO14" s="853"/>
      <c r="BP14" s="846"/>
      <c r="BQ14" s="893"/>
      <c r="BR14" s="894"/>
      <c r="BS14" s="877"/>
      <c r="BT14" s="765"/>
      <c r="BU14" s="882"/>
      <c r="BV14" s="883"/>
      <c r="BW14" s="871"/>
      <c r="BX14" s="858"/>
      <c r="BY14" s="859"/>
      <c r="BZ14" s="840"/>
      <c r="CA14" s="765"/>
      <c r="CB14" s="852"/>
      <c r="CC14" s="853"/>
      <c r="CD14" s="846"/>
      <c r="CE14" s="893"/>
      <c r="CF14" s="894"/>
      <c r="CG14" s="877"/>
      <c r="CH14" s="765"/>
      <c r="CI14" s="882"/>
      <c r="CJ14" s="883"/>
      <c r="CK14" s="871"/>
      <c r="CL14" s="858"/>
      <c r="CM14" s="859"/>
      <c r="CN14" s="840"/>
    </row>
    <row r="15" spans="1:92" x14ac:dyDescent="0.25">
      <c r="A15" s="757">
        <v>7</v>
      </c>
      <c r="B15" s="765"/>
      <c r="C15" s="870" t="str">
        <f>IF($B15,$B15*TreatyCatch!BF245/SUM(TreatyCatch!$BF245:$BG245,TreatyCatch!$BI245:$BJ245),"")</f>
        <v/>
      </c>
      <c r="D15" s="870" t="str">
        <f>IF($B15,$B15*TreatyCatch!BG245/SUM(TreatyCatch!$BF245:$BG245,TreatyCatch!$BI245:$BJ245),"")</f>
        <v/>
      </c>
      <c r="E15" s="871" t="str">
        <f t="shared" si="2"/>
        <v/>
      </c>
      <c r="F15" s="838" t="str">
        <f>IF($B15,$B15*TreatyCatch!BI245/SUM(TreatyCatch!$BF245:$BG245,TreatyCatch!$BI245:$BJ245),"")</f>
        <v/>
      </c>
      <c r="G15" s="866" t="str">
        <f>IF($B15,$B15*TreatyCatch!BJ245/SUM(TreatyCatch!$BF245:$BG245,TreatyCatch!$BI245:$BJ245),"")</f>
        <v/>
      </c>
      <c r="H15" s="840" t="str">
        <f t="shared" si="3"/>
        <v/>
      </c>
      <c r="I15" s="765"/>
      <c r="J15" s="852" t="str">
        <f>IF($I15,$I15*TreatyCatch!BL245/SUM(TreatyCatch!$BL245:$BM245,TreatyCatch!$BO245:$BP245),"")</f>
        <v/>
      </c>
      <c r="K15" s="853" t="str">
        <f>IF($I15,$I15*TreatyCatch!BM245/SUM(TreatyCatch!$BL245:$BM245,TreatyCatch!$BO245:$BP245),"")</f>
        <v/>
      </c>
      <c r="L15" s="846" t="str">
        <f t="shared" si="0"/>
        <v/>
      </c>
      <c r="M15" s="893" t="str">
        <f>IF($I15,$I15*TreatyCatch!BO245/SUM(TreatyCatch!$BL245:$BM245,TreatyCatch!$BO245:$BP245),"")</f>
        <v/>
      </c>
      <c r="N15" s="894" t="str">
        <f>IF($I15,$I15*TreatyCatch!BP245/SUM(TreatyCatch!$BL245:$BM245,TreatyCatch!$BO245:$BP245),"")</f>
        <v/>
      </c>
      <c r="O15" s="877" t="str">
        <f t="shared" si="1"/>
        <v/>
      </c>
      <c r="P15" s="765"/>
      <c r="Q15" s="882" t="str">
        <f>IF($P15,$P15*TreatyCatch!BR245/SUM(TreatyCatch!$BR245:$BS245,TreatyCatch!$BU245:$BV245),"")</f>
        <v/>
      </c>
      <c r="R15" s="883" t="str">
        <f>IF($P15,$P15*TreatyCatch!BS245/SUM(TreatyCatch!$BR245:$BS245,TreatyCatch!$BU245:$BV245),"")</f>
        <v/>
      </c>
      <c r="S15" s="871" t="str">
        <f t="shared" si="4"/>
        <v/>
      </c>
      <c r="T15" s="858" t="str">
        <f>IF($P15,$P15*TreatyCatch!BU245/SUM(TreatyCatch!$BR245:$BS245,TreatyCatch!$BU245:$BV245),"")</f>
        <v/>
      </c>
      <c r="U15" s="859" t="str">
        <f>IF($P15,$P15*TreatyCatch!BV245/SUM(TreatyCatch!$BR245:$BS245,TreatyCatch!$BU245:$BV245),"")</f>
        <v/>
      </c>
      <c r="V15" s="840" t="str">
        <f t="shared" si="5"/>
        <v/>
      </c>
      <c r="W15" s="958"/>
      <c r="X15" s="852" t="str">
        <f>IF($W15,$W15*TreatyCatch!BX245/SUM(TreatyCatch!$BX245:$BY245,TreatyCatch!$CA245:$CB245),"")</f>
        <v/>
      </c>
      <c r="Y15" s="853" t="str">
        <f>IF($W15,$W15*TreatyCatch!BY245/SUM(TreatyCatch!$BX245:$BY245,TreatyCatch!$CA245:$CB245),"")</f>
        <v/>
      </c>
      <c r="Z15" s="846" t="str">
        <f t="shared" si="6"/>
        <v/>
      </c>
      <c r="AA15" s="893" t="str">
        <f>IF($W15,$W15*TreatyCatch!CA245/SUM(TreatyCatch!$BX245:$BY245,TreatyCatch!$CA245:$CB245),"")</f>
        <v/>
      </c>
      <c r="AB15" s="894" t="str">
        <f>IF($W15,$W15*TreatyCatch!CB245/SUM(TreatyCatch!$BX245:$BY245,TreatyCatch!$CA245:$CB245),"")</f>
        <v/>
      </c>
      <c r="AC15" s="877" t="str">
        <f t="shared" si="7"/>
        <v/>
      </c>
      <c r="AD15" s="958"/>
      <c r="AE15" s="1056" t="str">
        <f>IF($AD15,$AD15*TreatyCatch!CD245/SUM(TreatyCatch!$CD245:$CE245,TreatyCatch!$CG245:$CH245),"")</f>
        <v/>
      </c>
      <c r="AF15" s="1057" t="str">
        <f>IF($AD15,$AD15*TreatyCatch!CE245/SUM(TreatyCatch!$CD245:$CE245,TreatyCatch!$CG245:$CH245),"")</f>
        <v/>
      </c>
      <c r="AG15" s="1058" t="str">
        <f t="shared" si="8"/>
        <v/>
      </c>
      <c r="AH15" s="1059" t="str">
        <f>IF($AD15,$AD15*TreatyCatch!CG245/SUM(TreatyCatch!$CD245:CE245,TreatyCatch!$CG245:$CH245),"")</f>
        <v/>
      </c>
      <c r="AI15" s="1060" t="str">
        <f>IF($AD15,$AD15*TreatyCatch!CH245/SUM(TreatyCatch!$CD245:CF245,TreatyCatch!$CG245:$CH245),"")</f>
        <v/>
      </c>
      <c r="AJ15" s="1061" t="str">
        <f t="shared" si="9"/>
        <v/>
      </c>
      <c r="AK15" s="958"/>
      <c r="AL15" s="852"/>
      <c r="AM15" s="853"/>
      <c r="AN15" s="846"/>
      <c r="AO15" s="893"/>
      <c r="AP15" s="894"/>
      <c r="AQ15" s="877"/>
      <c r="AR15" s="765"/>
      <c r="AS15" s="882"/>
      <c r="AT15" s="883"/>
      <c r="AU15" s="871"/>
      <c r="AV15" s="858"/>
      <c r="AW15" s="859"/>
      <c r="AX15" s="840"/>
      <c r="AY15" s="765"/>
      <c r="AZ15" s="852"/>
      <c r="BA15" s="853"/>
      <c r="BB15" s="846"/>
      <c r="BC15" s="893"/>
      <c r="BD15" s="894"/>
      <c r="BE15" s="877"/>
      <c r="BF15" s="765"/>
      <c r="BG15" s="882"/>
      <c r="BH15" s="883"/>
      <c r="BI15" s="871"/>
      <c r="BJ15" s="858"/>
      <c r="BK15" s="859"/>
      <c r="BL15" s="840"/>
      <c r="BM15" s="765"/>
      <c r="BN15" s="852"/>
      <c r="BO15" s="853"/>
      <c r="BP15" s="846"/>
      <c r="BQ15" s="893"/>
      <c r="BR15" s="894"/>
      <c r="BS15" s="877"/>
      <c r="BT15" s="765"/>
      <c r="BU15" s="882"/>
      <c r="BV15" s="883"/>
      <c r="BW15" s="871"/>
      <c r="BX15" s="858"/>
      <c r="BY15" s="859"/>
      <c r="BZ15" s="840"/>
      <c r="CA15" s="765"/>
      <c r="CB15" s="852"/>
      <c r="CC15" s="853"/>
      <c r="CD15" s="846"/>
      <c r="CE15" s="893"/>
      <c r="CF15" s="894"/>
      <c r="CG15" s="877"/>
      <c r="CH15" s="765"/>
      <c r="CI15" s="882"/>
      <c r="CJ15" s="883"/>
      <c r="CK15" s="871"/>
      <c r="CL15" s="858"/>
      <c r="CM15" s="859"/>
      <c r="CN15" s="840"/>
    </row>
    <row r="16" spans="1:92" x14ac:dyDescent="0.25">
      <c r="A16" s="757">
        <v>8</v>
      </c>
      <c r="B16" s="765"/>
      <c r="C16" s="870" t="str">
        <f>IF($B16,$B16*TreatyCatch!BF246/SUM(TreatyCatch!$BF246:$BG246,TreatyCatch!$BI246:$BJ246),"")</f>
        <v/>
      </c>
      <c r="D16" s="870" t="str">
        <f>IF($B16,$B16*TreatyCatch!BG246/SUM(TreatyCatch!$BF246:$BG246,TreatyCatch!$BI246:$BJ246),"")</f>
        <v/>
      </c>
      <c r="E16" s="871" t="str">
        <f t="shared" si="2"/>
        <v/>
      </c>
      <c r="F16" s="838" t="str">
        <f>IF($B16,$B16*TreatyCatch!BI246/SUM(TreatyCatch!$BF246:$BG246,TreatyCatch!$BI246:$BJ246),"")</f>
        <v/>
      </c>
      <c r="G16" s="866" t="str">
        <f>IF($B16,$B16*TreatyCatch!BJ246/SUM(TreatyCatch!$BF246:$BG246,TreatyCatch!$BI246:$BJ246),"")</f>
        <v/>
      </c>
      <c r="H16" s="840" t="str">
        <f t="shared" si="3"/>
        <v/>
      </c>
      <c r="I16" s="765"/>
      <c r="J16" s="852" t="str">
        <f>IF($I16,$I16*TreatyCatch!BL246/SUM(TreatyCatch!$BL246:$BM246,TreatyCatch!$BO246:$BP246),"")</f>
        <v/>
      </c>
      <c r="K16" s="853" t="str">
        <f>IF($I16,$I16*TreatyCatch!BM246/SUM(TreatyCatch!$BL246:$BM246,TreatyCatch!$BO246:$BP246),"")</f>
        <v/>
      </c>
      <c r="L16" s="846" t="str">
        <f t="shared" si="0"/>
        <v/>
      </c>
      <c r="M16" s="893" t="str">
        <f>IF($I16,$I16*TreatyCatch!BO246/SUM(TreatyCatch!$BL246:$BM246,TreatyCatch!$BO246:$BP246),"")</f>
        <v/>
      </c>
      <c r="N16" s="894" t="str">
        <f>IF($I16,$I16*TreatyCatch!BP246/SUM(TreatyCatch!$BL246:$BM246,TreatyCatch!$BO246:$BP246),"")</f>
        <v/>
      </c>
      <c r="O16" s="877" t="str">
        <f t="shared" si="1"/>
        <v/>
      </c>
      <c r="P16" s="765"/>
      <c r="Q16" s="882" t="str">
        <f>IF($P16,$P16*TreatyCatch!BR246/SUM(TreatyCatch!$BR246:$BS246,TreatyCatch!$BU246:$BV246),"")</f>
        <v/>
      </c>
      <c r="R16" s="883" t="str">
        <f>IF($P16,$P16*TreatyCatch!BS246/SUM(TreatyCatch!$BR246:$BS246,TreatyCatch!$BU246:$BV246),"")</f>
        <v/>
      </c>
      <c r="S16" s="871" t="str">
        <f t="shared" si="4"/>
        <v/>
      </c>
      <c r="T16" s="858" t="str">
        <f>IF($P16,$P16*TreatyCatch!BU246/SUM(TreatyCatch!$BR246:$BS246,TreatyCatch!$BU246:$BV246),"")</f>
        <v/>
      </c>
      <c r="U16" s="859" t="str">
        <f>IF($P16,$P16*TreatyCatch!BV246/SUM(TreatyCatch!$BR246:$BS246,TreatyCatch!$BU246:$BV246),"")</f>
        <v/>
      </c>
      <c r="V16" s="840" t="str">
        <f t="shared" si="5"/>
        <v/>
      </c>
      <c r="W16" s="958"/>
      <c r="X16" s="852" t="str">
        <f>IF($W16,$W16*TreatyCatch!BX246/SUM(TreatyCatch!$BX246:$BY246,TreatyCatch!$CA246:$CB246),"")</f>
        <v/>
      </c>
      <c r="Y16" s="853" t="str">
        <f>IF($W16,$W16*TreatyCatch!BY246/SUM(TreatyCatch!$BX246:$BY246,TreatyCatch!$CA246:$CB246),"")</f>
        <v/>
      </c>
      <c r="Z16" s="846" t="str">
        <f t="shared" si="6"/>
        <v/>
      </c>
      <c r="AA16" s="893" t="str">
        <f>IF($W16,$W16*TreatyCatch!CA246/SUM(TreatyCatch!$BX246:$BY246,TreatyCatch!$CA246:$CB246),"")</f>
        <v/>
      </c>
      <c r="AB16" s="894" t="str">
        <f>IF($W16,$W16*TreatyCatch!CB246/SUM(TreatyCatch!$BX246:$BY246,TreatyCatch!$CA246:$CB246),"")</f>
        <v/>
      </c>
      <c r="AC16" s="877" t="str">
        <f t="shared" si="7"/>
        <v/>
      </c>
      <c r="AD16" s="958"/>
      <c r="AE16" s="1056" t="str">
        <f>IF($AD16,$AD16*TreatyCatch!CD246/SUM(TreatyCatch!$CD246:$CE246,TreatyCatch!$CG246:$CH246),"")</f>
        <v/>
      </c>
      <c r="AF16" s="1057" t="str">
        <f>IF($AD16,$AD16*TreatyCatch!CE246/SUM(TreatyCatch!$CD246:$CE246,TreatyCatch!$CG246:$CH246),"")</f>
        <v/>
      </c>
      <c r="AG16" s="1058" t="str">
        <f t="shared" si="8"/>
        <v/>
      </c>
      <c r="AH16" s="1059" t="str">
        <f>IF($AD16,$AD16*TreatyCatch!CG246/SUM(TreatyCatch!$CD246:CE246,TreatyCatch!$CG246:$CH246),"")</f>
        <v/>
      </c>
      <c r="AI16" s="1060" t="str">
        <f>IF($AD16,$AD16*TreatyCatch!CH246/SUM(TreatyCatch!$CD246:CF246,TreatyCatch!$CG246:$CH246),"")</f>
        <v/>
      </c>
      <c r="AJ16" s="1061" t="str">
        <f t="shared" si="9"/>
        <v/>
      </c>
      <c r="AK16" s="958"/>
      <c r="AL16" s="852"/>
      <c r="AM16" s="853"/>
      <c r="AN16" s="846"/>
      <c r="AO16" s="893"/>
      <c r="AP16" s="894"/>
      <c r="AQ16" s="877"/>
      <c r="AR16" s="765"/>
      <c r="AS16" s="882"/>
      <c r="AT16" s="883"/>
      <c r="AU16" s="871"/>
      <c r="AV16" s="858"/>
      <c r="AW16" s="859"/>
      <c r="AX16" s="840"/>
      <c r="AY16" s="765"/>
      <c r="AZ16" s="852"/>
      <c r="BA16" s="853"/>
      <c r="BB16" s="846"/>
      <c r="BC16" s="893"/>
      <c r="BD16" s="894"/>
      <c r="BE16" s="877"/>
      <c r="BF16" s="765"/>
      <c r="BG16" s="882"/>
      <c r="BH16" s="883"/>
      <c r="BI16" s="871"/>
      <c r="BJ16" s="858"/>
      <c r="BK16" s="859"/>
      <c r="BL16" s="840"/>
      <c r="BM16" s="765"/>
      <c r="BN16" s="852"/>
      <c r="BO16" s="853"/>
      <c r="BP16" s="846"/>
      <c r="BQ16" s="893"/>
      <c r="BR16" s="894"/>
      <c r="BS16" s="877"/>
      <c r="BT16" s="765"/>
      <c r="BU16" s="882"/>
      <c r="BV16" s="883"/>
      <c r="BW16" s="871"/>
      <c r="BX16" s="858"/>
      <c r="BY16" s="859"/>
      <c r="BZ16" s="840"/>
      <c r="CA16" s="765"/>
      <c r="CB16" s="852"/>
      <c r="CC16" s="853"/>
      <c r="CD16" s="846"/>
      <c r="CE16" s="893"/>
      <c r="CF16" s="894"/>
      <c r="CG16" s="877"/>
      <c r="CH16" s="765"/>
      <c r="CI16" s="882"/>
      <c r="CJ16" s="883"/>
      <c r="CK16" s="871"/>
      <c r="CL16" s="858"/>
      <c r="CM16" s="859"/>
      <c r="CN16" s="840"/>
    </row>
    <row r="17" spans="1:92" x14ac:dyDescent="0.25">
      <c r="A17" s="757">
        <v>9</v>
      </c>
      <c r="B17" s="765"/>
      <c r="C17" s="870" t="str">
        <f>IF($B17,$B17*TreatyCatch!BF247/SUM(TreatyCatch!$BF247:$BG247,TreatyCatch!$BI247:$BJ247),"")</f>
        <v/>
      </c>
      <c r="D17" s="870" t="str">
        <f>IF($B17,$B17*TreatyCatch!BG247/SUM(TreatyCatch!$BF247:$BG247,TreatyCatch!$BI247:$BJ247),"")</f>
        <v/>
      </c>
      <c r="E17" s="871" t="str">
        <f t="shared" si="2"/>
        <v/>
      </c>
      <c r="F17" s="838" t="str">
        <f>IF($B17,$B17*TreatyCatch!BI247/SUM(TreatyCatch!$BF247:$BG247,TreatyCatch!$BI247:$BJ247),"")</f>
        <v/>
      </c>
      <c r="G17" s="866" t="str">
        <f>IF($B17,$B17*TreatyCatch!BJ247/SUM(TreatyCatch!$BF247:$BG247,TreatyCatch!$BI247:$BJ247),"")</f>
        <v/>
      </c>
      <c r="H17" s="840" t="str">
        <f t="shared" si="3"/>
        <v/>
      </c>
      <c r="I17" s="765"/>
      <c r="J17" s="852" t="str">
        <f>IF($I17,$I17*TreatyCatch!BL247/SUM(TreatyCatch!$BL247:$BM247,TreatyCatch!$BO247:$BP247),"")</f>
        <v/>
      </c>
      <c r="K17" s="853" t="str">
        <f>IF($I17,$I17*TreatyCatch!BM247/SUM(TreatyCatch!$BL247:$BM247,TreatyCatch!$BO247:$BP247),"")</f>
        <v/>
      </c>
      <c r="L17" s="846" t="str">
        <f t="shared" si="0"/>
        <v/>
      </c>
      <c r="M17" s="893" t="str">
        <f>IF($I17,$I17*TreatyCatch!BO247/SUM(TreatyCatch!$BL247:$BM247,TreatyCatch!$BO247:$BP247),"")</f>
        <v/>
      </c>
      <c r="N17" s="894" t="str">
        <f>IF($I17,$I17*TreatyCatch!BP247/SUM(TreatyCatch!$BL247:$BM247,TreatyCatch!$BO247:$BP247),"")</f>
        <v/>
      </c>
      <c r="O17" s="877" t="str">
        <f t="shared" si="1"/>
        <v/>
      </c>
      <c r="P17" s="765"/>
      <c r="Q17" s="882" t="str">
        <f>IF($P17,$P17*TreatyCatch!BR247/SUM(TreatyCatch!$BR247:$BS247,TreatyCatch!$BU247:$BV247),"")</f>
        <v/>
      </c>
      <c r="R17" s="883" t="str">
        <f>IF($P17,$P17*TreatyCatch!BS247/SUM(TreatyCatch!$BR247:$BS247,TreatyCatch!$BU247:$BV247),"")</f>
        <v/>
      </c>
      <c r="S17" s="871" t="str">
        <f t="shared" si="4"/>
        <v/>
      </c>
      <c r="T17" s="858" t="str">
        <f>IF($P17,$P17*TreatyCatch!BU247/SUM(TreatyCatch!$BR247:$BS247,TreatyCatch!$BU247:$BV247),"")</f>
        <v/>
      </c>
      <c r="U17" s="859" t="str">
        <f>IF($P17,$P17*TreatyCatch!BV247/SUM(TreatyCatch!$BR247:$BS247,TreatyCatch!$BU247:$BV247),"")</f>
        <v/>
      </c>
      <c r="V17" s="840" t="str">
        <f t="shared" si="5"/>
        <v/>
      </c>
      <c r="W17" s="958"/>
      <c r="X17" s="852" t="str">
        <f>IF($W17,$W17*TreatyCatch!BX247/SUM(TreatyCatch!$BX247:$BY247,TreatyCatch!$CA247:$CB247),"")</f>
        <v/>
      </c>
      <c r="Y17" s="853" t="str">
        <f>IF($W17,$W17*TreatyCatch!BY247/SUM(TreatyCatch!$BX247:$BY247,TreatyCatch!$CA247:$CB247),"")</f>
        <v/>
      </c>
      <c r="Z17" s="846" t="str">
        <f t="shared" si="6"/>
        <v/>
      </c>
      <c r="AA17" s="893" t="str">
        <f>IF($W17,$W17*TreatyCatch!CA247/SUM(TreatyCatch!$BX247:$BY247,TreatyCatch!$CA247:$CB247),"")</f>
        <v/>
      </c>
      <c r="AB17" s="894" t="str">
        <f>IF($W17,$W17*TreatyCatch!CB247/SUM(TreatyCatch!$BX247:$BY247,TreatyCatch!$CA247:$CB247),"")</f>
        <v/>
      </c>
      <c r="AC17" s="877" t="str">
        <f t="shared" si="7"/>
        <v/>
      </c>
      <c r="AD17" s="958"/>
      <c r="AE17" s="1056" t="str">
        <f>IF($AD17,$AD17*TreatyCatch!CD247/SUM(TreatyCatch!$CD247:$CE247,TreatyCatch!$CG247:$CH247),"")</f>
        <v/>
      </c>
      <c r="AF17" s="1057" t="str">
        <f>IF($AD17,$AD17*TreatyCatch!CE247/SUM(TreatyCatch!$CD247:$CE247,TreatyCatch!$CG247:$CH247),"")</f>
        <v/>
      </c>
      <c r="AG17" s="1058" t="str">
        <f t="shared" si="8"/>
        <v/>
      </c>
      <c r="AH17" s="1059" t="str">
        <f>IF($AD17,$AD17*TreatyCatch!CG247/SUM(TreatyCatch!$CD247:CE247,TreatyCatch!$CG247:$CH247),"")</f>
        <v/>
      </c>
      <c r="AI17" s="1060" t="str">
        <f>IF($AD17,$AD17*TreatyCatch!CH247/SUM(TreatyCatch!$CD247:CF247,TreatyCatch!$CG247:$CH247),"")</f>
        <v/>
      </c>
      <c r="AJ17" s="1061" t="str">
        <f t="shared" si="9"/>
        <v/>
      </c>
      <c r="AK17" s="958"/>
      <c r="AL17" s="852"/>
      <c r="AM17" s="853"/>
      <c r="AN17" s="846"/>
      <c r="AO17" s="893"/>
      <c r="AP17" s="894"/>
      <c r="AQ17" s="877"/>
      <c r="AR17" s="765"/>
      <c r="AS17" s="882"/>
      <c r="AT17" s="883"/>
      <c r="AU17" s="871"/>
      <c r="AV17" s="858"/>
      <c r="AW17" s="859"/>
      <c r="AX17" s="840"/>
      <c r="AY17" s="765"/>
      <c r="AZ17" s="852"/>
      <c r="BA17" s="853"/>
      <c r="BB17" s="846"/>
      <c r="BC17" s="893"/>
      <c r="BD17" s="894"/>
      <c r="BE17" s="877"/>
      <c r="BF17" s="765"/>
      <c r="BG17" s="882"/>
      <c r="BH17" s="883"/>
      <c r="BI17" s="871"/>
      <c r="BJ17" s="858"/>
      <c r="BK17" s="859"/>
      <c r="BL17" s="840"/>
      <c r="BM17" s="765"/>
      <c r="BN17" s="852"/>
      <c r="BO17" s="853"/>
      <c r="BP17" s="846"/>
      <c r="BQ17" s="893"/>
      <c r="BR17" s="894"/>
      <c r="BS17" s="877"/>
      <c r="BT17" s="765"/>
      <c r="BU17" s="882"/>
      <c r="BV17" s="883"/>
      <c r="BW17" s="871"/>
      <c r="BX17" s="858"/>
      <c r="BY17" s="859"/>
      <c r="BZ17" s="840"/>
      <c r="CA17" s="765"/>
      <c r="CB17" s="852"/>
      <c r="CC17" s="853"/>
      <c r="CD17" s="846"/>
      <c r="CE17" s="893"/>
      <c r="CF17" s="894"/>
      <c r="CG17" s="877"/>
      <c r="CH17" s="765"/>
      <c r="CI17" s="882"/>
      <c r="CJ17" s="883"/>
      <c r="CK17" s="871"/>
      <c r="CL17" s="858"/>
      <c r="CM17" s="859"/>
      <c r="CN17" s="840"/>
    </row>
    <row r="18" spans="1:92" x14ac:dyDescent="0.25">
      <c r="A18" s="757">
        <v>10</v>
      </c>
      <c r="B18" s="765"/>
      <c r="C18" s="870" t="str">
        <f>IF($B18,$B18*TreatyCatch!BF248/SUM(TreatyCatch!$BF248:$BG248,TreatyCatch!$BI248:$BJ248),"")</f>
        <v/>
      </c>
      <c r="D18" s="870" t="str">
        <f>IF($B18,$B18*TreatyCatch!BG248/SUM(TreatyCatch!$BF248:$BG248,TreatyCatch!$BI248:$BJ248),"")</f>
        <v/>
      </c>
      <c r="E18" s="871" t="str">
        <f t="shared" si="2"/>
        <v/>
      </c>
      <c r="F18" s="838" t="str">
        <f>IF($B18,$B18*TreatyCatch!BI248/SUM(TreatyCatch!$BF248:$BG248,TreatyCatch!$BI248:$BJ248),"")</f>
        <v/>
      </c>
      <c r="G18" s="866" t="str">
        <f>IF($B18,$B18*TreatyCatch!BJ248/SUM(TreatyCatch!$BF248:$BG248,TreatyCatch!$BI248:$BJ248),"")</f>
        <v/>
      </c>
      <c r="H18" s="840" t="str">
        <f t="shared" si="3"/>
        <v/>
      </c>
      <c r="I18" s="765"/>
      <c r="J18" s="852" t="str">
        <f>IF($I18,$I18*TreatyCatch!BL248/SUM(TreatyCatch!$BL248:$BM248,TreatyCatch!$BO248:$BP248),"")</f>
        <v/>
      </c>
      <c r="K18" s="853" t="str">
        <f>IF($I18,$I18*TreatyCatch!BM248/SUM(TreatyCatch!$BL248:$BM248,TreatyCatch!$BO248:$BP248),"")</f>
        <v/>
      </c>
      <c r="L18" s="846" t="str">
        <f t="shared" si="0"/>
        <v/>
      </c>
      <c r="M18" s="893" t="str">
        <f>IF($I18,$I18*TreatyCatch!BO248/SUM(TreatyCatch!$BL248:$BM248,TreatyCatch!$BO248:$BP248),"")</f>
        <v/>
      </c>
      <c r="N18" s="894" t="str">
        <f>IF($I18,$I18*TreatyCatch!BP248/SUM(TreatyCatch!$BL248:$BM248,TreatyCatch!$BO248:$BP248),"")</f>
        <v/>
      </c>
      <c r="O18" s="877" t="str">
        <f t="shared" si="1"/>
        <v/>
      </c>
      <c r="P18" s="765"/>
      <c r="Q18" s="882" t="str">
        <f>IF($P18,$P18*TreatyCatch!BR248/SUM(TreatyCatch!$BR248:$BS248,TreatyCatch!$BU248:$BV248),"")</f>
        <v/>
      </c>
      <c r="R18" s="883" t="str">
        <f>IF($P18,$P18*TreatyCatch!BS248/SUM(TreatyCatch!$BR248:$BS248,TreatyCatch!$BU248:$BV248),"")</f>
        <v/>
      </c>
      <c r="S18" s="871" t="str">
        <f t="shared" si="4"/>
        <v/>
      </c>
      <c r="T18" s="858" t="str">
        <f>IF($P18,$P18*TreatyCatch!BU248/SUM(TreatyCatch!$BR248:$BS248,TreatyCatch!$BU248:$BV248),"")</f>
        <v/>
      </c>
      <c r="U18" s="859" t="str">
        <f>IF($P18,$P18*TreatyCatch!BV248/SUM(TreatyCatch!$BR248:$BS248,TreatyCatch!$BU248:$BV248),"")</f>
        <v/>
      </c>
      <c r="V18" s="840" t="str">
        <f t="shared" si="5"/>
        <v/>
      </c>
      <c r="W18" s="958"/>
      <c r="X18" s="852" t="str">
        <f>IF($W18,$W18*TreatyCatch!BX248/SUM(TreatyCatch!$BX248:$BY248,TreatyCatch!$CA248:$CB248),"")</f>
        <v/>
      </c>
      <c r="Y18" s="853" t="str">
        <f>IF($W18,$W18*TreatyCatch!BY248/SUM(TreatyCatch!$BX248:$BY248,TreatyCatch!$CA248:$CB248),"")</f>
        <v/>
      </c>
      <c r="Z18" s="846" t="str">
        <f t="shared" si="6"/>
        <v/>
      </c>
      <c r="AA18" s="893" t="str">
        <f>IF($W18,$W18*TreatyCatch!CA248/SUM(TreatyCatch!$BX248:$BY248,TreatyCatch!$CA248:$CB248),"")</f>
        <v/>
      </c>
      <c r="AB18" s="894" t="str">
        <f>IF($W18,$W18*TreatyCatch!CB248/SUM(TreatyCatch!$BX248:$BY248,TreatyCatch!$CA248:$CB248),"")</f>
        <v/>
      </c>
      <c r="AC18" s="877" t="str">
        <f t="shared" si="7"/>
        <v/>
      </c>
      <c r="AD18" s="958"/>
      <c r="AE18" s="1056" t="str">
        <f>IF($AD18,$AD18*TreatyCatch!CD248/SUM(TreatyCatch!$CD248:$CE248,TreatyCatch!$CG248:$CH248),"")</f>
        <v/>
      </c>
      <c r="AF18" s="1057" t="str">
        <f>IF($AD18,$AD18*TreatyCatch!CE248/SUM(TreatyCatch!$CD248:$CE248,TreatyCatch!$CG248:$CH248),"")</f>
        <v/>
      </c>
      <c r="AG18" s="1058" t="str">
        <f t="shared" si="8"/>
        <v/>
      </c>
      <c r="AH18" s="1059" t="str">
        <f>IF($AD18,$AD18*TreatyCatch!CG248/SUM(TreatyCatch!$CD248:CE248,TreatyCatch!$CG248:$CH248),"")</f>
        <v/>
      </c>
      <c r="AI18" s="1060" t="str">
        <f>IF($AD18,$AD18*TreatyCatch!CH248/SUM(TreatyCatch!$CD248:CF248,TreatyCatch!$CG248:$CH248),"")</f>
        <v/>
      </c>
      <c r="AJ18" s="1061" t="str">
        <f t="shared" si="9"/>
        <v/>
      </c>
      <c r="AK18" s="958"/>
      <c r="AL18" s="852"/>
      <c r="AM18" s="853"/>
      <c r="AN18" s="846"/>
      <c r="AO18" s="893"/>
      <c r="AP18" s="894"/>
      <c r="AQ18" s="877"/>
      <c r="AR18" s="765"/>
      <c r="AS18" s="882"/>
      <c r="AT18" s="883"/>
      <c r="AU18" s="871"/>
      <c r="AV18" s="858"/>
      <c r="AW18" s="859"/>
      <c r="AX18" s="840"/>
      <c r="AY18" s="765"/>
      <c r="AZ18" s="852"/>
      <c r="BA18" s="853"/>
      <c r="BB18" s="846"/>
      <c r="BC18" s="893"/>
      <c r="BD18" s="894"/>
      <c r="BE18" s="877"/>
      <c r="BF18" s="765"/>
      <c r="BG18" s="882"/>
      <c r="BH18" s="883"/>
      <c r="BI18" s="871"/>
      <c r="BJ18" s="858"/>
      <c r="BK18" s="859"/>
      <c r="BL18" s="840"/>
      <c r="BM18" s="765"/>
      <c r="BN18" s="852"/>
      <c r="BO18" s="853"/>
      <c r="BP18" s="846"/>
      <c r="BQ18" s="893"/>
      <c r="BR18" s="894"/>
      <c r="BS18" s="877"/>
      <c r="BT18" s="765"/>
      <c r="BU18" s="882"/>
      <c r="BV18" s="883"/>
      <c r="BW18" s="871"/>
      <c r="BX18" s="858"/>
      <c r="BY18" s="859"/>
      <c r="BZ18" s="840"/>
      <c r="CA18" s="765"/>
      <c r="CB18" s="852"/>
      <c r="CC18" s="853"/>
      <c r="CD18" s="846"/>
      <c r="CE18" s="893"/>
      <c r="CF18" s="894"/>
      <c r="CG18" s="877"/>
      <c r="CH18" s="765"/>
      <c r="CI18" s="882"/>
      <c r="CJ18" s="883"/>
      <c r="CK18" s="871"/>
      <c r="CL18" s="858"/>
      <c r="CM18" s="859"/>
      <c r="CN18" s="840"/>
    </row>
    <row r="19" spans="1:92" x14ac:dyDescent="0.25">
      <c r="A19" s="757">
        <v>11</v>
      </c>
      <c r="B19" s="765"/>
      <c r="C19" s="870" t="str">
        <f>IF($B19,$B19*TreatyCatch!BF249/SUM(TreatyCatch!$BF249:$BG249,TreatyCatch!$BI249:$BJ249),"")</f>
        <v/>
      </c>
      <c r="D19" s="870" t="str">
        <f>IF($B19,$B19*TreatyCatch!BG249/SUM(TreatyCatch!$BF249:$BG249,TreatyCatch!$BI249:$BJ249),"")</f>
        <v/>
      </c>
      <c r="E19" s="871" t="str">
        <f t="shared" si="2"/>
        <v/>
      </c>
      <c r="F19" s="838" t="str">
        <f>IF($B19,$B19*TreatyCatch!BI249/SUM(TreatyCatch!$BF249:$BG249,TreatyCatch!$BI249:$BJ249),"")</f>
        <v/>
      </c>
      <c r="G19" s="866" t="str">
        <f>IF($B19,$B19*TreatyCatch!BJ249/SUM(TreatyCatch!$BF249:$BG249,TreatyCatch!$BI249:$BJ249),"")</f>
        <v/>
      </c>
      <c r="H19" s="840" t="str">
        <f t="shared" si="3"/>
        <v/>
      </c>
      <c r="I19" s="765"/>
      <c r="J19" s="852" t="str">
        <f>IF($I19,$I19*TreatyCatch!BL249/SUM(TreatyCatch!$BL249:$BM249,TreatyCatch!$BO249:$BP249),"")</f>
        <v/>
      </c>
      <c r="K19" s="853" t="str">
        <f>IF($I19,$I19*TreatyCatch!BM249/SUM(TreatyCatch!$BL249:$BM249,TreatyCatch!$BO249:$BP249),"")</f>
        <v/>
      </c>
      <c r="L19" s="846" t="str">
        <f t="shared" si="0"/>
        <v/>
      </c>
      <c r="M19" s="893" t="str">
        <f>IF($I19,$I19*TreatyCatch!BO249/SUM(TreatyCatch!$BL249:$BM249,TreatyCatch!$BO249:$BP249),"")</f>
        <v/>
      </c>
      <c r="N19" s="894" t="str">
        <f>IF($I19,$I19*TreatyCatch!BP249/SUM(TreatyCatch!$BL249:$BM249,TreatyCatch!$BO249:$BP249),"")</f>
        <v/>
      </c>
      <c r="O19" s="877" t="str">
        <f t="shared" si="1"/>
        <v/>
      </c>
      <c r="P19" s="765"/>
      <c r="Q19" s="882" t="str">
        <f>IF($P19,$P19*TreatyCatch!BR249/SUM(TreatyCatch!$BR249:$BS249,TreatyCatch!$BU249:$BV249),"")</f>
        <v/>
      </c>
      <c r="R19" s="883" t="str">
        <f>IF($P19,$P19*TreatyCatch!BS249/SUM(TreatyCatch!$BR249:$BS249,TreatyCatch!$BU249:$BV249),"")</f>
        <v/>
      </c>
      <c r="S19" s="871" t="str">
        <f t="shared" si="4"/>
        <v/>
      </c>
      <c r="T19" s="858" t="str">
        <f>IF($P19,$P19*TreatyCatch!BU249/SUM(TreatyCatch!$BR249:$BS249,TreatyCatch!$BU249:$BV249),"")</f>
        <v/>
      </c>
      <c r="U19" s="859" t="str">
        <f>IF($P19,$P19*TreatyCatch!BV249/SUM(TreatyCatch!$BR249:$BS249,TreatyCatch!$BU249:$BV249),"")</f>
        <v/>
      </c>
      <c r="V19" s="840" t="str">
        <f t="shared" si="5"/>
        <v/>
      </c>
      <c r="W19" s="958"/>
      <c r="X19" s="852" t="str">
        <f>IF($W19,$W19*TreatyCatch!BX249/SUM(TreatyCatch!$BX249:$BY249,TreatyCatch!$CA249:$CB249),"")</f>
        <v/>
      </c>
      <c r="Y19" s="853" t="str">
        <f>IF($W19,$W19*TreatyCatch!BY249/SUM(TreatyCatch!$BX249:$BY249,TreatyCatch!$CA249:$CB249),"")</f>
        <v/>
      </c>
      <c r="Z19" s="846" t="str">
        <f t="shared" si="6"/>
        <v/>
      </c>
      <c r="AA19" s="893" t="str">
        <f>IF($W19,$W19*TreatyCatch!CA249/SUM(TreatyCatch!$BX249:$BY249,TreatyCatch!$CA249:$CB249),"")</f>
        <v/>
      </c>
      <c r="AB19" s="894" t="str">
        <f>IF($W19,$W19*TreatyCatch!CB249/SUM(TreatyCatch!$BX249:$BY249,TreatyCatch!$CA249:$CB249),"")</f>
        <v/>
      </c>
      <c r="AC19" s="877" t="str">
        <f t="shared" si="7"/>
        <v/>
      </c>
      <c r="AD19" s="958"/>
      <c r="AE19" s="1056" t="str">
        <f>IF($AD19,$AD19*TreatyCatch!CD249/SUM(TreatyCatch!$CD249:$CE249,TreatyCatch!$CG249:$CH249),"")</f>
        <v/>
      </c>
      <c r="AF19" s="1057" t="str">
        <f>IF($AD19,$AD19*TreatyCatch!CE249/SUM(TreatyCatch!$CD249:$CE249,TreatyCatch!$CG249:$CH249),"")</f>
        <v/>
      </c>
      <c r="AG19" s="1058" t="str">
        <f t="shared" si="8"/>
        <v/>
      </c>
      <c r="AH19" s="1059" t="str">
        <f>IF($AD19,$AD19*TreatyCatch!CG249/SUM(TreatyCatch!$CD249:CE249,TreatyCatch!$CG249:$CH249),"")</f>
        <v/>
      </c>
      <c r="AI19" s="1060" t="str">
        <f>IF($AD19,$AD19*TreatyCatch!CH249/SUM(TreatyCatch!$CD249:CF249,TreatyCatch!$CG249:$CH249),"")</f>
        <v/>
      </c>
      <c r="AJ19" s="1061" t="str">
        <f t="shared" si="9"/>
        <v/>
      </c>
      <c r="AK19" s="958"/>
      <c r="AL19" s="852"/>
      <c r="AM19" s="853"/>
      <c r="AN19" s="846"/>
      <c r="AO19" s="893"/>
      <c r="AP19" s="894"/>
      <c r="AQ19" s="877"/>
      <c r="AR19" s="765"/>
      <c r="AS19" s="882"/>
      <c r="AT19" s="883"/>
      <c r="AU19" s="871"/>
      <c r="AV19" s="858"/>
      <c r="AW19" s="859"/>
      <c r="AX19" s="840"/>
      <c r="AY19" s="765"/>
      <c r="AZ19" s="852"/>
      <c r="BA19" s="853"/>
      <c r="BB19" s="846"/>
      <c r="BC19" s="893"/>
      <c r="BD19" s="894"/>
      <c r="BE19" s="877"/>
      <c r="BF19" s="765"/>
      <c r="BG19" s="882"/>
      <c r="BH19" s="883"/>
      <c r="BI19" s="871"/>
      <c r="BJ19" s="858"/>
      <c r="BK19" s="859"/>
      <c r="BL19" s="840"/>
      <c r="BM19" s="765"/>
      <c r="BN19" s="852"/>
      <c r="BO19" s="853"/>
      <c r="BP19" s="846"/>
      <c r="BQ19" s="893"/>
      <c r="BR19" s="894"/>
      <c r="BS19" s="877"/>
      <c r="BT19" s="765"/>
      <c r="BU19" s="882"/>
      <c r="BV19" s="883"/>
      <c r="BW19" s="871"/>
      <c r="BX19" s="858"/>
      <c r="BY19" s="859"/>
      <c r="BZ19" s="840"/>
      <c r="CA19" s="765"/>
      <c r="CB19" s="852"/>
      <c r="CC19" s="853"/>
      <c r="CD19" s="846"/>
      <c r="CE19" s="893"/>
      <c r="CF19" s="894"/>
      <c r="CG19" s="877"/>
      <c r="CH19" s="765"/>
      <c r="CI19" s="882"/>
      <c r="CJ19" s="883"/>
      <c r="CK19" s="871"/>
      <c r="CL19" s="858"/>
      <c r="CM19" s="859"/>
      <c r="CN19" s="840"/>
    </row>
    <row r="20" spans="1:92" x14ac:dyDescent="0.25">
      <c r="A20" s="757">
        <v>12</v>
      </c>
      <c r="B20" s="765"/>
      <c r="C20" s="870" t="str">
        <f>IF($B20,$B20*TreatyCatch!BF250/SUM(TreatyCatch!$BF250:$BG250,TreatyCatch!$BI250:$BJ250),"")</f>
        <v/>
      </c>
      <c r="D20" s="870" t="str">
        <f>IF($B20,$B20*TreatyCatch!BG250/SUM(TreatyCatch!$BF250:$BG250,TreatyCatch!$BI250:$BJ250),"")</f>
        <v/>
      </c>
      <c r="E20" s="871" t="str">
        <f t="shared" si="2"/>
        <v/>
      </c>
      <c r="F20" s="838" t="str">
        <f>IF($B20,$B20*TreatyCatch!BI250/SUM(TreatyCatch!$BF250:$BG250,TreatyCatch!$BI250:$BJ250),"")</f>
        <v/>
      </c>
      <c r="G20" s="866" t="str">
        <f>IF($B20,$B20*TreatyCatch!BJ250/SUM(TreatyCatch!$BF250:$BG250,TreatyCatch!$BI250:$BJ250),"")</f>
        <v/>
      </c>
      <c r="H20" s="840" t="str">
        <f t="shared" si="3"/>
        <v/>
      </c>
      <c r="I20" s="765"/>
      <c r="J20" s="852" t="str">
        <f>IF($I20,$I20*TreatyCatch!BL250/SUM(TreatyCatch!$BL250:$BM250,TreatyCatch!$BO250:$BP250),"")</f>
        <v/>
      </c>
      <c r="K20" s="853" t="str">
        <f>IF($I20,$I20*TreatyCatch!BM250/SUM(TreatyCatch!$BL250:$BM250,TreatyCatch!$BO250:$BP250),"")</f>
        <v/>
      </c>
      <c r="L20" s="846" t="str">
        <f t="shared" si="0"/>
        <v/>
      </c>
      <c r="M20" s="893" t="str">
        <f>IF($I20,$I20*TreatyCatch!BO250/SUM(TreatyCatch!$BL250:$BM250,TreatyCatch!$BO250:$BP250),"")</f>
        <v/>
      </c>
      <c r="N20" s="894" t="str">
        <f>IF($I20,$I20*TreatyCatch!BP250/SUM(TreatyCatch!$BL250:$BM250,TreatyCatch!$BO250:$BP250),"")</f>
        <v/>
      </c>
      <c r="O20" s="877" t="str">
        <f t="shared" si="1"/>
        <v/>
      </c>
      <c r="P20" s="765"/>
      <c r="Q20" s="882" t="str">
        <f>IF($P20,$P20*TreatyCatch!BR250/SUM(TreatyCatch!$BR250:$BS250,TreatyCatch!$BU250:$BV250),"")</f>
        <v/>
      </c>
      <c r="R20" s="883" t="str">
        <f>IF($P20,$P20*TreatyCatch!BS250/SUM(TreatyCatch!$BR250:$BS250,TreatyCatch!$BU250:$BV250),"")</f>
        <v/>
      </c>
      <c r="S20" s="871" t="str">
        <f t="shared" si="4"/>
        <v/>
      </c>
      <c r="T20" s="858" t="str">
        <f>IF($P20,$P20*TreatyCatch!BU250/SUM(TreatyCatch!$BR250:$BS250,TreatyCatch!$BU250:$BV250),"")</f>
        <v/>
      </c>
      <c r="U20" s="859" t="str">
        <f>IF($P20,$P20*TreatyCatch!BV250/SUM(TreatyCatch!$BR250:$BS250,TreatyCatch!$BU250:$BV250),"")</f>
        <v/>
      </c>
      <c r="V20" s="840" t="str">
        <f t="shared" si="5"/>
        <v/>
      </c>
      <c r="W20" s="958"/>
      <c r="X20" s="852" t="str">
        <f>IF($W20,$W20*TreatyCatch!BX250/SUM(TreatyCatch!$BX250:$BY250,TreatyCatch!$CA250:$CB250),"")</f>
        <v/>
      </c>
      <c r="Y20" s="853" t="str">
        <f>IF($W20,$W20*TreatyCatch!BY250/SUM(TreatyCatch!$BX250:$BY250,TreatyCatch!$CA250:$CB250),"")</f>
        <v/>
      </c>
      <c r="Z20" s="846" t="str">
        <f t="shared" si="6"/>
        <v/>
      </c>
      <c r="AA20" s="893" t="str">
        <f>IF($W20,$W20*TreatyCatch!CA250/SUM(TreatyCatch!$BX250:$BY250,TreatyCatch!$CA250:$CB250),"")</f>
        <v/>
      </c>
      <c r="AB20" s="894" t="str">
        <f>IF($W20,$W20*TreatyCatch!CB250/SUM(TreatyCatch!$BX250:$BY250,TreatyCatch!$CA250:$CB250),"")</f>
        <v/>
      </c>
      <c r="AC20" s="877" t="str">
        <f t="shared" si="7"/>
        <v/>
      </c>
      <c r="AD20" s="958"/>
      <c r="AE20" s="1056" t="str">
        <f>IF($AD20,$AD20*TreatyCatch!CD250/SUM(TreatyCatch!$CD250:$CE250,TreatyCatch!$CG250:$CH250),"")</f>
        <v/>
      </c>
      <c r="AF20" s="1057" t="str">
        <f>IF($AD20,$AD20*TreatyCatch!CE250/SUM(TreatyCatch!$CD250:$CE250,TreatyCatch!$CG250:$CH250),"")</f>
        <v/>
      </c>
      <c r="AG20" s="1058" t="str">
        <f t="shared" si="8"/>
        <v/>
      </c>
      <c r="AH20" s="1059" t="str">
        <f>IF($AD20,$AD20*TreatyCatch!CG250/SUM(TreatyCatch!$CD250:CE250,TreatyCatch!$CG250:$CH250),"")</f>
        <v/>
      </c>
      <c r="AI20" s="1060" t="str">
        <f>IF($AD20,$AD20*TreatyCatch!CH250/SUM(TreatyCatch!$CD250:CF250,TreatyCatch!$CG250:$CH250),"")</f>
        <v/>
      </c>
      <c r="AJ20" s="1061" t="str">
        <f t="shared" si="9"/>
        <v/>
      </c>
      <c r="AK20" s="958"/>
      <c r="AL20" s="852"/>
      <c r="AM20" s="853"/>
      <c r="AN20" s="846"/>
      <c r="AO20" s="893"/>
      <c r="AP20" s="894"/>
      <c r="AQ20" s="877"/>
      <c r="AR20" s="765"/>
      <c r="AS20" s="882"/>
      <c r="AT20" s="883"/>
      <c r="AU20" s="871"/>
      <c r="AV20" s="858"/>
      <c r="AW20" s="859"/>
      <c r="AX20" s="840"/>
      <c r="AY20" s="765"/>
      <c r="AZ20" s="852"/>
      <c r="BA20" s="853"/>
      <c r="BB20" s="846"/>
      <c r="BC20" s="893"/>
      <c r="BD20" s="894"/>
      <c r="BE20" s="877"/>
      <c r="BF20" s="765"/>
      <c r="BG20" s="882"/>
      <c r="BH20" s="883"/>
      <c r="BI20" s="871"/>
      <c r="BJ20" s="858"/>
      <c r="BK20" s="859"/>
      <c r="BL20" s="840"/>
      <c r="BM20" s="765"/>
      <c r="BN20" s="852"/>
      <c r="BO20" s="853"/>
      <c r="BP20" s="846"/>
      <c r="BQ20" s="893"/>
      <c r="BR20" s="894"/>
      <c r="BS20" s="877"/>
      <c r="BT20" s="765"/>
      <c r="BU20" s="882"/>
      <c r="BV20" s="883"/>
      <c r="BW20" s="871"/>
      <c r="BX20" s="858"/>
      <c r="BY20" s="859"/>
      <c r="BZ20" s="840"/>
      <c r="CA20" s="765"/>
      <c r="CB20" s="852"/>
      <c r="CC20" s="853"/>
      <c r="CD20" s="846"/>
      <c r="CE20" s="893"/>
      <c r="CF20" s="894"/>
      <c r="CG20" s="877"/>
      <c r="CH20" s="765"/>
      <c r="CI20" s="882"/>
      <c r="CJ20" s="883"/>
      <c r="CK20" s="871"/>
      <c r="CL20" s="858"/>
      <c r="CM20" s="859"/>
      <c r="CN20" s="840"/>
    </row>
    <row r="21" spans="1:92" x14ac:dyDescent="0.25">
      <c r="A21" s="757">
        <v>13</v>
      </c>
      <c r="B21" s="765"/>
      <c r="C21" s="870" t="str">
        <f>IF($B21,$B21*TreatyCatch!BF251/SUM(TreatyCatch!$BF251:$BG251,TreatyCatch!$BI251:$BJ251),"")</f>
        <v/>
      </c>
      <c r="D21" s="870" t="str">
        <f>IF($B21,$B21*TreatyCatch!BG251/SUM(TreatyCatch!$BF251:$BG251,TreatyCatch!$BI251:$BJ251),"")</f>
        <v/>
      </c>
      <c r="E21" s="871" t="str">
        <f t="shared" si="2"/>
        <v/>
      </c>
      <c r="F21" s="838" t="str">
        <f>IF($B21,$B21*TreatyCatch!BI251/SUM(TreatyCatch!$BF251:$BG251,TreatyCatch!$BI251:$BJ251),"")</f>
        <v/>
      </c>
      <c r="G21" s="866" t="str">
        <f>IF($B21,$B21*TreatyCatch!BJ251/SUM(TreatyCatch!$BF251:$BG251,TreatyCatch!$BI251:$BJ251),"")</f>
        <v/>
      </c>
      <c r="H21" s="840" t="str">
        <f t="shared" si="3"/>
        <v/>
      </c>
      <c r="I21" s="765"/>
      <c r="J21" s="852" t="str">
        <f>IF($I21,$I21*TreatyCatch!BL251/SUM(TreatyCatch!$BL251:$BM251,TreatyCatch!$BO251:$BP251),"")</f>
        <v/>
      </c>
      <c r="K21" s="853" t="str">
        <f>IF($I21,$I21*TreatyCatch!BM251/SUM(TreatyCatch!$BL251:$BM251,TreatyCatch!$BO251:$BP251),"")</f>
        <v/>
      </c>
      <c r="L21" s="846" t="str">
        <f t="shared" si="0"/>
        <v/>
      </c>
      <c r="M21" s="893" t="str">
        <f>IF($I21,$I21*TreatyCatch!BO251/SUM(TreatyCatch!$BL251:$BM251,TreatyCatch!$BO251:$BP251),"")</f>
        <v/>
      </c>
      <c r="N21" s="894" t="str">
        <f>IF($I21,$I21*TreatyCatch!BP251/SUM(TreatyCatch!$BL251:$BM251,TreatyCatch!$BO251:$BP251),"")</f>
        <v/>
      </c>
      <c r="O21" s="877" t="str">
        <f t="shared" si="1"/>
        <v/>
      </c>
      <c r="P21" s="765"/>
      <c r="Q21" s="882" t="str">
        <f>IF($P21,$P21*TreatyCatch!BR251/SUM(TreatyCatch!$BR251:$BS251,TreatyCatch!$BU251:$BV251),"")</f>
        <v/>
      </c>
      <c r="R21" s="883" t="str">
        <f>IF($P21,$P21*TreatyCatch!BS251/SUM(TreatyCatch!$BR251:$BS251,TreatyCatch!$BU251:$BV251),"")</f>
        <v/>
      </c>
      <c r="S21" s="871" t="str">
        <f t="shared" si="4"/>
        <v/>
      </c>
      <c r="T21" s="858" t="str">
        <f>IF($P21,$P21*TreatyCatch!BU251/SUM(TreatyCatch!$BR251:$BS251,TreatyCatch!$BU251:$BV251),"")</f>
        <v/>
      </c>
      <c r="U21" s="859" t="str">
        <f>IF($P21,$P21*TreatyCatch!BV251/SUM(TreatyCatch!$BR251:$BS251,TreatyCatch!$BU251:$BV251),"")</f>
        <v/>
      </c>
      <c r="V21" s="840" t="str">
        <f t="shared" si="5"/>
        <v/>
      </c>
      <c r="W21" s="958"/>
      <c r="X21" s="852" t="str">
        <f>IF($W21,$W21*TreatyCatch!BX251/SUM(TreatyCatch!$BX251:$BY251,TreatyCatch!$CA251:$CB251),"")</f>
        <v/>
      </c>
      <c r="Y21" s="853" t="str">
        <f>IF($W21,$W21*TreatyCatch!BY251/SUM(TreatyCatch!$BX251:$BY251,TreatyCatch!$CA251:$CB251),"")</f>
        <v/>
      </c>
      <c r="Z21" s="846" t="str">
        <f t="shared" si="6"/>
        <v/>
      </c>
      <c r="AA21" s="893" t="str">
        <f>IF($W21,$W21*TreatyCatch!CA251/SUM(TreatyCatch!$BX251:$BY251,TreatyCatch!$CA251:$CB251),"")</f>
        <v/>
      </c>
      <c r="AB21" s="894" t="str">
        <f>IF($W21,$W21*TreatyCatch!CB251/SUM(TreatyCatch!$BX251:$BY251,TreatyCatch!$CA251:$CB251),"")</f>
        <v/>
      </c>
      <c r="AC21" s="877" t="str">
        <f t="shared" si="7"/>
        <v/>
      </c>
      <c r="AD21" s="958"/>
      <c r="AE21" s="1056" t="str">
        <f>IF($AD21,$AD21*TreatyCatch!CD251/SUM(TreatyCatch!$CD251:$CE251,TreatyCatch!$CG251:$CH251),"")</f>
        <v/>
      </c>
      <c r="AF21" s="1057" t="str">
        <f>IF($AD21,$AD21*TreatyCatch!CE251/SUM(TreatyCatch!$CD251:$CE251,TreatyCatch!$CG251:$CH251),"")</f>
        <v/>
      </c>
      <c r="AG21" s="1058" t="str">
        <f t="shared" si="8"/>
        <v/>
      </c>
      <c r="AH21" s="1059" t="str">
        <f>IF($AD21,$AD21*TreatyCatch!CG251/SUM(TreatyCatch!$CD251:CE251,TreatyCatch!$CG251:$CH251),"")</f>
        <v/>
      </c>
      <c r="AI21" s="1060" t="str">
        <f>IF($AD21,$AD21*TreatyCatch!CH251/SUM(TreatyCatch!$CD251:CF251,TreatyCatch!$CG251:$CH251),"")</f>
        <v/>
      </c>
      <c r="AJ21" s="1061" t="str">
        <f t="shared" si="9"/>
        <v/>
      </c>
      <c r="AK21" s="958"/>
      <c r="AL21" s="852"/>
      <c r="AM21" s="853"/>
      <c r="AN21" s="846"/>
      <c r="AO21" s="893"/>
      <c r="AP21" s="894"/>
      <c r="AQ21" s="877"/>
      <c r="AR21" s="765"/>
      <c r="AS21" s="882"/>
      <c r="AT21" s="883"/>
      <c r="AU21" s="871"/>
      <c r="AV21" s="858"/>
      <c r="AW21" s="859"/>
      <c r="AX21" s="840"/>
      <c r="AY21" s="765"/>
      <c r="AZ21" s="852"/>
      <c r="BA21" s="853"/>
      <c r="BB21" s="846"/>
      <c r="BC21" s="893"/>
      <c r="BD21" s="894"/>
      <c r="BE21" s="877"/>
      <c r="BF21" s="765"/>
      <c r="BG21" s="882"/>
      <c r="BH21" s="883"/>
      <c r="BI21" s="871"/>
      <c r="BJ21" s="858"/>
      <c r="BK21" s="859"/>
      <c r="BL21" s="840"/>
      <c r="BM21" s="765"/>
      <c r="BN21" s="852"/>
      <c r="BO21" s="853"/>
      <c r="BP21" s="846"/>
      <c r="BQ21" s="893"/>
      <c r="BR21" s="894"/>
      <c r="BS21" s="877"/>
      <c r="BT21" s="765"/>
      <c r="BU21" s="882"/>
      <c r="BV21" s="883"/>
      <c r="BW21" s="871"/>
      <c r="BX21" s="858"/>
      <c r="BY21" s="859"/>
      <c r="BZ21" s="840"/>
      <c r="CA21" s="765"/>
      <c r="CB21" s="852"/>
      <c r="CC21" s="853"/>
      <c r="CD21" s="846"/>
      <c r="CE21" s="893"/>
      <c r="CF21" s="894"/>
      <c r="CG21" s="877"/>
      <c r="CH21" s="765"/>
      <c r="CI21" s="882"/>
      <c r="CJ21" s="883"/>
      <c r="CK21" s="871"/>
      <c r="CL21" s="858"/>
      <c r="CM21" s="859"/>
      <c r="CN21" s="840"/>
    </row>
    <row r="22" spans="1:92" x14ac:dyDescent="0.25">
      <c r="A22" s="757">
        <v>14</v>
      </c>
      <c r="B22" s="765"/>
      <c r="C22" s="870" t="str">
        <f>IF($B22,$B22*TreatyCatch!BF252/SUM(TreatyCatch!$BF252:$BG252,TreatyCatch!$BI252:$BJ252),"")</f>
        <v/>
      </c>
      <c r="D22" s="870" t="str">
        <f>IF($B22,$B22*TreatyCatch!BG252/SUM(TreatyCatch!$BF252:$BG252,TreatyCatch!$BI252:$BJ252),"")</f>
        <v/>
      </c>
      <c r="E22" s="871" t="str">
        <f t="shared" si="2"/>
        <v/>
      </c>
      <c r="F22" s="838" t="str">
        <f>IF($B22,$B22*TreatyCatch!BI252/SUM(TreatyCatch!$BF252:$BG252,TreatyCatch!$BI252:$BJ252),"")</f>
        <v/>
      </c>
      <c r="G22" s="866" t="str">
        <f>IF($B22,$B22*TreatyCatch!BJ252/SUM(TreatyCatch!$BF252:$BG252,TreatyCatch!$BI252:$BJ252),"")</f>
        <v/>
      </c>
      <c r="H22" s="840" t="str">
        <f t="shared" si="3"/>
        <v/>
      </c>
      <c r="I22" s="765"/>
      <c r="J22" s="852" t="str">
        <f>IF($I22,$I22*TreatyCatch!BL252/SUM(TreatyCatch!$BL252:$BM252,TreatyCatch!$BO252:$BP252),"")</f>
        <v/>
      </c>
      <c r="K22" s="853" t="str">
        <f>IF($I22,$I22*TreatyCatch!BM252/SUM(TreatyCatch!$BL252:$BM252,TreatyCatch!$BO252:$BP252),"")</f>
        <v/>
      </c>
      <c r="L22" s="846" t="str">
        <f t="shared" si="0"/>
        <v/>
      </c>
      <c r="M22" s="893" t="str">
        <f>IF($I22,$I22*TreatyCatch!BO252/SUM(TreatyCatch!$BL252:$BM252,TreatyCatch!$BO252:$BP252),"")</f>
        <v/>
      </c>
      <c r="N22" s="894" t="str">
        <f>IF($I22,$I22*TreatyCatch!BP252/SUM(TreatyCatch!$BL252:$BM252,TreatyCatch!$BO252:$BP252),"")</f>
        <v/>
      </c>
      <c r="O22" s="877" t="str">
        <f t="shared" si="1"/>
        <v/>
      </c>
      <c r="P22" s="765"/>
      <c r="Q22" s="882" t="str">
        <f>IF($P22,$P22*TreatyCatch!BR252/SUM(TreatyCatch!$BR252:$BS252,TreatyCatch!$BU252:$BV252),"")</f>
        <v/>
      </c>
      <c r="R22" s="883" t="str">
        <f>IF($P22,$P22*TreatyCatch!BS252/SUM(TreatyCatch!$BR252:$BS252,TreatyCatch!$BU252:$BV252),"")</f>
        <v/>
      </c>
      <c r="S22" s="871" t="str">
        <f t="shared" si="4"/>
        <v/>
      </c>
      <c r="T22" s="858" t="str">
        <f>IF($P22,$P22*TreatyCatch!BU252/SUM(TreatyCatch!$BR252:$BS252,TreatyCatch!$BU252:$BV252),"")</f>
        <v/>
      </c>
      <c r="U22" s="859" t="str">
        <f>IF($P22,$P22*TreatyCatch!BV252/SUM(TreatyCatch!$BR252:$BS252,TreatyCatch!$BU252:$BV252),"")</f>
        <v/>
      </c>
      <c r="V22" s="840" t="str">
        <f t="shared" si="5"/>
        <v/>
      </c>
      <c r="W22" s="958"/>
      <c r="X22" s="852" t="str">
        <f>IF($W22,$W22*TreatyCatch!BX252/SUM(TreatyCatch!$BX252:$BY252,TreatyCatch!$CA252:$CB252),"")</f>
        <v/>
      </c>
      <c r="Y22" s="853" t="str">
        <f>IF($W22,$W22*TreatyCatch!BY252/SUM(TreatyCatch!$BX252:$BY252,TreatyCatch!$CA252:$CB252),"")</f>
        <v/>
      </c>
      <c r="Z22" s="846" t="str">
        <f t="shared" si="6"/>
        <v/>
      </c>
      <c r="AA22" s="893" t="str">
        <f>IF($W22,$W22*TreatyCatch!CA252/SUM(TreatyCatch!$BX252:$BY252,TreatyCatch!$CA252:$CB252),"")</f>
        <v/>
      </c>
      <c r="AB22" s="894" t="str">
        <f>IF($W22,$W22*TreatyCatch!CB252/SUM(TreatyCatch!$BX252:$BY252,TreatyCatch!$CA252:$CB252),"")</f>
        <v/>
      </c>
      <c r="AC22" s="877" t="str">
        <f t="shared" si="7"/>
        <v/>
      </c>
      <c r="AD22" s="958"/>
      <c r="AE22" s="1056" t="str">
        <f>IF($AD22,$AD22*TreatyCatch!CD252/SUM(TreatyCatch!$CD252:$CE252,TreatyCatch!$CG252:$CH252),"")</f>
        <v/>
      </c>
      <c r="AF22" s="1057" t="str">
        <f>IF($AD22,$AD22*TreatyCatch!CE252/SUM(TreatyCatch!$CD252:$CE252,TreatyCatch!$CG252:$CH252),"")</f>
        <v/>
      </c>
      <c r="AG22" s="1058" t="str">
        <f t="shared" si="8"/>
        <v/>
      </c>
      <c r="AH22" s="1059" t="str">
        <f>IF($AD22,$AD22*TreatyCatch!CG252/SUM(TreatyCatch!$CD252:CE252,TreatyCatch!$CG252:$CH252),"")</f>
        <v/>
      </c>
      <c r="AI22" s="1060" t="str">
        <f>IF($AD22,$AD22*TreatyCatch!CH252/SUM(TreatyCatch!$CD252:CF252,TreatyCatch!$CG252:$CH252),"")</f>
        <v/>
      </c>
      <c r="AJ22" s="1061" t="str">
        <f t="shared" si="9"/>
        <v/>
      </c>
      <c r="AK22" s="958"/>
      <c r="AL22" s="852"/>
      <c r="AM22" s="853"/>
      <c r="AN22" s="846"/>
      <c r="AO22" s="893"/>
      <c r="AP22" s="894"/>
      <c r="AQ22" s="877"/>
      <c r="AR22" s="765"/>
      <c r="AS22" s="882"/>
      <c r="AT22" s="883"/>
      <c r="AU22" s="871"/>
      <c r="AV22" s="858"/>
      <c r="AW22" s="859"/>
      <c r="AX22" s="840"/>
      <c r="AY22" s="765"/>
      <c r="AZ22" s="852"/>
      <c r="BA22" s="853"/>
      <c r="BB22" s="846"/>
      <c r="BC22" s="893"/>
      <c r="BD22" s="894"/>
      <c r="BE22" s="877"/>
      <c r="BF22" s="765"/>
      <c r="BG22" s="882"/>
      <c r="BH22" s="883"/>
      <c r="BI22" s="871"/>
      <c r="BJ22" s="858"/>
      <c r="BK22" s="859"/>
      <c r="BL22" s="840"/>
      <c r="BM22" s="765"/>
      <c r="BN22" s="852"/>
      <c r="BO22" s="853"/>
      <c r="BP22" s="846"/>
      <c r="BQ22" s="893"/>
      <c r="BR22" s="894"/>
      <c r="BS22" s="877"/>
      <c r="BT22" s="765"/>
      <c r="BU22" s="882"/>
      <c r="BV22" s="883"/>
      <c r="BW22" s="871"/>
      <c r="BX22" s="858"/>
      <c r="BY22" s="859"/>
      <c r="BZ22" s="840"/>
      <c r="CA22" s="765"/>
      <c r="CB22" s="852"/>
      <c r="CC22" s="853"/>
      <c r="CD22" s="846"/>
      <c r="CE22" s="893"/>
      <c r="CF22" s="894"/>
      <c r="CG22" s="877"/>
      <c r="CH22" s="765"/>
      <c r="CI22" s="882"/>
      <c r="CJ22" s="883"/>
      <c r="CK22" s="871"/>
      <c r="CL22" s="858"/>
      <c r="CM22" s="859"/>
      <c r="CN22" s="840"/>
    </row>
    <row r="23" spans="1:92" x14ac:dyDescent="0.25">
      <c r="A23" s="757">
        <v>15</v>
      </c>
      <c r="B23" s="765"/>
      <c r="C23" s="870" t="str">
        <f>IF($B23,$B23*TreatyCatch!BF253/SUM(TreatyCatch!$BF253:$BG253,TreatyCatch!$BI253:$BJ253),"")</f>
        <v/>
      </c>
      <c r="D23" s="870" t="str">
        <f>IF($B23,$B23*TreatyCatch!BG253/SUM(TreatyCatch!$BF253:$BG253,TreatyCatch!$BI253:$BJ253),"")</f>
        <v/>
      </c>
      <c r="E23" s="871" t="str">
        <f t="shared" si="2"/>
        <v/>
      </c>
      <c r="F23" s="838" t="str">
        <f>IF($B23,$B23*TreatyCatch!BI253/SUM(TreatyCatch!$BF253:$BG253,TreatyCatch!$BI253:$BJ253),"")</f>
        <v/>
      </c>
      <c r="G23" s="866" t="str">
        <f>IF($B23,$B23*TreatyCatch!BJ253/SUM(TreatyCatch!$BF253:$BG253,TreatyCatch!$BI253:$BJ253),"")</f>
        <v/>
      </c>
      <c r="H23" s="840" t="str">
        <f t="shared" si="3"/>
        <v/>
      </c>
      <c r="I23" s="765"/>
      <c r="J23" s="852" t="str">
        <f>IF($I23,$I23*TreatyCatch!BL253/SUM(TreatyCatch!$BL253:$BM253,TreatyCatch!$BO253:$BP253),"")</f>
        <v/>
      </c>
      <c r="K23" s="853" t="str">
        <f>IF($I23,$I23*TreatyCatch!BM253/SUM(TreatyCatch!$BL253:$BM253,TreatyCatch!$BO253:$BP253),"")</f>
        <v/>
      </c>
      <c r="L23" s="846" t="str">
        <f t="shared" si="0"/>
        <v/>
      </c>
      <c r="M23" s="893" t="str">
        <f>IF($I23,$I23*TreatyCatch!BO253/SUM(TreatyCatch!$BL253:$BM253,TreatyCatch!$BO253:$BP253),"")</f>
        <v/>
      </c>
      <c r="N23" s="894" t="str">
        <f>IF($I23,$I23*TreatyCatch!BP253/SUM(TreatyCatch!$BL253:$BM253,TreatyCatch!$BO253:$BP253),"")</f>
        <v/>
      </c>
      <c r="O23" s="957" t="str">
        <f t="shared" si="1"/>
        <v/>
      </c>
      <c r="P23" s="958"/>
      <c r="Q23" s="959" t="str">
        <f>IF($P23,$P23*TreatyCatch!BR253/SUM(TreatyCatch!$BR253:$BS253,TreatyCatch!$BU253:$BV253),"")</f>
        <v/>
      </c>
      <c r="R23" s="960" t="str">
        <f>IF($P23,$P23*TreatyCatch!BS253/SUM(TreatyCatch!$BR253:$BS253,TreatyCatch!$BU253:$BV253),"")</f>
        <v/>
      </c>
      <c r="S23" s="901" t="str">
        <f t="shared" si="4"/>
        <v/>
      </c>
      <c r="T23" s="961" t="str">
        <f>IF($P23,$P23*TreatyCatch!BU253/SUM(TreatyCatch!$BR253:$BS253,TreatyCatch!$BU253:$BV253),"")</f>
        <v/>
      </c>
      <c r="U23" s="962" t="str">
        <f>IF($P23,$P23*TreatyCatch!BV253/SUM(TreatyCatch!$BR253:$BS253,TreatyCatch!$BU253:$BV253),"")</f>
        <v/>
      </c>
      <c r="V23" s="925" t="str">
        <f t="shared" si="5"/>
        <v/>
      </c>
      <c r="W23" s="958"/>
      <c r="X23" s="852" t="str">
        <f>IF($W23,$W23*TreatyCatch!BX253/SUM(TreatyCatch!$BX253:$BY253,TreatyCatch!$CA253:$CB253),"")</f>
        <v/>
      </c>
      <c r="Y23" s="853" t="str">
        <f>IF($W23,$W23*TreatyCatch!BY253/SUM(TreatyCatch!$BX253:$BY253,TreatyCatch!$CA253:$CB253),"")</f>
        <v/>
      </c>
      <c r="Z23" s="846" t="str">
        <f t="shared" si="6"/>
        <v/>
      </c>
      <c r="AA23" s="893" t="str">
        <f>IF($W23,$W23*TreatyCatch!CA253/SUM(TreatyCatch!$BX253:$BY253,TreatyCatch!$CA253:$CB253),"")</f>
        <v/>
      </c>
      <c r="AB23" s="894" t="str">
        <f>IF($W23,$W23*TreatyCatch!CB253/SUM(TreatyCatch!$BX253:$BY253,TreatyCatch!$CA253:$CB253),"")</f>
        <v/>
      </c>
      <c r="AC23" s="957" t="str">
        <f t="shared" si="7"/>
        <v/>
      </c>
      <c r="AD23" s="958"/>
      <c r="AE23" s="1056" t="str">
        <f>IF($AD23,$AD23*TreatyCatch!CD253/SUM(TreatyCatch!$CD253:$CE253,TreatyCatch!$CG253:$CH253),"")</f>
        <v/>
      </c>
      <c r="AF23" s="1057" t="str">
        <f>IF($AD23,$AD23*TreatyCatch!CE253/SUM(TreatyCatch!$CD253:$CE253,TreatyCatch!$CG253:$CH253),"")</f>
        <v/>
      </c>
      <c r="AG23" s="1058" t="str">
        <f t="shared" si="8"/>
        <v/>
      </c>
      <c r="AH23" s="1059" t="str">
        <f>IF($AD23,$AD23*TreatyCatch!CG253/SUM(TreatyCatch!$CD253:CE253,TreatyCatch!$CG253:$CH253),"")</f>
        <v/>
      </c>
      <c r="AI23" s="1060" t="str">
        <f>IF($AD23,$AD23*TreatyCatch!CH253/SUM(TreatyCatch!$CD253:CF253,TreatyCatch!$CG253:$CH253),"")</f>
        <v/>
      </c>
      <c r="AJ23" s="1061" t="str">
        <f t="shared" si="9"/>
        <v/>
      </c>
      <c r="AK23" s="958"/>
      <c r="AL23" s="852"/>
      <c r="AM23" s="853"/>
      <c r="AN23" s="846"/>
      <c r="AO23" s="893"/>
      <c r="AP23" s="894"/>
      <c r="AQ23" s="957"/>
      <c r="AR23" s="958"/>
      <c r="AS23" s="959"/>
      <c r="AT23" s="960"/>
      <c r="AU23" s="901"/>
      <c r="AV23" s="961"/>
      <c r="AW23" s="962"/>
      <c r="AX23" s="925"/>
      <c r="AY23" s="958"/>
      <c r="AZ23" s="852"/>
      <c r="BA23" s="853"/>
      <c r="BB23" s="846"/>
      <c r="BC23" s="893"/>
      <c r="BD23" s="894"/>
      <c r="BE23" s="957"/>
      <c r="BF23" s="958"/>
      <c r="BG23" s="959"/>
      <c r="BH23" s="960"/>
      <c r="BI23" s="901"/>
      <c r="BJ23" s="961"/>
      <c r="BK23" s="962"/>
      <c r="BL23" s="925"/>
      <c r="BM23" s="958"/>
      <c r="BN23" s="852"/>
      <c r="BO23" s="853"/>
      <c r="BP23" s="846"/>
      <c r="BQ23" s="893"/>
      <c r="BR23" s="894"/>
      <c r="BS23" s="957"/>
      <c r="BT23" s="958"/>
      <c r="BU23" s="959"/>
      <c r="BV23" s="960"/>
      <c r="BW23" s="901"/>
      <c r="BX23" s="961"/>
      <c r="BY23" s="962"/>
      <c r="BZ23" s="925"/>
      <c r="CA23" s="958"/>
      <c r="CB23" s="852"/>
      <c r="CC23" s="853"/>
      <c r="CD23" s="846"/>
      <c r="CE23" s="893"/>
      <c r="CF23" s="894"/>
      <c r="CG23" s="957"/>
      <c r="CH23" s="958"/>
      <c r="CI23" s="959"/>
      <c r="CJ23" s="960"/>
      <c r="CK23" s="901"/>
      <c r="CL23" s="961"/>
      <c r="CM23" s="962"/>
      <c r="CN23" s="925"/>
    </row>
    <row r="24" spans="1:92" x14ac:dyDescent="0.25">
      <c r="A24" s="757">
        <v>16</v>
      </c>
      <c r="B24" s="765"/>
      <c r="C24" s="870" t="str">
        <f>IF($B24,$B24*TreatyCatch!BF254/SUM(TreatyCatch!$BF254:$BG254,TreatyCatch!$BI254:$BJ254),"")</f>
        <v/>
      </c>
      <c r="D24" s="870" t="str">
        <f>IF($B24,$B24*TreatyCatch!BG254/SUM(TreatyCatch!$BF254:$BG254,TreatyCatch!$BI254:$BJ254),"")</f>
        <v/>
      </c>
      <c r="E24" s="871" t="str">
        <f t="shared" si="2"/>
        <v/>
      </c>
      <c r="F24" s="838" t="str">
        <f>IF($B24,$B24*TreatyCatch!BI254/SUM(TreatyCatch!$BF254:$BG254,TreatyCatch!$BI254:$BJ254),"")</f>
        <v/>
      </c>
      <c r="G24" s="866" t="str">
        <f>IF($B24,$B24*TreatyCatch!BJ254/SUM(TreatyCatch!$BF254:$BG254,TreatyCatch!$BI254:$BJ254),"")</f>
        <v/>
      </c>
      <c r="H24" s="840" t="str">
        <f t="shared" si="3"/>
        <v/>
      </c>
      <c r="I24" s="765"/>
      <c r="J24" s="852" t="str">
        <f>IF($I24,$I24*TreatyCatch!BL254/SUM(TreatyCatch!$BL254:$BM254,TreatyCatch!$BO254:$BP254),"")</f>
        <v/>
      </c>
      <c r="K24" s="853" t="str">
        <f>IF($I24,$I24*TreatyCatch!BM254/SUM(TreatyCatch!$BL254:$BM254,TreatyCatch!$BO254:$BP254),"")</f>
        <v/>
      </c>
      <c r="L24" s="846" t="str">
        <f t="shared" si="0"/>
        <v/>
      </c>
      <c r="M24" s="893" t="str">
        <f>IF($I24,$I24*TreatyCatch!BO254/SUM(TreatyCatch!$BL254:$BM254,TreatyCatch!$BO254:$BP254),"")</f>
        <v/>
      </c>
      <c r="N24" s="894" t="str">
        <f>IF($I24,$I24*TreatyCatch!BP254/SUM(TreatyCatch!$BL254:$BM254,TreatyCatch!$BO254:$BP254),"")</f>
        <v/>
      </c>
      <c r="O24" s="957" t="str">
        <f t="shared" si="1"/>
        <v/>
      </c>
      <c r="P24" s="958"/>
      <c r="Q24" s="959" t="str">
        <f>IF($P24,$P24*TreatyCatch!BR254/SUM(TreatyCatch!$BR254:$BS254,TreatyCatch!$BU254:$BV254),"")</f>
        <v/>
      </c>
      <c r="R24" s="960" t="str">
        <f>IF($P24,$P24*TreatyCatch!BS254/SUM(TreatyCatch!$BR254:$BS254,TreatyCatch!$BU254:$BV254),"")</f>
        <v/>
      </c>
      <c r="S24" s="901" t="str">
        <f t="shared" si="4"/>
        <v/>
      </c>
      <c r="T24" s="961" t="str">
        <f>IF($P24,$P24*TreatyCatch!BU254/SUM(TreatyCatch!$BR254:$BS254,TreatyCatch!$BU254:$BV254),"")</f>
        <v/>
      </c>
      <c r="U24" s="962" t="str">
        <f>IF($P24,$P24*TreatyCatch!BV254/SUM(TreatyCatch!$BR254:$BS254,TreatyCatch!$BU254:$BV254),"")</f>
        <v/>
      </c>
      <c r="V24" s="925" t="str">
        <f t="shared" si="5"/>
        <v/>
      </c>
      <c r="W24" s="958"/>
      <c r="X24" s="852" t="str">
        <f>IF($W24,$W24*TreatyCatch!BX254/SUM(TreatyCatch!$BX254:$BY254,TreatyCatch!$CA254:$CB254),"")</f>
        <v/>
      </c>
      <c r="Y24" s="853" t="str">
        <f>IF($W24,$W24*TreatyCatch!BY254/SUM(TreatyCatch!$BX254:$BY254,TreatyCatch!$CA254:$CB254),"")</f>
        <v/>
      </c>
      <c r="Z24" s="846" t="str">
        <f t="shared" si="6"/>
        <v/>
      </c>
      <c r="AA24" s="893" t="str">
        <f>IF($W24,$W24*TreatyCatch!CA254/SUM(TreatyCatch!$BX254:$BY254,TreatyCatch!$CA254:$CB254),"")</f>
        <v/>
      </c>
      <c r="AB24" s="894" t="str">
        <f>IF($W24,$W24*TreatyCatch!CB254/SUM(TreatyCatch!$BX254:$BY254,TreatyCatch!$CA254:$CB254),"")</f>
        <v/>
      </c>
      <c r="AC24" s="957" t="str">
        <f t="shared" si="7"/>
        <v/>
      </c>
      <c r="AD24" s="958"/>
      <c r="AE24" s="1056" t="str">
        <f>IF($AD24,$AD24*TreatyCatch!CD254/SUM(TreatyCatch!$CD254:$CE254,TreatyCatch!$CG254:$CH254),"")</f>
        <v/>
      </c>
      <c r="AF24" s="1057" t="str">
        <f>IF($AD24,$AD24*TreatyCatch!CE254/SUM(TreatyCatch!$CD254:$CE254,TreatyCatch!$CG254:$CH254),"")</f>
        <v/>
      </c>
      <c r="AG24" s="1058" t="str">
        <f t="shared" si="8"/>
        <v/>
      </c>
      <c r="AH24" s="1059" t="str">
        <f>IF($AD24,$AD24*TreatyCatch!CG254/SUM(TreatyCatch!$CD254:CE254,TreatyCatch!$CG254:$CH254),"")</f>
        <v/>
      </c>
      <c r="AI24" s="1060" t="str">
        <f>IF($AD24,$AD24*TreatyCatch!CH254/SUM(TreatyCatch!$CD254:CF254,TreatyCatch!$CG254:$CH254),"")</f>
        <v/>
      </c>
      <c r="AJ24" s="1061" t="str">
        <f t="shared" si="9"/>
        <v/>
      </c>
      <c r="AK24" s="958"/>
      <c r="AL24" s="852"/>
      <c r="AM24" s="853"/>
      <c r="AN24" s="846"/>
      <c r="AO24" s="893"/>
      <c r="AP24" s="894"/>
      <c r="AQ24" s="957"/>
      <c r="AR24" s="958"/>
      <c r="AS24" s="959"/>
      <c r="AT24" s="960"/>
      <c r="AU24" s="901"/>
      <c r="AV24" s="961"/>
      <c r="AW24" s="962"/>
      <c r="AX24" s="925"/>
      <c r="AY24" s="958"/>
      <c r="AZ24" s="852"/>
      <c r="BA24" s="853"/>
      <c r="BB24" s="846"/>
      <c r="BC24" s="893"/>
      <c r="BD24" s="894"/>
      <c r="BE24" s="957"/>
      <c r="BF24" s="958"/>
      <c r="BG24" s="959"/>
      <c r="BH24" s="960"/>
      <c r="BI24" s="901"/>
      <c r="BJ24" s="961"/>
      <c r="BK24" s="962"/>
      <c r="BL24" s="925"/>
      <c r="BM24" s="958"/>
      <c r="BN24" s="852"/>
      <c r="BO24" s="853"/>
      <c r="BP24" s="846"/>
      <c r="BQ24" s="893"/>
      <c r="BR24" s="894"/>
      <c r="BS24" s="957"/>
      <c r="BT24" s="958"/>
      <c r="BU24" s="959"/>
      <c r="BV24" s="960"/>
      <c r="BW24" s="901"/>
      <c r="BX24" s="961"/>
      <c r="BY24" s="962"/>
      <c r="BZ24" s="925"/>
      <c r="CA24" s="958"/>
      <c r="CB24" s="852"/>
      <c r="CC24" s="853"/>
      <c r="CD24" s="846"/>
      <c r="CE24" s="893"/>
      <c r="CF24" s="894"/>
      <c r="CG24" s="957"/>
      <c r="CH24" s="958"/>
      <c r="CI24" s="959"/>
      <c r="CJ24" s="960"/>
      <c r="CK24" s="901"/>
      <c r="CL24" s="961"/>
      <c r="CM24" s="962"/>
      <c r="CN24" s="925"/>
    </row>
    <row r="25" spans="1:92" x14ac:dyDescent="0.25">
      <c r="A25" s="758">
        <v>17</v>
      </c>
      <c r="B25" s="766"/>
      <c r="C25" s="872" t="str">
        <f>IF($B25,$B25*TreatyCatch!BF255/SUM(TreatyCatch!$BF255:$BG255,TreatyCatch!$BI255:$BJ255),"")</f>
        <v/>
      </c>
      <c r="D25" s="872" t="str">
        <f>IF($B25,$B25*TreatyCatch!BG255/SUM(TreatyCatch!$BF255:$BG255,TreatyCatch!$BI255:$BJ255),"")</f>
        <v/>
      </c>
      <c r="E25" s="873" t="str">
        <f t="shared" si="2"/>
        <v/>
      </c>
      <c r="F25" s="843" t="str">
        <f>IF($B25,$B25*TreatyCatch!BI255/SUM(TreatyCatch!$BF255:$BG255,TreatyCatch!$BI255:$BJ255),"")</f>
        <v/>
      </c>
      <c r="G25" s="867" t="str">
        <f>IF($B25,$B25*TreatyCatch!BJ255/SUM(TreatyCatch!$BF255:$BG255,TreatyCatch!$BI255:$BJ255),"")</f>
        <v/>
      </c>
      <c r="H25" s="841" t="str">
        <f t="shared" si="3"/>
        <v/>
      </c>
      <c r="I25" s="766"/>
      <c r="J25" s="854" t="str">
        <f>IF($I25,$I25*TreatyCatch!BL255/SUM(TreatyCatch!$BL255:$BM255,TreatyCatch!$BO255:$BP255),"")</f>
        <v/>
      </c>
      <c r="K25" s="855" t="str">
        <f>IF($I25,$I25*TreatyCatch!BM255/SUM(TreatyCatch!$BL255:$BM255,TreatyCatch!$BO255:$BP255),"")</f>
        <v/>
      </c>
      <c r="L25" s="847" t="str">
        <f t="shared" si="0"/>
        <v/>
      </c>
      <c r="M25" s="895" t="str">
        <f>IF($I25,$I25*TreatyCatch!BO255/SUM(TreatyCatch!$BL255:$BM255,TreatyCatch!$BO255:$BP255),"")</f>
        <v/>
      </c>
      <c r="N25" s="896" t="str">
        <f>IF($I25,$I25*TreatyCatch!BP255/SUM(TreatyCatch!$BL255:$BM255,TreatyCatch!$BO255:$BP255),"")</f>
        <v/>
      </c>
      <c r="O25" s="963" t="str">
        <f t="shared" si="1"/>
        <v/>
      </c>
      <c r="P25" s="964"/>
      <c r="Q25" s="965" t="str">
        <f>IF($P25,$P25*TreatyCatch!BR255/SUM(TreatyCatch!$BR255:$BS255,TreatyCatch!$BU255:$BV255),"")</f>
        <v/>
      </c>
      <c r="R25" s="966" t="str">
        <f>IF($P25,$P25*TreatyCatch!BS255/SUM(TreatyCatch!$BR255:$BS255,TreatyCatch!$BU255:$BV255),"")</f>
        <v/>
      </c>
      <c r="S25" s="902" t="str">
        <f t="shared" si="4"/>
        <v/>
      </c>
      <c r="T25" s="967" t="str">
        <f>IF($P25,$P25*TreatyCatch!BU255/SUM(TreatyCatch!$BR255:$BS255,TreatyCatch!$BU255:$BV255),"")</f>
        <v/>
      </c>
      <c r="U25" s="968" t="str">
        <f>IF($P25,$P25*TreatyCatch!BV255/SUM(TreatyCatch!$BR255:$BS255,TreatyCatch!$BU255:$BV255),"")</f>
        <v/>
      </c>
      <c r="V25" s="926" t="str">
        <f t="shared" si="5"/>
        <v/>
      </c>
      <c r="W25" s="964"/>
      <c r="X25" s="854" t="str">
        <f>IF($W25,$W25*TreatyCatch!BX255/SUM(TreatyCatch!$BX255:$BY255,TreatyCatch!$CA255:$CB255),"")</f>
        <v/>
      </c>
      <c r="Y25" s="855" t="str">
        <f>IF($W25,$W25*TreatyCatch!BY255/SUM(TreatyCatch!$BX255:$BY255,TreatyCatch!$CA255:$CB255),"")</f>
        <v/>
      </c>
      <c r="Z25" s="847" t="str">
        <f t="shared" si="6"/>
        <v/>
      </c>
      <c r="AA25" s="895" t="str">
        <f>IF($W25,$W25*TreatyCatch!CA255/SUM(TreatyCatch!$BX255:$BY255,TreatyCatch!$CA255:$CB255),"")</f>
        <v/>
      </c>
      <c r="AB25" s="896" t="str">
        <f>IF($W25,$W25*TreatyCatch!CB255/SUM(TreatyCatch!$BX255:$BY255,TreatyCatch!$CA255:$CB255),"")</f>
        <v/>
      </c>
      <c r="AC25" s="963" t="str">
        <f t="shared" si="7"/>
        <v/>
      </c>
      <c r="AD25" s="964"/>
      <c r="AE25" s="1062" t="str">
        <f>IF($AD25,$AD25*TreatyCatch!CD255/SUM(TreatyCatch!$CD255:$CE255,TreatyCatch!$CG255:$CH255),"")</f>
        <v/>
      </c>
      <c r="AF25" s="1063" t="str">
        <f>IF($AD25,$AD25*TreatyCatch!CE255/SUM(TreatyCatch!$CD255:$CE255,TreatyCatch!$CG255:$CH255),"")</f>
        <v/>
      </c>
      <c r="AG25" s="1064" t="str">
        <f t="shared" si="8"/>
        <v/>
      </c>
      <c r="AH25" s="1065" t="str">
        <f>IF($AD25,$AD25*TreatyCatch!CG255/SUM(TreatyCatch!$CD255:CE255,TreatyCatch!$CG255:$CH255),"")</f>
        <v/>
      </c>
      <c r="AI25" s="1066" t="str">
        <f>IF($AD25,$AD25*TreatyCatch!CH255/SUM(TreatyCatch!$CD255:CF255,TreatyCatch!$CG255:$CH255),"")</f>
        <v/>
      </c>
      <c r="AJ25" s="1067" t="str">
        <f t="shared" si="9"/>
        <v/>
      </c>
      <c r="AK25" s="964"/>
      <c r="AL25" s="854"/>
      <c r="AM25" s="855"/>
      <c r="AN25" s="847"/>
      <c r="AO25" s="895"/>
      <c r="AP25" s="896"/>
      <c r="AQ25" s="963"/>
      <c r="AR25" s="964"/>
      <c r="AS25" s="965"/>
      <c r="AT25" s="966"/>
      <c r="AU25" s="902"/>
      <c r="AV25" s="967"/>
      <c r="AW25" s="968"/>
      <c r="AX25" s="926"/>
      <c r="AY25" s="964"/>
      <c r="AZ25" s="854"/>
      <c r="BA25" s="855"/>
      <c r="BB25" s="847"/>
      <c r="BC25" s="895"/>
      <c r="BD25" s="896"/>
      <c r="BE25" s="963"/>
      <c r="BF25" s="964"/>
      <c r="BG25" s="965"/>
      <c r="BH25" s="966"/>
      <c r="BI25" s="902"/>
      <c r="BJ25" s="967"/>
      <c r="BK25" s="968"/>
      <c r="BL25" s="926"/>
      <c r="BM25" s="964"/>
      <c r="BN25" s="854"/>
      <c r="BO25" s="855"/>
      <c r="BP25" s="847"/>
      <c r="BQ25" s="895"/>
      <c r="BR25" s="896"/>
      <c r="BS25" s="963"/>
      <c r="BT25" s="964"/>
      <c r="BU25" s="965"/>
      <c r="BV25" s="966"/>
      <c r="BW25" s="902"/>
      <c r="BX25" s="967"/>
      <c r="BY25" s="968"/>
      <c r="BZ25" s="926"/>
      <c r="CA25" s="964"/>
      <c r="CB25" s="854"/>
      <c r="CC25" s="855"/>
      <c r="CD25" s="847"/>
      <c r="CE25" s="895"/>
      <c r="CF25" s="896"/>
      <c r="CG25" s="963"/>
      <c r="CH25" s="964"/>
      <c r="CI25" s="965"/>
      <c r="CJ25" s="966"/>
      <c r="CK25" s="902"/>
      <c r="CL25" s="967"/>
      <c r="CM25" s="968"/>
      <c r="CN25" s="926"/>
    </row>
    <row r="26" spans="1:92" x14ac:dyDescent="0.25">
      <c r="A26" s="763">
        <v>18</v>
      </c>
      <c r="B26" s="773"/>
      <c r="C26" s="848" t="str">
        <f>IF($B26,$B26*TreatyCatch!BF256/SUM(TreatyCatch!$BF256:$BG256,TreatyCatch!$BI256:$BJ256),"")</f>
        <v/>
      </c>
      <c r="D26" s="848" t="str">
        <f>IF($B26,$B26*TreatyCatch!BG256/SUM(TreatyCatch!$BF256:$BG256,TreatyCatch!$BI256:$BJ256),"")</f>
        <v/>
      </c>
      <c r="E26" s="845" t="str">
        <f>IFERROR(C26+N$5*D26,"")</f>
        <v/>
      </c>
      <c r="F26" s="842" t="str">
        <f>IF($B26,$B26*TreatyCatch!BI256/SUM(TreatyCatch!$BF256:$BG256,TreatyCatch!$BI256:$BJ256),"")</f>
        <v/>
      </c>
      <c r="G26" s="865" t="str">
        <f>IF($B26,$B26*TreatyCatch!BJ256/SUM(TreatyCatch!$BF256:$BG256,TreatyCatch!$BI256:$BJ256),"")</f>
        <v/>
      </c>
      <c r="H26" s="839" t="str">
        <f t="shared" si="3"/>
        <v/>
      </c>
      <c r="I26" s="773"/>
      <c r="J26" s="880" t="str">
        <f>IF($I26,$I26*TreatyCatch!BL256/SUM(TreatyCatch!$BL256:$BM256,TreatyCatch!$BO256:$BP256),"")</f>
        <v/>
      </c>
      <c r="K26" s="881" t="str">
        <f>IF($I26,$I26*TreatyCatch!BM256/SUM(TreatyCatch!$BL256:$BM256,TreatyCatch!$BO256:$BP256),"")</f>
        <v/>
      </c>
      <c r="L26" s="900" t="str">
        <f t="shared" ref="L26:L35" si="10">IFERROR(J26+U$5*K26,"")</f>
        <v/>
      </c>
      <c r="M26" s="891" t="str">
        <f>IF($I26,$I26*TreatyCatch!BO256/SUM(TreatyCatch!$BL256:$BM256,TreatyCatch!$BO256:$BP256),"")</f>
        <v/>
      </c>
      <c r="N26" s="892" t="str">
        <f>IF($I26,$I26*TreatyCatch!BP256/SUM(TreatyCatch!$BL256:$BM256,TreatyCatch!$BO256:$BP256),"")</f>
        <v/>
      </c>
      <c r="O26" s="956" t="str">
        <f t="shared" si="1"/>
        <v/>
      </c>
      <c r="P26" s="969"/>
      <c r="Q26" s="970" t="str">
        <f>IF($P26,$P26*TreatyCatch!BR256/SUM(TreatyCatch!$BR256:$BS256,TreatyCatch!$BU256:$BV256),"")</f>
        <v/>
      </c>
      <c r="R26" s="971" t="str">
        <f>IF($P26,$P26*TreatyCatch!BS256/SUM(TreatyCatch!$BR256:$BS256,TreatyCatch!$BU256:$BV256),"")</f>
        <v/>
      </c>
      <c r="S26" s="972" t="str">
        <f>IFERROR(Q26+AB$5*R26,"")</f>
        <v/>
      </c>
      <c r="T26" s="973" t="str">
        <f>IF($P26,$P26*TreatyCatch!BU256/SUM(TreatyCatch!$BR256:$BS256,TreatyCatch!$BU256:$BV256),"")</f>
        <v/>
      </c>
      <c r="U26" s="974" t="str">
        <f>IF($P26,$P26*TreatyCatch!BV256/SUM(TreatyCatch!$BR256:$BS256,TreatyCatch!$BU256:$BV256),"")</f>
        <v/>
      </c>
      <c r="V26" s="924" t="str">
        <f t="shared" si="5"/>
        <v/>
      </c>
      <c r="W26" s="969"/>
      <c r="X26" s="880" t="str">
        <f>IF($W26,$W26*TreatyCatch!BX256/SUM(TreatyCatch!$BX256:$BY256,TreatyCatch!$CA256:$CB256),"")</f>
        <v/>
      </c>
      <c r="Y26" s="881" t="str">
        <f>IF($W26,$W26*TreatyCatch!BY256/SUM(TreatyCatch!$BX256:$BY256,TreatyCatch!$CA256:$CB256),"")</f>
        <v/>
      </c>
      <c r="Z26" s="900" t="str">
        <f>IFERROR(X26+AI$5*Y26,"")</f>
        <v/>
      </c>
      <c r="AA26" s="891" t="str">
        <f>IF($W26,$W26*TreatyCatch!CA256/SUM(TreatyCatch!$BX256:$BY256,TreatyCatch!$CA256:$CB256),"")</f>
        <v/>
      </c>
      <c r="AB26" s="892" t="str">
        <f>IF($W26,$W26*TreatyCatch!CB256/SUM(TreatyCatch!$BX256:$BY256,TreatyCatch!$CA256:$CB256),"")</f>
        <v/>
      </c>
      <c r="AC26" s="956" t="str">
        <f t="shared" si="7"/>
        <v/>
      </c>
      <c r="AD26" s="969"/>
      <c r="AE26" s="1068" t="str">
        <f>IF($AD26,$AD26*TreatyCatch!CD256/SUM(TreatyCatch!$CD256:$CE256,TreatyCatch!$CG256:$CH256),"")</f>
        <v/>
      </c>
      <c r="AF26" s="1069" t="str">
        <f>IF($AD26,$AD26*TreatyCatch!CE256/SUM(TreatyCatch!$CD256:$CE256,TreatyCatch!$CG256:$CH256),"")</f>
        <v/>
      </c>
      <c r="AG26" s="1070" t="str">
        <f>IFERROR(AE26+AP$5*AF26,"")</f>
        <v/>
      </c>
      <c r="AH26" s="1053" t="str">
        <f>IF($AD26,$AD26*TreatyCatch!CG256/SUM(TreatyCatch!$CD256:CE256,TreatyCatch!$CG256:$CH256),"")</f>
        <v/>
      </c>
      <c r="AI26" s="1054" t="str">
        <f>IF($AD26,$AD26*TreatyCatch!CH256/SUM(TreatyCatch!$CD256:CF256,TreatyCatch!$CG256:$CH256),"")</f>
        <v/>
      </c>
      <c r="AJ26" s="1055" t="str">
        <f t="shared" si="9"/>
        <v/>
      </c>
      <c r="AK26" s="969"/>
      <c r="AL26" s="880"/>
      <c r="AM26" s="881"/>
      <c r="AN26" s="900"/>
      <c r="AO26" s="891"/>
      <c r="AP26" s="892"/>
      <c r="AQ26" s="956"/>
      <c r="AR26" s="969"/>
      <c r="AS26" s="970"/>
      <c r="AT26" s="971"/>
      <c r="AU26" s="972"/>
      <c r="AV26" s="973"/>
      <c r="AW26" s="974"/>
      <c r="AX26" s="924"/>
      <c r="AY26" s="969"/>
      <c r="AZ26" s="880"/>
      <c r="BA26" s="881"/>
      <c r="BB26" s="900"/>
      <c r="BC26" s="891"/>
      <c r="BD26" s="892"/>
      <c r="BE26" s="956"/>
      <c r="BF26" s="969"/>
      <c r="BG26" s="970"/>
      <c r="BH26" s="971"/>
      <c r="BI26" s="972"/>
      <c r="BJ26" s="973"/>
      <c r="BK26" s="974"/>
      <c r="BL26" s="924"/>
      <c r="BM26" s="969"/>
      <c r="BN26" s="880"/>
      <c r="BO26" s="881"/>
      <c r="BP26" s="900"/>
      <c r="BQ26" s="891"/>
      <c r="BR26" s="892"/>
      <c r="BS26" s="956"/>
      <c r="BT26" s="969"/>
      <c r="BU26" s="970"/>
      <c r="BV26" s="971"/>
      <c r="BW26" s="972"/>
      <c r="BX26" s="973"/>
      <c r="BY26" s="974"/>
      <c r="BZ26" s="924"/>
      <c r="CA26" s="969"/>
      <c r="CB26" s="880"/>
      <c r="CC26" s="881"/>
      <c r="CD26" s="900"/>
      <c r="CE26" s="891"/>
      <c r="CF26" s="892"/>
      <c r="CG26" s="956"/>
      <c r="CH26" s="969"/>
      <c r="CI26" s="970"/>
      <c r="CJ26" s="971"/>
      <c r="CK26" s="972"/>
      <c r="CL26" s="973"/>
      <c r="CM26" s="974"/>
      <c r="CN26" s="924"/>
    </row>
    <row r="27" spans="1:92" x14ac:dyDescent="0.25">
      <c r="A27" s="757">
        <v>19</v>
      </c>
      <c r="B27" s="765">
        <v>1</v>
      </c>
      <c r="C27" s="844">
        <f>IF($B27,$B27*TreatyCatch!BF257/SUM(TreatyCatch!$BF257:$BG257,TreatyCatch!$BI257:$BJ257),"")</f>
        <v>0</v>
      </c>
      <c r="D27" s="844">
        <f>IF($B27,$B27*TreatyCatch!BG257/SUM(TreatyCatch!$BF257:$BG257,TreatyCatch!$BI257:$BJ257),"")</f>
        <v>0</v>
      </c>
      <c r="E27" s="846">
        <f>IFERROR(C27+N$5*D27,"")</f>
        <v>0</v>
      </c>
      <c r="F27" s="838">
        <f>IF($B27,$B27*TreatyCatch!BI257/SUM(TreatyCatch!$BF257:$BG257,TreatyCatch!$BI257:$BJ257),"")</f>
        <v>0.6875</v>
      </c>
      <c r="G27" s="866">
        <f>IF($B27,$B27*TreatyCatch!BJ257/SUM(TreatyCatch!$BF257:$BG257,TreatyCatch!$BI257:$BJ257),"")</f>
        <v>0.3125</v>
      </c>
      <c r="H27" s="840">
        <f t="shared" si="3"/>
        <v>0.70815625000000004</v>
      </c>
      <c r="I27" s="765">
        <v>2</v>
      </c>
      <c r="J27" s="882">
        <f>IF($I27,$I27*TreatyCatch!BL257/SUM(TreatyCatch!$BL257:$BM257,TreatyCatch!$BO257:$BP257),"")</f>
        <v>0</v>
      </c>
      <c r="K27" s="883">
        <f>IF($I27,$I27*TreatyCatch!BM257/SUM(TreatyCatch!$BL257:$BM257,TreatyCatch!$BO257:$BP257),"")</f>
        <v>0</v>
      </c>
      <c r="L27" s="901">
        <f t="shared" si="10"/>
        <v>0</v>
      </c>
      <c r="M27" s="893">
        <f>IF($I27,$I27*TreatyCatch!BO257/SUM(TreatyCatch!$BL257:$BM257,TreatyCatch!$BO257:$BP257),"")</f>
        <v>0.82888540031397162</v>
      </c>
      <c r="N27" s="894">
        <f>IF($I27,$I27*TreatyCatch!BP257/SUM(TreatyCatch!$BL257:$BM257,TreatyCatch!$BO257:$BP257),"")</f>
        <v>1.1711145996860284</v>
      </c>
      <c r="O27" s="957">
        <f t="shared" si="1"/>
        <v>0.93018681318681307</v>
      </c>
      <c r="P27" s="958"/>
      <c r="Q27" s="975" t="str">
        <f>IF($P27,$P27*TreatyCatch!BR257/SUM(TreatyCatch!$BR257:$BS257,TreatyCatch!$BU257:$BV257),"")</f>
        <v/>
      </c>
      <c r="R27" s="976" t="str">
        <f>IF($P27,$P27*TreatyCatch!BS257/SUM(TreatyCatch!$BR257:$BS257,TreatyCatch!$BU257:$BV257),"")</f>
        <v/>
      </c>
      <c r="S27" s="952" t="str">
        <f>IFERROR(Q27+AB$5*R27,"")</f>
        <v/>
      </c>
      <c r="T27" s="961" t="str">
        <f>IF($P27,$P27*TreatyCatch!BU257/SUM(TreatyCatch!$BR257:$BS257,TreatyCatch!$BU257:$BV257),"")</f>
        <v/>
      </c>
      <c r="U27" s="962" t="str">
        <f>IF($P27,$P27*TreatyCatch!BV257/SUM(TreatyCatch!$BR257:$BS257,TreatyCatch!$BU257:$BV257),"")</f>
        <v/>
      </c>
      <c r="V27" s="925" t="str">
        <f t="shared" si="5"/>
        <v/>
      </c>
      <c r="W27" s="958"/>
      <c r="X27" s="882" t="str">
        <f>IF($W27,$W27*TreatyCatch!BX257/SUM(TreatyCatch!$BX257:$BY257,TreatyCatch!$CA257:$CB257),"")</f>
        <v/>
      </c>
      <c r="Y27" s="883" t="str">
        <f>IF($W27,$W27*TreatyCatch!BY257/SUM(TreatyCatch!$BX257:$BY257,TreatyCatch!$CA257:$CB257),"")</f>
        <v/>
      </c>
      <c r="Z27" s="901" t="str">
        <f>IFERROR(X27+AI$5*Y27,"")</f>
        <v/>
      </c>
      <c r="AA27" s="893" t="str">
        <f>IF($W27,$W27*TreatyCatch!CA257/SUM(TreatyCatch!$BX257:$BY257,TreatyCatch!$CA257:$CB257),"")</f>
        <v/>
      </c>
      <c r="AB27" s="894" t="str">
        <f>IF($W27,$W27*TreatyCatch!CB257/SUM(TreatyCatch!$BX257:$BY257,TreatyCatch!$CA257:$CB257),"")</f>
        <v/>
      </c>
      <c r="AC27" s="957" t="str">
        <f t="shared" si="7"/>
        <v/>
      </c>
      <c r="AD27" s="958"/>
      <c r="AE27" s="1071" t="str">
        <f>IF($AD27,$AD27*TreatyCatch!CD257/SUM(TreatyCatch!$CD257:$CE257,TreatyCatch!$CG257:$CH257),"")</f>
        <v/>
      </c>
      <c r="AF27" s="1072" t="str">
        <f>IF($AD27,$AD27*TreatyCatch!CE257/SUM(TreatyCatch!$CD257:$CE257,TreatyCatch!$CG257:$CH257),"")</f>
        <v/>
      </c>
      <c r="AG27" s="1073" t="str">
        <f t="shared" ref="AG27:AG61" si="11">IFERROR(AE27+AP$5*AF27,"")</f>
        <v/>
      </c>
      <c r="AH27" s="1059" t="str">
        <f>IF($AD27,$AD27*TreatyCatch!CG257/SUM(TreatyCatch!$CD257:CE257,TreatyCatch!$CG257:$CH257),"")</f>
        <v/>
      </c>
      <c r="AI27" s="1060" t="str">
        <f>IF($AD27,$AD27*TreatyCatch!CH257/SUM(TreatyCatch!$CD257:CF257,TreatyCatch!$CG257:$CH257),"")</f>
        <v/>
      </c>
      <c r="AJ27" s="1061" t="str">
        <f t="shared" si="9"/>
        <v/>
      </c>
      <c r="AK27" s="958"/>
      <c r="AL27" s="882"/>
      <c r="AM27" s="883"/>
      <c r="AN27" s="901"/>
      <c r="AO27" s="893"/>
      <c r="AP27" s="894"/>
      <c r="AQ27" s="957"/>
      <c r="AR27" s="958"/>
      <c r="AS27" s="975"/>
      <c r="AT27" s="976"/>
      <c r="AU27" s="952"/>
      <c r="AV27" s="961"/>
      <c r="AW27" s="962"/>
      <c r="AX27" s="925"/>
      <c r="AY27" s="958"/>
      <c r="AZ27" s="882"/>
      <c r="BA27" s="883"/>
      <c r="BB27" s="901"/>
      <c r="BC27" s="893"/>
      <c r="BD27" s="894"/>
      <c r="BE27" s="957"/>
      <c r="BF27" s="958"/>
      <c r="BG27" s="975"/>
      <c r="BH27" s="976"/>
      <c r="BI27" s="952"/>
      <c r="BJ27" s="961"/>
      <c r="BK27" s="962"/>
      <c r="BL27" s="925"/>
      <c r="BM27" s="958"/>
      <c r="BN27" s="882"/>
      <c r="BO27" s="883"/>
      <c r="BP27" s="901"/>
      <c r="BQ27" s="893"/>
      <c r="BR27" s="894"/>
      <c r="BS27" s="957"/>
      <c r="BT27" s="958"/>
      <c r="BU27" s="975"/>
      <c r="BV27" s="976"/>
      <c r="BW27" s="952"/>
      <c r="BX27" s="961"/>
      <c r="BY27" s="962"/>
      <c r="BZ27" s="925"/>
      <c r="CA27" s="958"/>
      <c r="CB27" s="882"/>
      <c r="CC27" s="883"/>
      <c r="CD27" s="901"/>
      <c r="CE27" s="893"/>
      <c r="CF27" s="894"/>
      <c r="CG27" s="957"/>
      <c r="CH27" s="958"/>
      <c r="CI27" s="975"/>
      <c r="CJ27" s="976"/>
      <c r="CK27" s="952"/>
      <c r="CL27" s="961"/>
      <c r="CM27" s="962"/>
      <c r="CN27" s="925"/>
    </row>
    <row r="28" spans="1:92" x14ac:dyDescent="0.25">
      <c r="A28" s="757">
        <v>20</v>
      </c>
      <c r="B28" s="765"/>
      <c r="C28" s="844" t="str">
        <f>IF($B28,$B28*TreatyCatch!BF258/SUM(TreatyCatch!$BF258:$BG258,TreatyCatch!$BI258:$BJ258),"")</f>
        <v/>
      </c>
      <c r="D28" s="844" t="str">
        <f>IF($B28,$B28*TreatyCatch!BG258/SUM(TreatyCatch!$BF258:$BG258,TreatyCatch!$BI258:$BJ258),"")</f>
        <v/>
      </c>
      <c r="E28" s="846" t="str">
        <f t="shared" ref="E28:E61" si="12">IFERROR(C28+N$5*D28,"")</f>
        <v/>
      </c>
      <c r="F28" s="838" t="str">
        <f>IF($B28,$B28*TreatyCatch!BI258/SUM(TreatyCatch!$BF258:$BG258,TreatyCatch!$BI258:$BJ258),"")</f>
        <v/>
      </c>
      <c r="G28" s="866" t="str">
        <f>IF($B28,$B28*TreatyCatch!BJ258/SUM(TreatyCatch!$BF258:$BG258,TreatyCatch!$BI258:$BJ258),"")</f>
        <v/>
      </c>
      <c r="H28" s="840" t="str">
        <f t="shared" si="3"/>
        <v/>
      </c>
      <c r="I28" s="765"/>
      <c r="J28" s="882" t="str">
        <f>IF($I28,$I28*TreatyCatch!BL258/SUM(TreatyCatch!$BL258:$BM258,TreatyCatch!$BO258:$BP258),"")</f>
        <v/>
      </c>
      <c r="K28" s="883" t="str">
        <f>IF($I28,$I28*TreatyCatch!BM258/SUM(TreatyCatch!$BL258:$BM258,TreatyCatch!$BO258:$BP258),"")</f>
        <v/>
      </c>
      <c r="L28" s="901" t="str">
        <f t="shared" si="10"/>
        <v/>
      </c>
      <c r="M28" s="893" t="str">
        <f>IF($I28,$I28*TreatyCatch!BO258/SUM(TreatyCatch!$BL258:$BM258,TreatyCatch!$BO258:$BP258),"")</f>
        <v/>
      </c>
      <c r="N28" s="894" t="str">
        <f>IF($I28,$I28*TreatyCatch!BP258/SUM(TreatyCatch!$BL258:$BM258,TreatyCatch!$BO258:$BP258),"")</f>
        <v/>
      </c>
      <c r="O28" s="957" t="str">
        <f t="shared" si="1"/>
        <v/>
      </c>
      <c r="P28" s="958"/>
      <c r="Q28" s="975" t="str">
        <f>IF($P28,$P28*TreatyCatch!BR258/SUM(TreatyCatch!$BR258:$BS258,TreatyCatch!$BU258:$BV258),"")</f>
        <v/>
      </c>
      <c r="R28" s="976" t="str">
        <f>IF($P28,$P28*TreatyCatch!BS258/SUM(TreatyCatch!$BR258:$BS258,TreatyCatch!$BU258:$BV258),"")</f>
        <v/>
      </c>
      <c r="S28" s="952" t="str">
        <f t="shared" ref="S28:S61" si="13">IFERROR(Q28+AB$5*R28,"")</f>
        <v/>
      </c>
      <c r="T28" s="961" t="str">
        <f>IF($P28,$P28*TreatyCatch!BU258/SUM(TreatyCatch!$BR258:$BS258,TreatyCatch!$BU258:$BV258),"")</f>
        <v/>
      </c>
      <c r="U28" s="962" t="str">
        <f>IF($P28,$P28*TreatyCatch!BV258/SUM(TreatyCatch!$BR258:$BS258,TreatyCatch!$BU258:$BV258),"")</f>
        <v/>
      </c>
      <c r="V28" s="925" t="str">
        <f t="shared" si="5"/>
        <v/>
      </c>
      <c r="W28" s="958"/>
      <c r="X28" s="882" t="str">
        <f>IF($W28,$W28*TreatyCatch!BX258/SUM(TreatyCatch!$BX258:$BY258,TreatyCatch!$CA258:$CB258),"")</f>
        <v/>
      </c>
      <c r="Y28" s="883" t="str">
        <f>IF($W28,$W28*TreatyCatch!BY258/SUM(TreatyCatch!$BX258:$BY258,TreatyCatch!$CA258:$CB258),"")</f>
        <v/>
      </c>
      <c r="Z28" s="901" t="str">
        <f t="shared" ref="Z28:Z61" si="14">IFERROR(X28+AI$5*Y28,"")</f>
        <v/>
      </c>
      <c r="AA28" s="893" t="str">
        <f>IF($W28,$W28*TreatyCatch!CA258/SUM(TreatyCatch!$BX258:$BY258,TreatyCatch!$CA258:$CB258),"")</f>
        <v/>
      </c>
      <c r="AB28" s="894" t="str">
        <f>IF($W28,$W28*TreatyCatch!CB258/SUM(TreatyCatch!$BX258:$BY258,TreatyCatch!$CA258:$CB258),"")</f>
        <v/>
      </c>
      <c r="AC28" s="957" t="str">
        <f t="shared" si="7"/>
        <v/>
      </c>
      <c r="AD28" s="958"/>
      <c r="AE28" s="1071" t="str">
        <f>IF($AD28,$AD28*TreatyCatch!CD258/SUM(TreatyCatch!$CD258:$CE258,TreatyCatch!$CG258:$CH258),"")</f>
        <v/>
      </c>
      <c r="AF28" s="1072" t="str">
        <f>IF($AD28,$AD28*TreatyCatch!CE258/SUM(TreatyCatch!$CD258:$CE258,TreatyCatch!$CG258:$CH258),"")</f>
        <v/>
      </c>
      <c r="AG28" s="1073" t="str">
        <f t="shared" si="11"/>
        <v/>
      </c>
      <c r="AH28" s="1059" t="str">
        <f>IF($AD28,$AD28*TreatyCatch!CG258/SUM(TreatyCatch!$CD258:CE258,TreatyCatch!$CG258:$CH258),"")</f>
        <v/>
      </c>
      <c r="AI28" s="1060" t="str">
        <f>IF($AD28,$AD28*TreatyCatch!CH258/SUM(TreatyCatch!$CD258:CF258,TreatyCatch!$CG258:$CH258),"")</f>
        <v/>
      </c>
      <c r="AJ28" s="1061" t="str">
        <f t="shared" si="9"/>
        <v/>
      </c>
      <c r="AK28" s="958"/>
      <c r="AL28" s="882"/>
      <c r="AM28" s="883"/>
      <c r="AN28" s="901"/>
      <c r="AO28" s="893"/>
      <c r="AP28" s="894"/>
      <c r="AQ28" s="957"/>
      <c r="AR28" s="958"/>
      <c r="AS28" s="975"/>
      <c r="AT28" s="976"/>
      <c r="AU28" s="952"/>
      <c r="AV28" s="961"/>
      <c r="AW28" s="962"/>
      <c r="AX28" s="925"/>
      <c r="AY28" s="958"/>
      <c r="AZ28" s="882"/>
      <c r="BA28" s="883"/>
      <c r="BB28" s="901"/>
      <c r="BC28" s="893"/>
      <c r="BD28" s="894"/>
      <c r="BE28" s="957"/>
      <c r="BF28" s="958"/>
      <c r="BG28" s="975"/>
      <c r="BH28" s="976"/>
      <c r="BI28" s="952"/>
      <c r="BJ28" s="961"/>
      <c r="BK28" s="962"/>
      <c r="BL28" s="925"/>
      <c r="BM28" s="958"/>
      <c r="BN28" s="882"/>
      <c r="BO28" s="883"/>
      <c r="BP28" s="901"/>
      <c r="BQ28" s="893"/>
      <c r="BR28" s="894"/>
      <c r="BS28" s="957"/>
      <c r="BT28" s="958"/>
      <c r="BU28" s="975"/>
      <c r="BV28" s="976"/>
      <c r="BW28" s="952"/>
      <c r="BX28" s="961"/>
      <c r="BY28" s="962"/>
      <c r="BZ28" s="925"/>
      <c r="CA28" s="958">
        <f>SUM(CB28:CC29,CE28:CF28)</f>
        <v>1</v>
      </c>
      <c r="CB28" s="882">
        <v>0</v>
      </c>
      <c r="CC28" s="883">
        <v>0</v>
      </c>
      <c r="CD28" s="901">
        <f>CB28+CC28*CM$5</f>
        <v>0</v>
      </c>
      <c r="CE28" s="893">
        <v>1</v>
      </c>
      <c r="CF28" s="894">
        <v>0</v>
      </c>
      <c r="CG28" s="957">
        <f>CE28+CF28*CF$5</f>
        <v>1</v>
      </c>
      <c r="CH28" s="958"/>
      <c r="CI28" s="975"/>
      <c r="CJ28" s="976"/>
      <c r="CK28" s="952"/>
      <c r="CL28" s="961"/>
      <c r="CM28" s="962"/>
      <c r="CN28" s="925"/>
    </row>
    <row r="29" spans="1:92" x14ac:dyDescent="0.25">
      <c r="A29" s="757">
        <v>21</v>
      </c>
      <c r="B29" s="765"/>
      <c r="C29" s="844" t="str">
        <f>IF($B29,$B29*TreatyCatch!BF259/SUM(TreatyCatch!$BF259:$BG259,TreatyCatch!$BI259:$BJ259),"")</f>
        <v/>
      </c>
      <c r="D29" s="844" t="str">
        <f>IF($B29,$B29*TreatyCatch!BG259/SUM(TreatyCatch!$BF259:$BG259,TreatyCatch!$BI259:$BJ259),"")</f>
        <v/>
      </c>
      <c r="E29" s="846" t="str">
        <f t="shared" si="12"/>
        <v/>
      </c>
      <c r="F29" s="838" t="str">
        <f>IF($B29,$B29*TreatyCatch!BI259/SUM(TreatyCatch!$BF259:$BG259,TreatyCatch!$BI259:$BJ259),"")</f>
        <v/>
      </c>
      <c r="G29" s="866" t="str">
        <f>IF($B29,$B29*TreatyCatch!BJ259/SUM(TreatyCatch!$BF259:$BG259,TreatyCatch!$BI259:$BJ259),"")</f>
        <v/>
      </c>
      <c r="H29" s="840" t="str">
        <f t="shared" si="3"/>
        <v/>
      </c>
      <c r="I29" s="765"/>
      <c r="J29" s="882" t="str">
        <f>IF($I29,$I29*TreatyCatch!BL259/SUM(TreatyCatch!$BL259:$BM259,TreatyCatch!$BO259:$BP259),"")</f>
        <v/>
      </c>
      <c r="K29" s="883" t="str">
        <f>IF($I29,$I29*TreatyCatch!BM259/SUM(TreatyCatch!$BL259:$BM259,TreatyCatch!$BO259:$BP259),"")</f>
        <v/>
      </c>
      <c r="L29" s="901" t="str">
        <f t="shared" si="10"/>
        <v/>
      </c>
      <c r="M29" s="893" t="str">
        <f>IF($I29,$I29*TreatyCatch!BO259/SUM(TreatyCatch!$BL259:$BM259,TreatyCatch!$BO259:$BP259),"")</f>
        <v/>
      </c>
      <c r="N29" s="894" t="str">
        <f>IF($I29,$I29*TreatyCatch!BP259/SUM(TreatyCatch!$BL259:$BM259,TreatyCatch!$BO259:$BP259),"")</f>
        <v/>
      </c>
      <c r="O29" s="957" t="str">
        <f t="shared" si="1"/>
        <v/>
      </c>
      <c r="P29" s="958"/>
      <c r="Q29" s="975" t="str">
        <f>IF($P29,$P29*TreatyCatch!BR259/SUM(TreatyCatch!$BR259:$BS259,TreatyCatch!$BU259:$BV259),"")</f>
        <v/>
      </c>
      <c r="R29" s="976" t="str">
        <f>IF($P29,$P29*TreatyCatch!BS259/SUM(TreatyCatch!$BR259:$BS259,TreatyCatch!$BU259:$BV259),"")</f>
        <v/>
      </c>
      <c r="S29" s="952" t="str">
        <f t="shared" si="13"/>
        <v/>
      </c>
      <c r="T29" s="961" t="str">
        <f>IF($P29,$P29*TreatyCatch!BU259/SUM(TreatyCatch!$BR259:$BS259,TreatyCatch!$BU259:$BV259),"")</f>
        <v/>
      </c>
      <c r="U29" s="962" t="str">
        <f>IF($P29,$P29*TreatyCatch!BV259/SUM(TreatyCatch!$BR259:$BS259,TreatyCatch!$BU259:$BV259),"")</f>
        <v/>
      </c>
      <c r="V29" s="925" t="str">
        <f t="shared" si="5"/>
        <v/>
      </c>
      <c r="W29" s="958"/>
      <c r="X29" s="882" t="str">
        <f>IF($W29,$W29*TreatyCatch!BX259/SUM(TreatyCatch!$BX259:$BY259,TreatyCatch!$CA259:$CB259),"")</f>
        <v/>
      </c>
      <c r="Y29" s="883" t="str">
        <f>IF($W29,$W29*TreatyCatch!BY259/SUM(TreatyCatch!$BX259:$BY259,TreatyCatch!$CA259:$CB259),"")</f>
        <v/>
      </c>
      <c r="Z29" s="901" t="str">
        <f t="shared" si="14"/>
        <v/>
      </c>
      <c r="AA29" s="893" t="str">
        <f>IF($W29,$W29*TreatyCatch!CA259/SUM(TreatyCatch!$BX259:$BY259,TreatyCatch!$CA259:$CB259),"")</f>
        <v/>
      </c>
      <c r="AB29" s="894" t="str">
        <f>IF($W29,$W29*TreatyCatch!CB259/SUM(TreatyCatch!$BX259:$BY259,TreatyCatch!$CA259:$CB259),"")</f>
        <v/>
      </c>
      <c r="AC29" s="957" t="str">
        <f t="shared" si="7"/>
        <v/>
      </c>
      <c r="AD29" s="958"/>
      <c r="AE29" s="1071" t="str">
        <f>IF($AD29,$AD29*TreatyCatch!CD259/SUM(TreatyCatch!$CD259:$CE259,TreatyCatch!$CG259:$CH259),"")</f>
        <v/>
      </c>
      <c r="AF29" s="1072" t="str">
        <f>IF($AD29,$AD29*TreatyCatch!CE259/SUM(TreatyCatch!$CD259:$CE259,TreatyCatch!$CG259:$CH259),"")</f>
        <v/>
      </c>
      <c r="AG29" s="1073" t="str">
        <f t="shared" si="11"/>
        <v/>
      </c>
      <c r="AH29" s="1059" t="str">
        <f>IF($AD29,$AD29*TreatyCatch!CG259/SUM(TreatyCatch!$CD259:CE259,TreatyCatch!$CG259:$CH259),"")</f>
        <v/>
      </c>
      <c r="AI29" s="1060" t="str">
        <f>IF($AD29,$AD29*TreatyCatch!CH259/SUM(TreatyCatch!$CD259:CF259,TreatyCatch!$CG259:$CH259),"")</f>
        <v/>
      </c>
      <c r="AJ29" s="1061" t="str">
        <f t="shared" si="9"/>
        <v/>
      </c>
      <c r="AK29" s="958"/>
      <c r="AL29" s="882"/>
      <c r="AM29" s="883"/>
      <c r="AN29" s="901"/>
      <c r="AO29" s="893"/>
      <c r="AP29" s="894"/>
      <c r="AQ29" s="957"/>
      <c r="AR29" s="958"/>
      <c r="AS29" s="975"/>
      <c r="AT29" s="976"/>
      <c r="AU29" s="952"/>
      <c r="AV29" s="961"/>
      <c r="AW29" s="962"/>
      <c r="AX29" s="925"/>
      <c r="AY29" s="958"/>
      <c r="AZ29" s="882"/>
      <c r="BA29" s="883"/>
      <c r="BB29" s="901"/>
      <c r="BC29" s="893"/>
      <c r="BD29" s="894"/>
      <c r="BE29" s="957"/>
      <c r="BF29" s="958"/>
      <c r="BG29" s="975"/>
      <c r="BH29" s="976"/>
      <c r="BI29" s="952"/>
      <c r="BJ29" s="961"/>
      <c r="BK29" s="962"/>
      <c r="BL29" s="925"/>
      <c r="BM29" s="1692">
        <f>SUM(BN29:BO30,BQ29:BR29)</f>
        <v>7</v>
      </c>
      <c r="BN29" s="1496">
        <v>0</v>
      </c>
      <c r="BO29" s="1497">
        <v>0</v>
      </c>
      <c r="BP29" s="1693">
        <f>BN29+BO29*BY$5</f>
        <v>0</v>
      </c>
      <c r="BQ29" s="1497">
        <v>7</v>
      </c>
      <c r="BR29" s="1498">
        <v>0</v>
      </c>
      <c r="BS29" s="1693">
        <f>BQ29+BR29*BR$5</f>
        <v>7</v>
      </c>
      <c r="BT29" s="958"/>
      <c r="BU29" s="975"/>
      <c r="BV29" s="976"/>
      <c r="BW29" s="952"/>
      <c r="BX29" s="961"/>
      <c r="BY29" s="962"/>
      <c r="BZ29" s="925"/>
      <c r="CA29" s="958"/>
      <c r="CB29" s="882"/>
      <c r="CC29" s="883"/>
      <c r="CD29" s="901"/>
      <c r="CE29" s="893"/>
      <c r="CF29" s="894"/>
      <c r="CG29" s="957"/>
      <c r="CH29" s="958"/>
      <c r="CI29" s="975"/>
      <c r="CJ29" s="976"/>
      <c r="CK29" s="952"/>
      <c r="CL29" s="961"/>
      <c r="CM29" s="962"/>
      <c r="CN29" s="925"/>
    </row>
    <row r="30" spans="1:92" x14ac:dyDescent="0.25">
      <c r="A30" s="757">
        <v>22</v>
      </c>
      <c r="B30" s="765"/>
      <c r="C30" s="844" t="str">
        <f>IF($B30,$B30*TreatyCatch!BF260/SUM(TreatyCatch!$BF260:$BG260,TreatyCatch!$BI260:$BJ260),"")</f>
        <v/>
      </c>
      <c r="D30" s="844" t="str">
        <f>IF($B30,$B30*TreatyCatch!BG260/SUM(TreatyCatch!$BF260:$BG260,TreatyCatch!$BI260:$BJ260),"")</f>
        <v/>
      </c>
      <c r="E30" s="846" t="str">
        <f t="shared" si="12"/>
        <v/>
      </c>
      <c r="F30" s="838" t="str">
        <f>IF($B30,$B30*TreatyCatch!BI260/SUM(TreatyCatch!$BF260:$BG260,TreatyCatch!$BI260:$BJ260),"")</f>
        <v/>
      </c>
      <c r="G30" s="866" t="str">
        <f>IF($B30,$B30*TreatyCatch!BJ260/SUM(TreatyCatch!$BF260:$BG260,TreatyCatch!$BI260:$BJ260),"")</f>
        <v/>
      </c>
      <c r="H30" s="840" t="str">
        <f t="shared" si="3"/>
        <v/>
      </c>
      <c r="I30" s="765"/>
      <c r="J30" s="882" t="str">
        <f>IF($I30,$I30*TreatyCatch!BL260/SUM(TreatyCatch!$BL260:$BM260,TreatyCatch!$BO260:$BP260),"")</f>
        <v/>
      </c>
      <c r="K30" s="883" t="str">
        <f>IF($I30,$I30*TreatyCatch!BM260/SUM(TreatyCatch!$BL260:$BM260,TreatyCatch!$BO260:$BP260),"")</f>
        <v/>
      </c>
      <c r="L30" s="901" t="str">
        <f t="shared" si="10"/>
        <v/>
      </c>
      <c r="M30" s="893" t="str">
        <f>IF($I30,$I30*TreatyCatch!BO260/SUM(TreatyCatch!$BL260:$BM260,TreatyCatch!$BO260:$BP260),"")</f>
        <v/>
      </c>
      <c r="N30" s="894" t="str">
        <f>IF($I30,$I30*TreatyCatch!BP260/SUM(TreatyCatch!$BL260:$BM260,TreatyCatch!$BO260:$BP260),"")</f>
        <v/>
      </c>
      <c r="O30" s="957" t="str">
        <f t="shared" si="1"/>
        <v/>
      </c>
      <c r="P30" s="958"/>
      <c r="Q30" s="975" t="str">
        <f>IF($P30,$P30*TreatyCatch!BR260/SUM(TreatyCatch!$BR260:$BS260,TreatyCatch!$BU260:$BV260),"")</f>
        <v/>
      </c>
      <c r="R30" s="976" t="str">
        <f>IF($P30,$P30*TreatyCatch!BS260/SUM(TreatyCatch!$BR260:$BS260,TreatyCatch!$BU260:$BV260),"")</f>
        <v/>
      </c>
      <c r="S30" s="952" t="str">
        <f t="shared" si="13"/>
        <v/>
      </c>
      <c r="T30" s="961" t="str">
        <f>IF($P30,$P30*TreatyCatch!BU260/SUM(TreatyCatch!$BR260:$BS260,TreatyCatch!$BU260:$BV260),"")</f>
        <v/>
      </c>
      <c r="U30" s="962" t="str">
        <f>IF($P30,$P30*TreatyCatch!BV260/SUM(TreatyCatch!$BR260:$BS260,TreatyCatch!$BU260:$BV260),"")</f>
        <v/>
      </c>
      <c r="V30" s="925" t="str">
        <f t="shared" si="5"/>
        <v/>
      </c>
      <c r="W30" s="958"/>
      <c r="X30" s="882" t="str">
        <f>IF($W30,$W30*TreatyCatch!BX260/SUM(TreatyCatch!$BX260:$BY260,TreatyCatch!$CA260:$CB260),"")</f>
        <v/>
      </c>
      <c r="Y30" s="883" t="str">
        <f>IF($W30,$W30*TreatyCatch!BY260/SUM(TreatyCatch!$BX260:$BY260,TreatyCatch!$CA260:$CB260),"")</f>
        <v/>
      </c>
      <c r="Z30" s="901" t="str">
        <f t="shared" si="14"/>
        <v/>
      </c>
      <c r="AA30" s="893" t="str">
        <f>IF($W30,$W30*TreatyCatch!CA260/SUM(TreatyCatch!$BX260:$BY260,TreatyCatch!$CA260:$CB260),"")</f>
        <v/>
      </c>
      <c r="AB30" s="894" t="str">
        <f>IF($W30,$W30*TreatyCatch!CB260/SUM(TreatyCatch!$BX260:$BY260,TreatyCatch!$CA260:$CB260),"")</f>
        <v/>
      </c>
      <c r="AC30" s="957" t="str">
        <f t="shared" si="7"/>
        <v/>
      </c>
      <c r="AD30" s="958"/>
      <c r="AE30" s="1071" t="str">
        <f>IF($AD30,$AD30*TreatyCatch!CD260/SUM(TreatyCatch!$CD260:$CE260,TreatyCatch!$CG260:$CH260),"")</f>
        <v/>
      </c>
      <c r="AF30" s="1072" t="str">
        <f>IF($AD30,$AD30*TreatyCatch!CE260/SUM(TreatyCatch!$CD260:$CE260,TreatyCatch!$CG260:$CH260),"")</f>
        <v/>
      </c>
      <c r="AG30" s="1073" t="str">
        <f t="shared" si="11"/>
        <v/>
      </c>
      <c r="AH30" s="1059" t="str">
        <f>IF($AD30,$AD30*TreatyCatch!CG260/SUM(TreatyCatch!$CD260:CE260,TreatyCatch!$CG260:$CH260),"")</f>
        <v/>
      </c>
      <c r="AI30" s="1060" t="str">
        <f>IF($AD30,$AD30*TreatyCatch!CH260/SUM(TreatyCatch!$CD260:CF260,TreatyCatch!$CG260:$CH260),"")</f>
        <v/>
      </c>
      <c r="AJ30" s="1061" t="str">
        <f t="shared" si="9"/>
        <v/>
      </c>
      <c r="AK30" s="958"/>
      <c r="AL30" s="882"/>
      <c r="AM30" s="883"/>
      <c r="AN30" s="901"/>
      <c r="AO30" s="893"/>
      <c r="AP30" s="894"/>
      <c r="AQ30" s="957"/>
      <c r="AR30" s="958">
        <v>3</v>
      </c>
      <c r="AS30" s="975">
        <v>1</v>
      </c>
      <c r="AT30" s="976">
        <v>0</v>
      </c>
      <c r="AU30" s="1073">
        <f t="shared" ref="AU30" si="15">IFERROR(AS30+BD$5*AT30,"")</f>
        <v>1</v>
      </c>
      <c r="AV30" s="961">
        <v>1</v>
      </c>
      <c r="AW30" s="962">
        <v>1</v>
      </c>
      <c r="AX30" s="1061">
        <f t="shared" ref="AX30" si="16">IFERROR(AV30+AW$5*AW30,"")</f>
        <v>1.0868</v>
      </c>
      <c r="AY30" s="958"/>
      <c r="AZ30" s="882"/>
      <c r="BA30" s="883"/>
      <c r="BB30" s="901"/>
      <c r="BC30" s="893"/>
      <c r="BD30" s="894"/>
      <c r="BE30" s="957"/>
      <c r="BF30" s="958"/>
      <c r="BG30" s="975"/>
      <c r="BH30" s="976"/>
      <c r="BI30" s="1073"/>
      <c r="BJ30" s="961"/>
      <c r="BK30" s="962"/>
      <c r="BL30" s="1061"/>
      <c r="BM30" s="1692">
        <f>SUM(BN30:BO31,BQ30:BR30)</f>
        <v>2</v>
      </c>
      <c r="BN30" s="1496">
        <v>0</v>
      </c>
      <c r="BO30" s="1497">
        <v>0</v>
      </c>
      <c r="BP30" s="1693">
        <f>BN30+BO30*BY$5</f>
        <v>0</v>
      </c>
      <c r="BQ30" s="1497">
        <v>2</v>
      </c>
      <c r="BR30" s="1498">
        <v>0</v>
      </c>
      <c r="BS30" s="1693">
        <f>BQ30+BR30*BR$5</f>
        <v>2</v>
      </c>
      <c r="BT30" s="958"/>
      <c r="BU30" s="975"/>
      <c r="BV30" s="976"/>
      <c r="BW30" s="1073"/>
      <c r="BX30" s="961"/>
      <c r="BY30" s="962"/>
      <c r="BZ30" s="1061"/>
      <c r="CA30" s="958"/>
      <c r="CB30" s="882"/>
      <c r="CC30" s="883"/>
      <c r="CD30" s="901"/>
      <c r="CE30" s="893"/>
      <c r="CF30" s="894"/>
      <c r="CG30" s="957"/>
      <c r="CH30" s="958"/>
      <c r="CI30" s="975"/>
      <c r="CJ30" s="976"/>
      <c r="CK30" s="1073"/>
      <c r="CL30" s="961"/>
      <c r="CM30" s="962"/>
      <c r="CN30" s="1061"/>
    </row>
    <row r="31" spans="1:92" x14ac:dyDescent="0.25">
      <c r="A31" s="757">
        <v>23</v>
      </c>
      <c r="B31" s="765"/>
      <c r="C31" s="844" t="str">
        <f>IF($B31,$B31*TreatyCatch!BF261/SUM(TreatyCatch!$BF261:$BG261,TreatyCatch!$BI261:$BJ261),"")</f>
        <v/>
      </c>
      <c r="D31" s="844" t="str">
        <f>IF($B31,$B31*TreatyCatch!BG261/SUM(TreatyCatch!$BF261:$BG261,TreatyCatch!$BI261:$BJ261),"")</f>
        <v/>
      </c>
      <c r="E31" s="846" t="str">
        <f t="shared" si="12"/>
        <v/>
      </c>
      <c r="F31" s="838" t="str">
        <f>IF($B31,$B31*TreatyCatch!BI261/SUM(TreatyCatch!$BF261:$BG261,TreatyCatch!$BI261:$BJ261),"")</f>
        <v/>
      </c>
      <c r="G31" s="866" t="str">
        <f>IF($B31,$B31*TreatyCatch!BJ261/SUM(TreatyCatch!$BF261:$BG261,TreatyCatch!$BI261:$BJ261),"")</f>
        <v/>
      </c>
      <c r="H31" s="840" t="str">
        <f t="shared" si="3"/>
        <v/>
      </c>
      <c r="I31" s="765"/>
      <c r="J31" s="882" t="str">
        <f>IF($I31,$I31*TreatyCatch!BL261/SUM(TreatyCatch!$BL261:$BM261,TreatyCatch!$BO261:$BP261),"")</f>
        <v/>
      </c>
      <c r="K31" s="883" t="str">
        <f>IF($I31,$I31*TreatyCatch!BM261/SUM(TreatyCatch!$BL261:$BM261,TreatyCatch!$BO261:$BP261),"")</f>
        <v/>
      </c>
      <c r="L31" s="901" t="str">
        <f t="shared" si="10"/>
        <v/>
      </c>
      <c r="M31" s="893" t="str">
        <f>IF($I31,$I31*TreatyCatch!BO261/SUM(TreatyCatch!$BL261:$BM261,TreatyCatch!$BO261:$BP261),"")</f>
        <v/>
      </c>
      <c r="N31" s="894" t="str">
        <f>IF($I31,$I31*TreatyCatch!BP261/SUM(TreatyCatch!$BL261:$BM261,TreatyCatch!$BO261:$BP261),"")</f>
        <v/>
      </c>
      <c r="O31" s="957" t="str">
        <f t="shared" si="1"/>
        <v/>
      </c>
      <c r="P31" s="958"/>
      <c r="Q31" s="975" t="str">
        <f>IF($P31,$P31*TreatyCatch!BR261/SUM(TreatyCatch!$BR261:$BS261,TreatyCatch!$BU261:$BV261),"")</f>
        <v/>
      </c>
      <c r="R31" s="976" t="str">
        <f>IF($P31,$P31*TreatyCatch!BS261/SUM(TreatyCatch!$BR261:$BS261,TreatyCatch!$BU261:$BV261),"")</f>
        <v/>
      </c>
      <c r="S31" s="952" t="str">
        <f t="shared" si="13"/>
        <v/>
      </c>
      <c r="T31" s="961" t="str">
        <f>IF($P31,$P31*TreatyCatch!BU261/SUM(TreatyCatch!$BR261:$BS261,TreatyCatch!$BU261:$BV261),"")</f>
        <v/>
      </c>
      <c r="U31" s="962" t="str">
        <f>IF($P31,$P31*TreatyCatch!BV261/SUM(TreatyCatch!$BR261:$BS261,TreatyCatch!$BU261:$BV261),"")</f>
        <v/>
      </c>
      <c r="V31" s="925" t="str">
        <f t="shared" si="5"/>
        <v/>
      </c>
      <c r="W31" s="958"/>
      <c r="X31" s="882" t="str">
        <f>IF($W31,$W31*TreatyCatch!BX261/SUM(TreatyCatch!$BX261:$BY261,TreatyCatch!$CA261:$CB261),"")</f>
        <v/>
      </c>
      <c r="Y31" s="883" t="str">
        <f>IF($W31,$W31*TreatyCatch!BY261/SUM(TreatyCatch!$BX261:$BY261,TreatyCatch!$CA261:$CB261),"")</f>
        <v/>
      </c>
      <c r="Z31" s="901" t="str">
        <f t="shared" si="14"/>
        <v/>
      </c>
      <c r="AA31" s="893" t="str">
        <f>IF($W31,$W31*TreatyCatch!CA261/SUM(TreatyCatch!$BX261:$BY261,TreatyCatch!$CA261:$CB261),"")</f>
        <v/>
      </c>
      <c r="AB31" s="894" t="str">
        <f>IF($W31,$W31*TreatyCatch!CB261/SUM(TreatyCatch!$BX261:$BY261,TreatyCatch!$CA261:$CB261),"")</f>
        <v/>
      </c>
      <c r="AC31" s="957" t="str">
        <f t="shared" si="7"/>
        <v/>
      </c>
      <c r="AD31" s="958"/>
      <c r="AE31" s="1071" t="str">
        <f>IF($AD31,$AD31*TreatyCatch!CD261/SUM(TreatyCatch!$CD261:$CE261,TreatyCatch!$CG261:$CH261),"")</f>
        <v/>
      </c>
      <c r="AF31" s="1072" t="str">
        <f>IF($AD31,$AD31*TreatyCatch!CE261/SUM(TreatyCatch!$CD261:$CE261,TreatyCatch!$CG261:$CH261),"")</f>
        <v/>
      </c>
      <c r="AG31" s="1073" t="str">
        <f t="shared" si="11"/>
        <v/>
      </c>
      <c r="AH31" s="1059" t="str">
        <f>IF($AD31,$AD31*TreatyCatch!CG261/SUM(TreatyCatch!$CD261:CE261,TreatyCatch!$CG261:$CH261),"")</f>
        <v/>
      </c>
      <c r="AI31" s="1060" t="str">
        <f>IF($AD31,$AD31*TreatyCatch!CH261/SUM(TreatyCatch!$CD261:CF261,TreatyCatch!$CG261:$CH261),"")</f>
        <v/>
      </c>
      <c r="AJ31" s="1061" t="str">
        <f t="shared" si="9"/>
        <v/>
      </c>
      <c r="AK31" s="958"/>
      <c r="AL31" s="882"/>
      <c r="AM31" s="883"/>
      <c r="AN31" s="901"/>
      <c r="AO31" s="893"/>
      <c r="AP31" s="894"/>
      <c r="AQ31" s="957"/>
      <c r="AR31" s="958"/>
      <c r="AS31" s="975"/>
      <c r="AT31" s="976"/>
      <c r="AU31" s="952"/>
      <c r="AV31" s="961"/>
      <c r="AW31" s="962"/>
      <c r="AX31" s="925"/>
      <c r="AY31" s="958"/>
      <c r="AZ31" s="882"/>
      <c r="BA31" s="883"/>
      <c r="BB31" s="901"/>
      <c r="BC31" s="893"/>
      <c r="BD31" s="894"/>
      <c r="BE31" s="957"/>
      <c r="BF31" s="958"/>
      <c r="BG31" s="975"/>
      <c r="BH31" s="976"/>
      <c r="BI31" s="952"/>
      <c r="BJ31" s="961"/>
      <c r="BK31" s="962"/>
      <c r="BL31" s="925"/>
      <c r="BM31" s="958"/>
      <c r="BN31" s="882"/>
      <c r="BO31" s="883"/>
      <c r="BP31" s="901"/>
      <c r="BQ31" s="893"/>
      <c r="BR31" s="894"/>
      <c r="BS31" s="957"/>
      <c r="BT31" s="958"/>
      <c r="BU31" s="975"/>
      <c r="BV31" s="976"/>
      <c r="BW31" s="952"/>
      <c r="BX31" s="961"/>
      <c r="BY31" s="962"/>
      <c r="BZ31" s="925"/>
      <c r="CA31" s="958"/>
      <c r="CB31" s="882"/>
      <c r="CC31" s="883"/>
      <c r="CD31" s="901"/>
      <c r="CE31" s="893"/>
      <c r="CF31" s="894"/>
      <c r="CG31" s="957"/>
      <c r="CH31" s="958"/>
      <c r="CI31" s="975"/>
      <c r="CJ31" s="976"/>
      <c r="CK31" s="952"/>
      <c r="CL31" s="961"/>
      <c r="CM31" s="962"/>
      <c r="CN31" s="925"/>
    </row>
    <row r="32" spans="1:92" x14ac:dyDescent="0.25">
      <c r="A32" s="757">
        <v>24</v>
      </c>
      <c r="B32" s="765"/>
      <c r="C32" s="844" t="str">
        <f>IF($B32,$B32*TreatyCatch!BF262/SUM(TreatyCatch!$BF262:$BG262,TreatyCatch!$BI262:$BJ262),"")</f>
        <v/>
      </c>
      <c r="D32" s="844" t="str">
        <f>IF($B32,$B32*TreatyCatch!BG262/SUM(TreatyCatch!$BF262:$BG262,TreatyCatch!$BI262:$BJ262),"")</f>
        <v/>
      </c>
      <c r="E32" s="846" t="str">
        <f t="shared" si="12"/>
        <v/>
      </c>
      <c r="F32" s="838" t="str">
        <f>IF($B32,$B32*TreatyCatch!BI262/SUM(TreatyCatch!$BF262:$BG262,TreatyCatch!$BI262:$BJ262),"")</f>
        <v/>
      </c>
      <c r="G32" s="866" t="str">
        <f>IF($B32,$B32*TreatyCatch!BJ262/SUM(TreatyCatch!$BF262:$BG262,TreatyCatch!$BI262:$BJ262),"")</f>
        <v/>
      </c>
      <c r="H32" s="840" t="str">
        <f t="shared" si="3"/>
        <v/>
      </c>
      <c r="I32" s="765"/>
      <c r="J32" s="882" t="str">
        <f>IF($I32,$I32*TreatyCatch!BL262/SUM(TreatyCatch!$BL262:$BM262,TreatyCatch!$BO262:$BP262),"")</f>
        <v/>
      </c>
      <c r="K32" s="883" t="str">
        <f>IF($I32,$I32*TreatyCatch!BM262/SUM(TreatyCatch!$BL262:$BM262,TreatyCatch!$BO262:$BP262),"")</f>
        <v/>
      </c>
      <c r="L32" s="901" t="str">
        <f t="shared" si="10"/>
        <v/>
      </c>
      <c r="M32" s="893" t="str">
        <f>IF($I32,$I32*TreatyCatch!BO262/SUM(TreatyCatch!$BL262:$BM262,TreatyCatch!$BO262:$BP262),"")</f>
        <v/>
      </c>
      <c r="N32" s="894" t="str">
        <f>IF($I32,$I32*TreatyCatch!BP262/SUM(TreatyCatch!$BL262:$BM262,TreatyCatch!$BO262:$BP262),"")</f>
        <v/>
      </c>
      <c r="O32" s="957" t="str">
        <f t="shared" si="1"/>
        <v/>
      </c>
      <c r="P32" s="958"/>
      <c r="Q32" s="975" t="str">
        <f>IF($P32,$P32*TreatyCatch!BR262/SUM(TreatyCatch!$BR262:$BS262,TreatyCatch!$BU262:$BV262),"")</f>
        <v/>
      </c>
      <c r="R32" s="976" t="str">
        <f>IF($P32,$P32*TreatyCatch!BS262/SUM(TreatyCatch!$BR262:$BS262,TreatyCatch!$BU262:$BV262),"")</f>
        <v/>
      </c>
      <c r="S32" s="952" t="str">
        <f t="shared" si="13"/>
        <v/>
      </c>
      <c r="T32" s="961" t="str">
        <f>IF($P32,$P32*TreatyCatch!BU262/SUM(TreatyCatch!$BR262:$BS262,TreatyCatch!$BU262:$BV262),"")</f>
        <v/>
      </c>
      <c r="U32" s="962" t="str">
        <f>IF($P32,$P32*TreatyCatch!BV262/SUM(TreatyCatch!$BR262:$BS262,TreatyCatch!$BU262:$BV262),"")</f>
        <v/>
      </c>
      <c r="V32" s="925" t="str">
        <f t="shared" si="5"/>
        <v/>
      </c>
      <c r="W32" s="958"/>
      <c r="X32" s="882" t="str">
        <f>IF($W32,$W32*TreatyCatch!BX262/SUM(TreatyCatch!$BX262:$BY262,TreatyCatch!$CA262:$CB262),"")</f>
        <v/>
      </c>
      <c r="Y32" s="883" t="str">
        <f>IF($W32,$W32*TreatyCatch!BY262/SUM(TreatyCatch!$BX262:$BY262,TreatyCatch!$CA262:$CB262),"")</f>
        <v/>
      </c>
      <c r="Z32" s="901" t="str">
        <f t="shared" si="14"/>
        <v/>
      </c>
      <c r="AA32" s="893" t="str">
        <f>IF($W32,$W32*TreatyCatch!CA262/SUM(TreatyCatch!$BX262:$BY262,TreatyCatch!$CA262:$CB262),"")</f>
        <v/>
      </c>
      <c r="AB32" s="894" t="str">
        <f>IF($W32,$W32*TreatyCatch!CB262/SUM(TreatyCatch!$BX262:$BY262,TreatyCatch!$CA262:$CB262),"")</f>
        <v/>
      </c>
      <c r="AC32" s="957" t="str">
        <f t="shared" si="7"/>
        <v/>
      </c>
      <c r="AD32" s="958"/>
      <c r="AE32" s="1071" t="str">
        <f>IF($AD32,$AD32*TreatyCatch!CD262/SUM(TreatyCatch!$CD262:$CE262,TreatyCatch!$CG262:$CH262),"")</f>
        <v/>
      </c>
      <c r="AF32" s="1072" t="str">
        <f>IF($AD32,$AD32*TreatyCatch!CE262/SUM(TreatyCatch!$CD262:$CE262,TreatyCatch!$CG262:$CH262),"")</f>
        <v/>
      </c>
      <c r="AG32" s="1073" t="str">
        <f t="shared" si="11"/>
        <v/>
      </c>
      <c r="AH32" s="1059" t="str">
        <f>IF($AD32,$AD32*TreatyCatch!CG262/SUM(TreatyCatch!$CD262:CE262,TreatyCatch!$CG262:$CH262),"")</f>
        <v/>
      </c>
      <c r="AI32" s="1060" t="str">
        <f>IF($AD32,$AD32*TreatyCatch!CH262/SUM(TreatyCatch!$CD262:CF262,TreatyCatch!$CG262:$CH262),"")</f>
        <v/>
      </c>
      <c r="AJ32" s="1061" t="str">
        <f t="shared" si="9"/>
        <v/>
      </c>
      <c r="AK32" s="958"/>
      <c r="AL32" s="882"/>
      <c r="AM32" s="883"/>
      <c r="AN32" s="901"/>
      <c r="AO32" s="893"/>
      <c r="AP32" s="894"/>
      <c r="AQ32" s="957"/>
      <c r="AR32" s="958"/>
      <c r="AS32" s="975"/>
      <c r="AT32" s="976"/>
      <c r="AU32" s="952"/>
      <c r="AV32" s="961"/>
      <c r="AW32" s="962"/>
      <c r="AX32" s="925"/>
      <c r="AY32" s="958"/>
      <c r="AZ32" s="882"/>
      <c r="BA32" s="883"/>
      <c r="BB32" s="901"/>
      <c r="BC32" s="893"/>
      <c r="BD32" s="894"/>
      <c r="BE32" s="957"/>
      <c r="BF32" s="958"/>
      <c r="BG32" s="975"/>
      <c r="BH32" s="976"/>
      <c r="BI32" s="952"/>
      <c r="BJ32" s="961"/>
      <c r="BK32" s="962"/>
      <c r="BL32" s="925"/>
      <c r="BM32" s="958"/>
      <c r="BN32" s="882"/>
      <c r="BO32" s="883"/>
      <c r="BP32" s="901"/>
      <c r="BQ32" s="893"/>
      <c r="BR32" s="894"/>
      <c r="BS32" s="957"/>
      <c r="BT32" s="958"/>
      <c r="BU32" s="975"/>
      <c r="BV32" s="976"/>
      <c r="BW32" s="952"/>
      <c r="BX32" s="961"/>
      <c r="BY32" s="962"/>
      <c r="BZ32" s="925"/>
      <c r="CA32" s="958"/>
      <c r="CB32" s="882"/>
      <c r="CC32" s="883"/>
      <c r="CD32" s="901"/>
      <c r="CE32" s="893"/>
      <c r="CF32" s="894"/>
      <c r="CG32" s="957"/>
      <c r="CH32" s="958"/>
      <c r="CI32" s="975"/>
      <c r="CJ32" s="976"/>
      <c r="CK32" s="952"/>
      <c r="CL32" s="961"/>
      <c r="CM32" s="962"/>
      <c r="CN32" s="925"/>
    </row>
    <row r="33" spans="1:92" x14ac:dyDescent="0.25">
      <c r="A33" s="757">
        <v>25</v>
      </c>
      <c r="B33" s="765">
        <v>7</v>
      </c>
      <c r="C33" s="844">
        <f>IF($B33,$B33*TreatyCatch!BF263/SUM(TreatyCatch!$BF263:$BG263,TreatyCatch!$BI263:$BJ263),"")</f>
        <v>0.93333333333333324</v>
      </c>
      <c r="D33" s="844">
        <f>IF($B33,$B33*TreatyCatch!BG263/SUM(TreatyCatch!$BF263:$BG263,TreatyCatch!$BI263:$BJ263),"")</f>
        <v>0</v>
      </c>
      <c r="E33" s="846">
        <f t="shared" si="12"/>
        <v>0.93333333333333324</v>
      </c>
      <c r="F33" s="838">
        <f>IF($B33,$B33*TreatyCatch!BI263/SUM(TreatyCatch!$BF263:$BG263,TreatyCatch!$BI263:$BJ263),"")</f>
        <v>0.46666666666666662</v>
      </c>
      <c r="G33" s="866">
        <f>IF($B33,$B33*TreatyCatch!BJ263/SUM(TreatyCatch!$BF263:$BG263,TreatyCatch!$BI263:$BJ263),"")</f>
        <v>5.6</v>
      </c>
      <c r="H33" s="840">
        <f t="shared" si="3"/>
        <v>0.83682666666666661</v>
      </c>
      <c r="I33" s="765"/>
      <c r="J33" s="882" t="str">
        <f>IF($I33,$I33*TreatyCatch!BL263/SUM(TreatyCatch!$BL263:$BM263,TreatyCatch!$BO263:$BP263),"")</f>
        <v/>
      </c>
      <c r="K33" s="883" t="str">
        <f>IF($I33,$I33*TreatyCatch!BM263/SUM(TreatyCatch!$BL263:$BM263,TreatyCatch!$BO263:$BP263),"")</f>
        <v/>
      </c>
      <c r="L33" s="901" t="str">
        <f t="shared" si="10"/>
        <v/>
      </c>
      <c r="M33" s="893" t="str">
        <f>IF($I33,$I33*TreatyCatch!BO263/SUM(TreatyCatch!$BL263:$BM263,TreatyCatch!$BO263:$BP263),"")</f>
        <v/>
      </c>
      <c r="N33" s="894" t="str">
        <f>IF($I33,$I33*TreatyCatch!BP263/SUM(TreatyCatch!$BL263:$BM263,TreatyCatch!$BO263:$BP263),"")</f>
        <v/>
      </c>
      <c r="O33" s="957" t="str">
        <f t="shared" si="1"/>
        <v/>
      </c>
      <c r="P33" s="958"/>
      <c r="Q33" s="975" t="str">
        <f>IF($P33,$P33*TreatyCatch!BR263/SUM(TreatyCatch!$BR263:$BS263,TreatyCatch!$BU263:$BV263),"")</f>
        <v/>
      </c>
      <c r="R33" s="976" t="str">
        <f>IF($P33,$P33*TreatyCatch!BS263/SUM(TreatyCatch!$BR263:$BS263,TreatyCatch!$BU263:$BV263),"")</f>
        <v/>
      </c>
      <c r="S33" s="952" t="str">
        <f t="shared" si="13"/>
        <v/>
      </c>
      <c r="T33" s="961" t="str">
        <f>IF($P33,$P33*TreatyCatch!BU263/SUM(TreatyCatch!$BR263:$BS263,TreatyCatch!$BU263:$BV263),"")</f>
        <v/>
      </c>
      <c r="U33" s="962" t="str">
        <f>IF($P33,$P33*TreatyCatch!BV263/SUM(TreatyCatch!$BR263:$BS263,TreatyCatch!$BU263:$BV263),"")</f>
        <v/>
      </c>
      <c r="V33" s="925" t="str">
        <f t="shared" si="5"/>
        <v/>
      </c>
      <c r="W33" s="958"/>
      <c r="X33" s="882" t="str">
        <f>IF($W33,$W33*TreatyCatch!BX263/SUM(TreatyCatch!$BX263:$BY263,TreatyCatch!$CA263:$CB263),"")</f>
        <v/>
      </c>
      <c r="Y33" s="883" t="str">
        <f>IF($W33,$W33*TreatyCatch!BY263/SUM(TreatyCatch!$BX263:$BY263,TreatyCatch!$CA263:$CB263),"")</f>
        <v/>
      </c>
      <c r="Z33" s="901" t="str">
        <f t="shared" si="14"/>
        <v/>
      </c>
      <c r="AA33" s="893" t="str">
        <f>IF($W33,$W33*TreatyCatch!CA263/SUM(TreatyCatch!$BX263:$BY263,TreatyCatch!$CA263:$CB263),"")</f>
        <v/>
      </c>
      <c r="AB33" s="894" t="str">
        <f>IF($W33,$W33*TreatyCatch!CB263/SUM(TreatyCatch!$BX263:$BY263,TreatyCatch!$CA263:$CB263),"")</f>
        <v/>
      </c>
      <c r="AC33" s="957" t="str">
        <f t="shared" si="7"/>
        <v/>
      </c>
      <c r="AD33" s="958"/>
      <c r="AE33" s="1071" t="str">
        <f>IF($AD33,$AD33*TreatyCatch!CD263/SUM(TreatyCatch!$CD263:$CE263,TreatyCatch!$CG263:$CH263),"")</f>
        <v/>
      </c>
      <c r="AF33" s="1072" t="str">
        <f>IF($AD33,$AD33*TreatyCatch!CE263/SUM(TreatyCatch!$CD263:$CE263,TreatyCatch!$CG263:$CH263),"")</f>
        <v/>
      </c>
      <c r="AG33" s="1073" t="str">
        <f t="shared" si="11"/>
        <v/>
      </c>
      <c r="AH33" s="1059" t="str">
        <f>IF($AD33,$AD33*TreatyCatch!CG263/SUM(TreatyCatch!$CD263:CE263,TreatyCatch!$CG263:$CH263),"")</f>
        <v/>
      </c>
      <c r="AI33" s="1060" t="str">
        <f>IF($AD33,$AD33*TreatyCatch!CH263/SUM(TreatyCatch!$CD263:CF263,TreatyCatch!$CG263:$CH263),"")</f>
        <v/>
      </c>
      <c r="AJ33" s="1061" t="str">
        <f t="shared" si="9"/>
        <v/>
      </c>
      <c r="AK33" s="958"/>
      <c r="AL33" s="882"/>
      <c r="AM33" s="883"/>
      <c r="AN33" s="901"/>
      <c r="AO33" s="893"/>
      <c r="AP33" s="894"/>
      <c r="AQ33" s="957"/>
      <c r="AR33" s="958"/>
      <c r="AS33" s="975"/>
      <c r="AT33" s="976"/>
      <c r="AU33" s="952"/>
      <c r="AV33" s="961"/>
      <c r="AW33" s="962"/>
      <c r="AX33" s="925"/>
      <c r="AY33" s="958"/>
      <c r="AZ33" s="882"/>
      <c r="BA33" s="883"/>
      <c r="BB33" s="901"/>
      <c r="BC33" s="893"/>
      <c r="BD33" s="894"/>
      <c r="BE33" s="957"/>
      <c r="BF33" s="958"/>
      <c r="BG33" s="975"/>
      <c r="BH33" s="976"/>
      <c r="BI33" s="952"/>
      <c r="BJ33" s="961"/>
      <c r="BK33" s="962"/>
      <c r="BL33" s="925"/>
      <c r="BM33" s="958"/>
      <c r="BN33" s="882"/>
      <c r="BO33" s="883"/>
      <c r="BP33" s="901"/>
      <c r="BQ33" s="893"/>
      <c r="BR33" s="894"/>
      <c r="BS33" s="957"/>
      <c r="BT33" s="958"/>
      <c r="BU33" s="975"/>
      <c r="BV33" s="976"/>
      <c r="BW33" s="952"/>
      <c r="BX33" s="961"/>
      <c r="BY33" s="962"/>
      <c r="BZ33" s="925"/>
      <c r="CA33" s="958"/>
      <c r="CB33" s="882"/>
      <c r="CC33" s="883"/>
      <c r="CD33" s="901"/>
      <c r="CE33" s="893"/>
      <c r="CF33" s="894"/>
      <c r="CG33" s="957"/>
      <c r="CH33" s="958"/>
      <c r="CI33" s="975"/>
      <c r="CJ33" s="976"/>
      <c r="CK33" s="952"/>
      <c r="CL33" s="961"/>
      <c r="CM33" s="962"/>
      <c r="CN33" s="925"/>
    </row>
    <row r="34" spans="1:92" x14ac:dyDescent="0.25">
      <c r="A34" s="757">
        <v>26</v>
      </c>
      <c r="B34" s="765">
        <v>1</v>
      </c>
      <c r="C34" s="844">
        <f>IF($B34,$B34*TreatyCatch!BF264/SUM(TreatyCatch!$BF264:$BG264,TreatyCatch!$BI264:$BJ264),"")</f>
        <v>1</v>
      </c>
      <c r="D34" s="844">
        <f>IF($B34,$B34*TreatyCatch!BG264/SUM(TreatyCatch!$BF264:$BG264,TreatyCatch!$BI264:$BJ264),"")</f>
        <v>0</v>
      </c>
      <c r="E34" s="847">
        <f t="shared" si="12"/>
        <v>1</v>
      </c>
      <c r="F34" s="838">
        <f>IF($B34,$B34*TreatyCatch!BI264/SUM(TreatyCatch!$BF264:$BG264,TreatyCatch!$BI264:$BJ264),"")</f>
        <v>0</v>
      </c>
      <c r="G34" s="866">
        <f>IF($B34,$B34*TreatyCatch!BJ264/SUM(TreatyCatch!$BF264:$BG264,TreatyCatch!$BI264:$BJ264),"")</f>
        <v>0</v>
      </c>
      <c r="H34" s="840">
        <f t="shared" si="3"/>
        <v>0</v>
      </c>
      <c r="I34" s="765">
        <v>2</v>
      </c>
      <c r="J34" s="885">
        <f>IF($I34,$I34*TreatyCatch!BL264/SUM(TreatyCatch!$BL264:$BM264,TreatyCatch!$BO264:$BP264),"")</f>
        <v>0</v>
      </c>
      <c r="K34" s="886">
        <f>IF($I34,$I34*TreatyCatch!BM264/SUM(TreatyCatch!$BL264:$BM264,TreatyCatch!$BO264:$BP264),"")</f>
        <v>0.5</v>
      </c>
      <c r="L34" s="902">
        <f t="shared" si="10"/>
        <v>4.3999999999999997E-2</v>
      </c>
      <c r="M34" s="895">
        <f>IF($I34,$I34*TreatyCatch!BO264/SUM(TreatyCatch!$BL264:$BM264,TreatyCatch!$BO264:$BP264),"")</f>
        <v>0.5</v>
      </c>
      <c r="N34" s="896">
        <f>IF($I34,$I34*TreatyCatch!BP264/SUM(TreatyCatch!$BL264:$BM264,TreatyCatch!$BO264:$BP264),"")</f>
        <v>1</v>
      </c>
      <c r="O34" s="957">
        <f t="shared" si="1"/>
        <v>0.58650000000000002</v>
      </c>
      <c r="P34" s="958">
        <v>1</v>
      </c>
      <c r="Q34" s="977">
        <f>IF($P34,$P34*TreatyCatch!BR264/SUM(TreatyCatch!$BR264:$BS264,TreatyCatch!$BU264:$BV264),"")</f>
        <v>0</v>
      </c>
      <c r="R34" s="978">
        <f>IF($P34,$P34*TreatyCatch!BS264/SUM(TreatyCatch!$BR264:$BS264,TreatyCatch!$BU264:$BV264),"")</f>
        <v>0</v>
      </c>
      <c r="S34" s="953">
        <f t="shared" si="13"/>
        <v>0</v>
      </c>
      <c r="T34" s="967">
        <f>IF($P34,$P34*TreatyCatch!BU264/SUM(TreatyCatch!$BR264:$BS264,TreatyCatch!$BU264:$BV264),"")</f>
        <v>1</v>
      </c>
      <c r="U34" s="968">
        <f>IF($P34,$P34*TreatyCatch!BV264/SUM(TreatyCatch!$BR264:$BS264,TreatyCatch!$BU264:$BV264),"")</f>
        <v>0</v>
      </c>
      <c r="V34" s="925">
        <f t="shared" si="5"/>
        <v>1</v>
      </c>
      <c r="W34" s="958">
        <v>2</v>
      </c>
      <c r="X34" s="885">
        <v>1</v>
      </c>
      <c r="Y34" s="886">
        <v>0</v>
      </c>
      <c r="Z34" s="902">
        <f t="shared" si="14"/>
        <v>1</v>
      </c>
      <c r="AA34" s="895">
        <v>1</v>
      </c>
      <c r="AB34" s="896">
        <v>0</v>
      </c>
      <c r="AC34" s="957">
        <f t="shared" si="7"/>
        <v>1</v>
      </c>
      <c r="AD34" s="958">
        <v>2</v>
      </c>
      <c r="AE34" s="1087">
        <v>2</v>
      </c>
      <c r="AF34" s="1088">
        <v>0</v>
      </c>
      <c r="AG34" s="1076">
        <f t="shared" si="11"/>
        <v>2</v>
      </c>
      <c r="AH34" s="1087">
        <v>0</v>
      </c>
      <c r="AI34" s="1089">
        <v>0</v>
      </c>
      <c r="AJ34" s="1061">
        <f t="shared" si="9"/>
        <v>0</v>
      </c>
      <c r="AK34" s="958"/>
      <c r="AL34" s="885"/>
      <c r="AM34" s="886"/>
      <c r="AN34" s="902"/>
      <c r="AO34" s="895"/>
      <c r="AP34" s="896"/>
      <c r="AQ34" s="957"/>
      <c r="AR34" s="958">
        <v>3</v>
      </c>
      <c r="AS34" s="977">
        <v>0</v>
      </c>
      <c r="AT34" s="978">
        <v>0</v>
      </c>
      <c r="AU34" s="1076">
        <f t="shared" ref="AU34:AU35" si="17">IFERROR(AS34+BD$5*AT34,"")</f>
        <v>0</v>
      </c>
      <c r="AV34" s="967">
        <v>3</v>
      </c>
      <c r="AW34" s="968">
        <v>0</v>
      </c>
      <c r="AX34" s="1067">
        <f t="shared" ref="AX34" si="18">IFERROR(AV34+AW$5*AW34,"")</f>
        <v>3</v>
      </c>
      <c r="AY34" s="958"/>
      <c r="AZ34" s="885"/>
      <c r="BA34" s="886"/>
      <c r="BB34" s="902"/>
      <c r="BC34" s="895"/>
      <c r="BD34" s="896"/>
      <c r="BE34" s="963"/>
      <c r="BF34" s="958"/>
      <c r="BG34" s="977"/>
      <c r="BH34" s="978"/>
      <c r="BI34" s="1076"/>
      <c r="BJ34" s="967"/>
      <c r="BK34" s="968"/>
      <c r="BL34" s="1067"/>
      <c r="BM34" s="958"/>
      <c r="BN34" s="885"/>
      <c r="BO34" s="886"/>
      <c r="BP34" s="902"/>
      <c r="BQ34" s="895"/>
      <c r="BR34" s="896"/>
      <c r="BS34" s="963"/>
      <c r="BT34" s="958"/>
      <c r="BU34" s="977"/>
      <c r="BV34" s="978"/>
      <c r="BW34" s="1076"/>
      <c r="BX34" s="967"/>
      <c r="BY34" s="968"/>
      <c r="BZ34" s="1067"/>
      <c r="CA34" s="958"/>
      <c r="CB34" s="885"/>
      <c r="CC34" s="886"/>
      <c r="CD34" s="902"/>
      <c r="CE34" s="895"/>
      <c r="CF34" s="896"/>
      <c r="CG34" s="963"/>
      <c r="CH34" s="958"/>
      <c r="CI34" s="977"/>
      <c r="CJ34" s="978"/>
      <c r="CK34" s="1076"/>
      <c r="CL34" s="967"/>
      <c r="CM34" s="968"/>
      <c r="CN34" s="1067"/>
    </row>
    <row r="35" spans="1:92" x14ac:dyDescent="0.25">
      <c r="A35" s="763">
        <v>27</v>
      </c>
      <c r="B35" s="773">
        <v>14</v>
      </c>
      <c r="C35" s="848">
        <f>IF($B35,$B35*TreatyCatch!BF265/SUM(TreatyCatch!$BF265:$BG265,TreatyCatch!$BI265:$BJ265),"")</f>
        <v>6</v>
      </c>
      <c r="D35" s="848">
        <f>IF($B35,$B35*TreatyCatch!BG265/SUM(TreatyCatch!$BF265:$BG265,TreatyCatch!$BI265:$BJ265),"")</f>
        <v>0</v>
      </c>
      <c r="E35" s="846">
        <f t="shared" si="12"/>
        <v>6</v>
      </c>
      <c r="F35" s="874">
        <f>IF($B35,$B35*TreatyCatch!BI265/SUM(TreatyCatch!$BF265:$BG265,TreatyCatch!$BI265:$BJ265),"")</f>
        <v>2</v>
      </c>
      <c r="G35" s="888">
        <f>IF($B35,$B35*TreatyCatch!BJ265/SUM(TreatyCatch!$BF265:$BG265,TreatyCatch!$BI265:$BJ265),"")</f>
        <v>6</v>
      </c>
      <c r="H35" s="875">
        <f>IFERROR(F35+N$5*G35,"")</f>
        <v>2.5190000000000001</v>
      </c>
      <c r="I35" s="773">
        <v>2</v>
      </c>
      <c r="J35" s="882">
        <f>IF($I35,$I35*TreatyCatch!BL265/SUM(TreatyCatch!$BL265:$BM265,TreatyCatch!$BO265:$BP265),"")</f>
        <v>1</v>
      </c>
      <c r="K35" s="883">
        <f>IF($I35,$I35*TreatyCatch!BM265/SUM(TreatyCatch!$BL265:$BM265,TreatyCatch!$BO265:$BP265),"")</f>
        <v>0</v>
      </c>
      <c r="L35" s="901">
        <f t="shared" si="10"/>
        <v>1</v>
      </c>
      <c r="M35" s="858">
        <f>IF($I35,$I35*TreatyCatch!BO265/SUM(TreatyCatch!$BL265:$BM265,TreatyCatch!$BO265:$BP265),"")</f>
        <v>0</v>
      </c>
      <c r="N35" s="859">
        <f>IF($I35,$I35*TreatyCatch!BP265/SUM(TreatyCatch!$BL265:$BM265,TreatyCatch!$BO265:$BP265),"")</f>
        <v>1</v>
      </c>
      <c r="O35" s="924">
        <f>IFERROR(M35+N$5*U35,"")</f>
        <v>0.15570000000000001</v>
      </c>
      <c r="P35" s="969">
        <v>3</v>
      </c>
      <c r="Q35" s="975">
        <f>IF($P35,$P35*TreatyCatch!BR265/SUM(TreatyCatch!$BR265:$BS265,TreatyCatch!$BU265:$BV265),"")</f>
        <v>1.2</v>
      </c>
      <c r="R35" s="976">
        <f>IF($P35,$P35*TreatyCatch!BS265/SUM(TreatyCatch!$BR265:$BS265,TreatyCatch!$BU265:$BV265),"")</f>
        <v>0</v>
      </c>
      <c r="S35" s="952">
        <f t="shared" si="13"/>
        <v>1.2</v>
      </c>
      <c r="T35" s="954">
        <f>IF($P35,$P35*TreatyCatch!BU265/SUM(TreatyCatch!$BR265:$BS265,TreatyCatch!$BU265:$BV265),"")</f>
        <v>0</v>
      </c>
      <c r="U35" s="955">
        <f>IF($P35,$P35*TreatyCatch!BV265/SUM(TreatyCatch!$BR265:$BS265,TreatyCatch!$BU265:$BV265),"")</f>
        <v>1.8</v>
      </c>
      <c r="V35" s="956">
        <f>IFERROR(T35+AB$5*U35,"")</f>
        <v>0.15624000000000002</v>
      </c>
      <c r="W35" s="969">
        <v>4</v>
      </c>
      <c r="X35" s="882">
        <v>0</v>
      </c>
      <c r="Y35" s="883">
        <v>0</v>
      </c>
      <c r="Z35" s="901">
        <f t="shared" si="14"/>
        <v>0</v>
      </c>
      <c r="AA35" s="858">
        <v>3</v>
      </c>
      <c r="AB35" s="859">
        <v>1</v>
      </c>
      <c r="AC35" s="924">
        <f>IFERROR(AA35+AI$5*AB35,"")</f>
        <v>3.0884999999999998</v>
      </c>
      <c r="AD35" s="969">
        <v>2</v>
      </c>
      <c r="AE35" s="1090">
        <v>1</v>
      </c>
      <c r="AF35" s="1091">
        <v>0</v>
      </c>
      <c r="AG35" s="1073">
        <f t="shared" si="11"/>
        <v>1</v>
      </c>
      <c r="AH35" s="1149">
        <v>0</v>
      </c>
      <c r="AI35" s="1150">
        <v>1</v>
      </c>
      <c r="AJ35" s="1148">
        <f>IFERROR(AH35+AI$5*AI35,"")</f>
        <v>8.8499999999999995E-2</v>
      </c>
      <c r="AK35" s="969"/>
      <c r="AL35" s="882"/>
      <c r="AM35" s="883"/>
      <c r="AN35" s="901"/>
      <c r="AO35" s="858"/>
      <c r="AP35" s="859"/>
      <c r="AQ35" s="924"/>
      <c r="AR35" s="969">
        <v>2</v>
      </c>
      <c r="AS35" s="975">
        <v>0</v>
      </c>
      <c r="AT35" s="976">
        <v>0</v>
      </c>
      <c r="AU35" s="1073">
        <f t="shared" si="17"/>
        <v>0</v>
      </c>
      <c r="AV35" s="954">
        <v>1</v>
      </c>
      <c r="AW35" s="955">
        <v>0</v>
      </c>
      <c r="AX35" s="1080">
        <f t="shared" ref="AX35" si="19">IFERROR(AV35+BD$5*AW35,"")</f>
        <v>1</v>
      </c>
      <c r="AY35" s="969">
        <v>1</v>
      </c>
      <c r="AZ35" s="882">
        <v>0.3</v>
      </c>
      <c r="BA35" s="883">
        <v>0</v>
      </c>
      <c r="BB35" s="1058">
        <f t="shared" ref="BB35" si="20">IFERROR(AZ35+BK$5*BA35,"")</f>
        <v>0.3</v>
      </c>
      <c r="BC35" s="858">
        <v>0</v>
      </c>
      <c r="BD35" s="859">
        <v>0.7</v>
      </c>
      <c r="BE35" s="1061">
        <f>IFERROR(BC35+BK$5*BD35,"")</f>
        <v>5.978E-2</v>
      </c>
      <c r="BF35" s="969"/>
      <c r="BG35" s="975"/>
      <c r="BH35" s="976"/>
      <c r="BI35" s="1073"/>
      <c r="BJ35" s="954"/>
      <c r="BK35" s="955"/>
      <c r="BL35" s="1080"/>
      <c r="BM35" s="969"/>
      <c r="BN35" s="882"/>
      <c r="BO35" s="883"/>
      <c r="BP35" s="1058"/>
      <c r="BQ35" s="858"/>
      <c r="BR35" s="859"/>
      <c r="BS35" s="1061"/>
      <c r="BT35" s="969"/>
      <c r="BU35" s="975"/>
      <c r="BV35" s="976"/>
      <c r="BW35" s="1073"/>
      <c r="BX35" s="954"/>
      <c r="BY35" s="955"/>
      <c r="BZ35" s="1080"/>
      <c r="CA35" s="958">
        <f>SUM(CB35:CC36,CE35:CF35)</f>
        <v>1</v>
      </c>
      <c r="CB35" s="882">
        <v>0</v>
      </c>
      <c r="CC35" s="883">
        <v>0</v>
      </c>
      <c r="CD35" s="901">
        <f>CB35+CC35*CM$5</f>
        <v>0</v>
      </c>
      <c r="CE35" s="858">
        <v>1</v>
      </c>
      <c r="CF35" s="859">
        <v>0</v>
      </c>
      <c r="CG35" s="840">
        <f>CE35+CF35*CM$5</f>
        <v>1</v>
      </c>
      <c r="CH35" s="969"/>
      <c r="CI35" s="975"/>
      <c r="CJ35" s="976"/>
      <c r="CK35" s="1073"/>
      <c r="CL35" s="954"/>
      <c r="CM35" s="955"/>
      <c r="CN35" s="1080"/>
    </row>
    <row r="36" spans="1:92" x14ac:dyDescent="0.25">
      <c r="A36" s="757">
        <v>28</v>
      </c>
      <c r="B36" s="765">
        <v>4</v>
      </c>
      <c r="C36" s="844">
        <f>IF($B36,$B36*TreatyCatch!BF266/SUM(TreatyCatch!$BF266:$BG266,TreatyCatch!$BI266:$BJ266),"")</f>
        <v>4</v>
      </c>
      <c r="D36" s="844">
        <f>IF($B36,$B36*TreatyCatch!BG266/SUM(TreatyCatch!$BF266:$BG266,TreatyCatch!$BI266:$BJ266),"")</f>
        <v>0</v>
      </c>
      <c r="E36" s="846">
        <f t="shared" si="12"/>
        <v>4</v>
      </c>
      <c r="F36" s="876">
        <f>IF($B36,$B36*TreatyCatch!BI266/SUM(TreatyCatch!$BF266:$BG266,TreatyCatch!$BI266:$BJ266),"")</f>
        <v>0</v>
      </c>
      <c r="G36" s="889">
        <f>IF($B36,$B36*TreatyCatch!BJ266/SUM(TreatyCatch!$BF266:$BG266,TreatyCatch!$BI266:$BJ266),"")</f>
        <v>0</v>
      </c>
      <c r="H36" s="877">
        <f t="shared" ref="H36:H61" si="21">IFERROR(F36+N$5*G36,"")</f>
        <v>0</v>
      </c>
      <c r="I36" s="765"/>
      <c r="J36" s="882" t="str">
        <f>IF($I36,$I36*TreatyCatch!BL266/SUM(TreatyCatch!$BL266:$BM266,TreatyCatch!$BO266:$BP266),"")</f>
        <v/>
      </c>
      <c r="K36" s="883" t="str">
        <f>IF($I36,$I36*TreatyCatch!BM266/SUM(TreatyCatch!$BL266:$BM266,TreatyCatch!$BO266:$BP266),"")</f>
        <v/>
      </c>
      <c r="L36" s="901" t="str">
        <f t="shared" ref="L36:L61" si="22">IFERROR(J36+U$5*K36,"")</f>
        <v/>
      </c>
      <c r="M36" s="858" t="str">
        <f>IF($I36,$I36*TreatyCatch!BO266/SUM(TreatyCatch!$BL266:$BM266,TreatyCatch!$BO266:$BP266),"")</f>
        <v/>
      </c>
      <c r="N36" s="859" t="str">
        <f>IF($I36,$I36*TreatyCatch!BP266/SUM(TreatyCatch!$BL266:$BM266,TreatyCatch!$BO266:$BP266),"")</f>
        <v/>
      </c>
      <c r="O36" s="925" t="str">
        <f t="shared" ref="O36:O61" si="23">IFERROR(M36+N$5*U36,"")</f>
        <v/>
      </c>
      <c r="P36" s="958"/>
      <c r="Q36" s="975" t="str">
        <f>IF($P36,$P36*TreatyCatch!BR266/SUM(TreatyCatch!$BR266:$BS266,TreatyCatch!$BU266:$BV266),"")</f>
        <v/>
      </c>
      <c r="R36" s="976" t="str">
        <f>IF($P36,$P36*TreatyCatch!BS266/SUM(TreatyCatch!$BR266:$BS266,TreatyCatch!$BU266:$BV266),"")</f>
        <v/>
      </c>
      <c r="S36" s="952" t="str">
        <f t="shared" si="13"/>
        <v/>
      </c>
      <c r="T36" s="954" t="str">
        <f>IF($P36,$P36*TreatyCatch!BU266/SUM(TreatyCatch!$BR266:$BS266,TreatyCatch!$BU266:$BV266),"")</f>
        <v/>
      </c>
      <c r="U36" s="955" t="str">
        <f>IF($P36,$P36*TreatyCatch!BV266/SUM(TreatyCatch!$BR266:$BS266,TreatyCatch!$BU266:$BV266),"")</f>
        <v/>
      </c>
      <c r="V36" s="957" t="str">
        <f t="shared" ref="V36:V61" si="24">IFERROR(T36+AB$5*U36,"")</f>
        <v/>
      </c>
      <c r="W36" s="958">
        <v>3</v>
      </c>
      <c r="X36" s="882">
        <v>1.5</v>
      </c>
      <c r="Y36" s="883">
        <f>IF($W36,$W36*TreatyCatch!BY266/SUM(TreatyCatch!$BX266:$BY266,TreatyCatch!$CA266:$CB266),"")</f>
        <v>0</v>
      </c>
      <c r="Z36" s="901">
        <f t="shared" si="14"/>
        <v>1.5</v>
      </c>
      <c r="AA36" s="858">
        <v>1.5</v>
      </c>
      <c r="AB36" s="859">
        <f>IF($W36,$W36*TreatyCatch!CB266/SUM(TreatyCatch!$BX266:$BY266,TreatyCatch!$CA266:$CB266),"")</f>
        <v>0</v>
      </c>
      <c r="AC36" s="925">
        <f t="shared" ref="AC36:AC61" si="25">IFERROR(AA36+AI$5*AB36,"")</f>
        <v>1.5</v>
      </c>
      <c r="AD36" s="958">
        <v>1</v>
      </c>
      <c r="AE36" s="1090">
        <v>0</v>
      </c>
      <c r="AF36" s="1091">
        <v>0</v>
      </c>
      <c r="AG36" s="1073">
        <f t="shared" si="11"/>
        <v>0</v>
      </c>
      <c r="AH36" s="1091">
        <v>0</v>
      </c>
      <c r="AI36" s="1092">
        <v>1</v>
      </c>
      <c r="AJ36" s="1080">
        <f t="shared" ref="AJ36" si="26">IFERROR(AH36+AP$5*AI36,"")</f>
        <v>8.7800000000000003E-2</v>
      </c>
      <c r="AK36" s="958"/>
      <c r="AL36" s="882"/>
      <c r="AM36" s="883"/>
      <c r="AN36" s="901"/>
      <c r="AO36" s="858"/>
      <c r="AP36" s="859"/>
      <c r="AQ36" s="925"/>
      <c r="AR36" s="958"/>
      <c r="AS36" s="975"/>
      <c r="AT36" s="976"/>
      <c r="AU36" s="952"/>
      <c r="AV36" s="954"/>
      <c r="AW36" s="955"/>
      <c r="AX36" s="1080"/>
      <c r="AY36" s="958"/>
      <c r="AZ36" s="882"/>
      <c r="BA36" s="883"/>
      <c r="BB36" s="901"/>
      <c r="BC36" s="858"/>
      <c r="BD36" s="859"/>
      <c r="BE36" s="925"/>
      <c r="BF36" s="958"/>
      <c r="BG36" s="975"/>
      <c r="BH36" s="976"/>
      <c r="BI36" s="952"/>
      <c r="BJ36" s="954"/>
      <c r="BK36" s="955"/>
      <c r="BL36" s="1080"/>
      <c r="BM36" s="958"/>
      <c r="BN36" s="882"/>
      <c r="BO36" s="883"/>
      <c r="BP36" s="901"/>
      <c r="BQ36" s="858"/>
      <c r="BR36" s="859"/>
      <c r="BS36" s="925"/>
      <c r="BT36" s="958"/>
      <c r="BU36" s="975"/>
      <c r="BV36" s="976"/>
      <c r="BW36" s="952"/>
      <c r="BX36" s="954"/>
      <c r="BY36" s="955"/>
      <c r="BZ36" s="1080"/>
      <c r="CA36" s="958"/>
      <c r="CB36" s="882"/>
      <c r="CC36" s="883"/>
      <c r="CD36" s="901"/>
      <c r="CE36" s="858"/>
      <c r="CF36" s="859"/>
      <c r="CG36" s="925"/>
      <c r="CH36" s="958"/>
      <c r="CI36" s="975"/>
      <c r="CJ36" s="976"/>
      <c r="CK36" s="952"/>
      <c r="CL36" s="954"/>
      <c r="CM36" s="955"/>
      <c r="CN36" s="1080"/>
    </row>
    <row r="37" spans="1:92" x14ac:dyDescent="0.25">
      <c r="A37" s="757">
        <v>29</v>
      </c>
      <c r="B37" s="765"/>
      <c r="C37" s="844" t="str">
        <f>IF($B37,$B37*TreatyCatch!BF267/SUM(TreatyCatch!$BF267:$BG267,TreatyCatch!$BI267:$BJ267),"")</f>
        <v/>
      </c>
      <c r="D37" s="844" t="str">
        <f>IF($B37,$B37*TreatyCatch!BG267/SUM(TreatyCatch!$BF267:$BG267,TreatyCatch!$BI267:$BJ267),"")</f>
        <v/>
      </c>
      <c r="E37" s="846" t="str">
        <f t="shared" si="12"/>
        <v/>
      </c>
      <c r="F37" s="876" t="str">
        <f>IF($B37,$B37*TreatyCatch!BI267/SUM(TreatyCatch!$BF267:$BG267,TreatyCatch!$BI267:$BJ267),"")</f>
        <v/>
      </c>
      <c r="G37" s="889" t="str">
        <f>IF($B37,$B37*TreatyCatch!BJ267/SUM(TreatyCatch!$BF267:$BG267,TreatyCatch!$BI267:$BJ267),"")</f>
        <v/>
      </c>
      <c r="H37" s="877" t="str">
        <f t="shared" si="21"/>
        <v/>
      </c>
      <c r="I37" s="765"/>
      <c r="J37" s="882" t="str">
        <f>IF($I37,$I37*TreatyCatch!BL267/SUM(TreatyCatch!$BL267:$BM267,TreatyCatch!$BO267:$BP267),"")</f>
        <v/>
      </c>
      <c r="K37" s="883" t="str">
        <f>IF($I37,$I37*TreatyCatch!BM267/SUM(TreatyCatch!$BL267:$BM267,TreatyCatch!$BO267:$BP267),"")</f>
        <v/>
      </c>
      <c r="L37" s="901" t="str">
        <f t="shared" si="22"/>
        <v/>
      </c>
      <c r="M37" s="858" t="str">
        <f>IF($I37,$I37*TreatyCatch!BO267/SUM(TreatyCatch!$BL267:$BM267,TreatyCatch!$BO267:$BP267),"")</f>
        <v/>
      </c>
      <c r="N37" s="859" t="str">
        <f>IF($I37,$I37*TreatyCatch!BP267/SUM(TreatyCatch!$BL267:$BM267,TreatyCatch!$BO267:$BP267),"")</f>
        <v/>
      </c>
      <c r="O37" s="840" t="str">
        <f t="shared" si="23"/>
        <v/>
      </c>
      <c r="P37" s="765"/>
      <c r="Q37" s="852" t="str">
        <f>IF($P37,$P37*TreatyCatch!BR267/SUM(TreatyCatch!$BR267:$BS267,TreatyCatch!$BU267:$BV267),"")</f>
        <v/>
      </c>
      <c r="R37" s="853" t="str">
        <f>IF($P37,$P37*TreatyCatch!BS267/SUM(TreatyCatch!$BR267:$BS267,TreatyCatch!$BU267:$BV267),"")</f>
        <v/>
      </c>
      <c r="S37" s="846" t="str">
        <f t="shared" si="13"/>
        <v/>
      </c>
      <c r="T37" s="893" t="str">
        <f>IF($P37,$P37*TreatyCatch!BU267/SUM(TreatyCatch!$BR267:$BS267,TreatyCatch!$BU267:$BV267),"")</f>
        <v/>
      </c>
      <c r="U37" s="894" t="str">
        <f>IF($P37,$P37*TreatyCatch!BV267/SUM(TreatyCatch!$BR267:$BS267,TreatyCatch!$BU267:$BV267),"")</f>
        <v/>
      </c>
      <c r="V37" s="877" t="str">
        <f t="shared" si="24"/>
        <v/>
      </c>
      <c r="W37" s="958"/>
      <c r="X37" s="882" t="str">
        <f>IF($W37,$W37*TreatyCatch!BX267/SUM(TreatyCatch!$BX267:$BY267,TreatyCatch!$CA267:$CB267),"")</f>
        <v/>
      </c>
      <c r="Y37" s="883" t="str">
        <f>IF($W37,$W37*TreatyCatch!BY267/SUM(TreatyCatch!$BX267:$BY267,TreatyCatch!$CA267:$CB267),"")</f>
        <v/>
      </c>
      <c r="Z37" s="901" t="str">
        <f t="shared" si="14"/>
        <v/>
      </c>
      <c r="AA37" s="858" t="str">
        <f>IF($W37,$W37*TreatyCatch!CA267/SUM(TreatyCatch!$BX267:$BY267,TreatyCatch!$CA267:$CB267),"")</f>
        <v/>
      </c>
      <c r="AB37" s="859" t="str">
        <f>IF($W37,$W37*TreatyCatch!CB267/SUM(TreatyCatch!$BX267:$BY267,TreatyCatch!$CA267:$CB267),"")</f>
        <v/>
      </c>
      <c r="AC37" s="840" t="str">
        <f t="shared" si="25"/>
        <v/>
      </c>
      <c r="AD37" s="958"/>
      <c r="AE37" s="1071" t="str">
        <f>IF($AD37,$AD37*TreatyCatch!CD267/SUM(TreatyCatch!$CD267:$CE267,TreatyCatch!$CG267:$CH267),"")</f>
        <v/>
      </c>
      <c r="AF37" s="1072" t="str">
        <f>IF($AD37,$AD37*TreatyCatch!CE267/SUM(TreatyCatch!$CD267:$CE267,TreatyCatch!$CG267:$CH267),"")</f>
        <v/>
      </c>
      <c r="AG37" s="1073" t="str">
        <f t="shared" si="11"/>
        <v/>
      </c>
      <c r="AH37" s="1077" t="str">
        <f>IF($AD37,$AD37*TreatyCatch!CG267/SUM(TreatyCatch!$CD267:CE267,TreatyCatch!$CG267:$CH267),"")</f>
        <v/>
      </c>
      <c r="AI37" s="1078" t="str">
        <f>IF($AD37,$AD37*TreatyCatch!CH267/SUM(TreatyCatch!$CD267:CF267,TreatyCatch!$CG267:$CH267),"")</f>
        <v/>
      </c>
      <c r="AJ37" s="1080" t="str">
        <f t="shared" ref="AJ37:AJ61" si="27">IFERROR(AH37+AP$5*AI37,"")</f>
        <v/>
      </c>
      <c r="AK37" s="958"/>
      <c r="AL37" s="882"/>
      <c r="AM37" s="883"/>
      <c r="AN37" s="901"/>
      <c r="AO37" s="858"/>
      <c r="AP37" s="859"/>
      <c r="AQ37" s="840"/>
      <c r="AR37" s="765"/>
      <c r="AS37" s="852"/>
      <c r="AT37" s="853"/>
      <c r="AU37" s="846"/>
      <c r="AV37" s="893"/>
      <c r="AW37" s="894"/>
      <c r="AX37" s="877"/>
      <c r="AY37" s="765"/>
      <c r="AZ37" s="882"/>
      <c r="BA37" s="883"/>
      <c r="BB37" s="901"/>
      <c r="BC37" s="858"/>
      <c r="BD37" s="859"/>
      <c r="BE37" s="840"/>
      <c r="BF37" s="765"/>
      <c r="BG37" s="852"/>
      <c r="BH37" s="853"/>
      <c r="BI37" s="846"/>
      <c r="BJ37" s="893"/>
      <c r="BK37" s="894"/>
      <c r="BL37" s="877"/>
      <c r="BM37" s="765"/>
      <c r="BN37" s="882"/>
      <c r="BO37" s="883"/>
      <c r="BP37" s="901"/>
      <c r="BQ37" s="858"/>
      <c r="BR37" s="859"/>
      <c r="BS37" s="840"/>
      <c r="BT37" s="765"/>
      <c r="BU37" s="852"/>
      <c r="BV37" s="853"/>
      <c r="BW37" s="846"/>
      <c r="BX37" s="893"/>
      <c r="BY37" s="894"/>
      <c r="BZ37" s="877"/>
      <c r="CA37" s="765"/>
      <c r="CB37" s="882"/>
      <c r="CC37" s="883"/>
      <c r="CD37" s="901"/>
      <c r="CE37" s="858"/>
      <c r="CF37" s="859"/>
      <c r="CG37" s="840"/>
      <c r="CH37" s="765"/>
      <c r="CI37" s="852"/>
      <c r="CJ37" s="853"/>
      <c r="CK37" s="846"/>
      <c r="CL37" s="893"/>
      <c r="CM37" s="894"/>
      <c r="CN37" s="877"/>
    </row>
    <row r="38" spans="1:92" x14ac:dyDescent="0.25">
      <c r="A38" s="757">
        <v>30</v>
      </c>
      <c r="B38" s="765"/>
      <c r="C38" s="844" t="str">
        <f>IF($B38,$B38*TreatyCatch!BF268/SUM(TreatyCatch!$BF268:$BG268,TreatyCatch!$BI268:$BJ268),"")</f>
        <v/>
      </c>
      <c r="D38" s="844" t="str">
        <f>IF($B38,$B38*TreatyCatch!BG268/SUM(TreatyCatch!$BF268:$BG268,TreatyCatch!$BI268:$BJ268),"")</f>
        <v/>
      </c>
      <c r="E38" s="846" t="str">
        <f t="shared" si="12"/>
        <v/>
      </c>
      <c r="F38" s="876" t="str">
        <f>IF($B38,$B38*TreatyCatch!BI268/SUM(TreatyCatch!$BF268:$BG268,TreatyCatch!$BI268:$BJ268),"")</f>
        <v/>
      </c>
      <c r="G38" s="889" t="str">
        <f>IF($B38,$B38*TreatyCatch!BJ268/SUM(TreatyCatch!$BF268:$BG268,TreatyCatch!$BI268:$BJ268),"")</f>
        <v/>
      </c>
      <c r="H38" s="877" t="str">
        <f t="shared" si="21"/>
        <v/>
      </c>
      <c r="I38" s="765"/>
      <c r="J38" s="882" t="str">
        <f>IF($I38,$I38*TreatyCatch!BL268/SUM(TreatyCatch!$BL268:$BM268,TreatyCatch!$BO268:$BP268),"")</f>
        <v/>
      </c>
      <c r="K38" s="883" t="str">
        <f>IF($I38,$I38*TreatyCatch!BM268/SUM(TreatyCatch!$BL268:$BM268,TreatyCatch!$BO268:$BP268),"")</f>
        <v/>
      </c>
      <c r="L38" s="901" t="str">
        <f t="shared" si="22"/>
        <v/>
      </c>
      <c r="M38" s="858" t="str">
        <f>IF($I38,$I38*TreatyCatch!BO268/SUM(TreatyCatch!$BL268:$BM268,TreatyCatch!$BO268:$BP268),"")</f>
        <v/>
      </c>
      <c r="N38" s="859" t="str">
        <f>IF($I38,$I38*TreatyCatch!BP268/SUM(TreatyCatch!$BL268:$BM268,TreatyCatch!$BO268:$BP268),"")</f>
        <v/>
      </c>
      <c r="O38" s="840" t="str">
        <f t="shared" si="23"/>
        <v/>
      </c>
      <c r="P38" s="765"/>
      <c r="Q38" s="852" t="str">
        <f>IF($P38,$P38*TreatyCatch!BR268/SUM(TreatyCatch!$BR268:$BS268,TreatyCatch!$BU268:$BV268),"")</f>
        <v/>
      </c>
      <c r="R38" s="853" t="str">
        <f>IF($P38,$P38*TreatyCatch!BS268/SUM(TreatyCatch!$BR268:$BS268,TreatyCatch!$BU268:$BV268),"")</f>
        <v/>
      </c>
      <c r="S38" s="846" t="str">
        <f t="shared" si="13"/>
        <v/>
      </c>
      <c r="T38" s="893" t="str">
        <f>IF($P38,$P38*TreatyCatch!BU268/SUM(TreatyCatch!$BR268:$BS268,TreatyCatch!$BU268:$BV268),"")</f>
        <v/>
      </c>
      <c r="U38" s="894" t="str">
        <f>IF($P38,$P38*TreatyCatch!BV268/SUM(TreatyCatch!$BR268:$BS268,TreatyCatch!$BU268:$BV268),"")</f>
        <v/>
      </c>
      <c r="V38" s="877" t="str">
        <f t="shared" si="24"/>
        <v/>
      </c>
      <c r="W38" s="958"/>
      <c r="X38" s="882" t="str">
        <f>IF($W38,$W38*TreatyCatch!BX268/SUM(TreatyCatch!$BX268:$BY268,TreatyCatch!$CA268:$CB268),"")</f>
        <v/>
      </c>
      <c r="Y38" s="883" t="str">
        <f>IF($W38,$W38*TreatyCatch!BY268/SUM(TreatyCatch!$BX268:$BY268,TreatyCatch!$CA268:$CB268),"")</f>
        <v/>
      </c>
      <c r="Z38" s="901" t="str">
        <f t="shared" si="14"/>
        <v/>
      </c>
      <c r="AA38" s="858" t="str">
        <f>IF($W38,$W38*TreatyCatch!CA268/SUM(TreatyCatch!$BX268:$BY268,TreatyCatch!$CA268:$CB268),"")</f>
        <v/>
      </c>
      <c r="AB38" s="859" t="str">
        <f>IF($W38,$W38*TreatyCatch!CB268/SUM(TreatyCatch!$BX268:$BY268,TreatyCatch!$CA268:$CB268),"")</f>
        <v/>
      </c>
      <c r="AC38" s="840" t="str">
        <f t="shared" si="25"/>
        <v/>
      </c>
      <c r="AD38" s="958"/>
      <c r="AE38" s="1071" t="str">
        <f>IF($AD38,$AD38*TreatyCatch!CD268/SUM(TreatyCatch!$CD268:$CE268,TreatyCatch!$CG268:$CH268),"")</f>
        <v/>
      </c>
      <c r="AF38" s="1072" t="str">
        <f>IF($AD38,$AD38*TreatyCatch!CE268/SUM(TreatyCatch!$CD268:$CE268,TreatyCatch!$CG268:$CH268),"")</f>
        <v/>
      </c>
      <c r="AG38" s="1073" t="str">
        <f t="shared" si="11"/>
        <v/>
      </c>
      <c r="AH38" s="1077" t="str">
        <f>IF($AD38,$AD38*TreatyCatch!CG268/SUM(TreatyCatch!$CD268:CE268,TreatyCatch!$CG268:$CH268),"")</f>
        <v/>
      </c>
      <c r="AI38" s="1078" t="str">
        <f>IF($AD38,$AD38*TreatyCatch!CH268/SUM(TreatyCatch!$CD268:CF268,TreatyCatch!$CG268:$CH268),"")</f>
        <v/>
      </c>
      <c r="AJ38" s="1080" t="str">
        <f t="shared" si="27"/>
        <v/>
      </c>
      <c r="AK38" s="958"/>
      <c r="AL38" s="882"/>
      <c r="AM38" s="883"/>
      <c r="AN38" s="901"/>
      <c r="AO38" s="858"/>
      <c r="AP38" s="859"/>
      <c r="AQ38" s="840"/>
      <c r="AR38" s="765"/>
      <c r="AS38" s="852"/>
      <c r="AT38" s="853"/>
      <c r="AU38" s="846"/>
      <c r="AV38" s="893"/>
      <c r="AW38" s="894"/>
      <c r="AX38" s="877"/>
      <c r="AY38" s="765"/>
      <c r="AZ38" s="882"/>
      <c r="BA38" s="883"/>
      <c r="BB38" s="901"/>
      <c r="BC38" s="858"/>
      <c r="BD38" s="859"/>
      <c r="BE38" s="840"/>
      <c r="BF38" s="765"/>
      <c r="BG38" s="852"/>
      <c r="BH38" s="853"/>
      <c r="BI38" s="846"/>
      <c r="BJ38" s="893"/>
      <c r="BK38" s="894"/>
      <c r="BL38" s="877"/>
      <c r="BM38" s="765"/>
      <c r="BN38" s="882"/>
      <c r="BO38" s="883"/>
      <c r="BP38" s="901"/>
      <c r="BQ38" s="858"/>
      <c r="BR38" s="859"/>
      <c r="BS38" s="840"/>
      <c r="BT38" s="765"/>
      <c r="BU38" s="852"/>
      <c r="BV38" s="853"/>
      <c r="BW38" s="846"/>
      <c r="BX38" s="893"/>
      <c r="BY38" s="894"/>
      <c r="BZ38" s="877"/>
      <c r="CA38" s="765"/>
      <c r="CB38" s="882"/>
      <c r="CC38" s="883"/>
      <c r="CD38" s="901"/>
      <c r="CE38" s="858"/>
      <c r="CF38" s="859"/>
      <c r="CG38" s="840"/>
      <c r="CH38" s="765"/>
      <c r="CI38" s="852"/>
      <c r="CJ38" s="853"/>
      <c r="CK38" s="846"/>
      <c r="CL38" s="893"/>
      <c r="CM38" s="894"/>
      <c r="CN38" s="877"/>
    </row>
    <row r="39" spans="1:92" x14ac:dyDescent="0.25">
      <c r="A39" s="757">
        <v>31</v>
      </c>
      <c r="B39" s="765"/>
      <c r="C39" s="844" t="str">
        <f>IF($B39,$B39*TreatyCatch!BF269/SUM(TreatyCatch!$BF269:$BG269,TreatyCatch!$BI269:$BJ269),"")</f>
        <v/>
      </c>
      <c r="D39" s="844" t="str">
        <f>IF($B39,$B39*TreatyCatch!BG269/SUM(TreatyCatch!$BF269:$BG269,TreatyCatch!$BI269:$BJ269),"")</f>
        <v/>
      </c>
      <c r="E39" s="846" t="str">
        <f t="shared" si="12"/>
        <v/>
      </c>
      <c r="F39" s="876" t="str">
        <f>IF($B39,$B39*TreatyCatch!BI269/SUM(TreatyCatch!$BF269:$BG269,TreatyCatch!$BI269:$BJ269),"")</f>
        <v/>
      </c>
      <c r="G39" s="889" t="str">
        <f>IF($B39,$B39*TreatyCatch!BJ269/SUM(TreatyCatch!$BF269:$BG269,TreatyCatch!$BI269:$BJ269),"")</f>
        <v/>
      </c>
      <c r="H39" s="877" t="str">
        <f t="shared" si="21"/>
        <v/>
      </c>
      <c r="I39" s="765"/>
      <c r="J39" s="882" t="str">
        <f>IF($I39,$I39*TreatyCatch!BL269/SUM(TreatyCatch!$BL269:$BM269,TreatyCatch!$BO269:$BP269),"")</f>
        <v/>
      </c>
      <c r="K39" s="883" t="str">
        <f>IF($I39,$I39*TreatyCatch!BM269/SUM(TreatyCatch!$BL269:$BM269,TreatyCatch!$BO269:$BP269),"")</f>
        <v/>
      </c>
      <c r="L39" s="901" t="str">
        <f t="shared" si="22"/>
        <v/>
      </c>
      <c r="M39" s="858" t="str">
        <f>IF($I39,$I39*TreatyCatch!BO269/SUM(TreatyCatch!$BL269:$BM269,TreatyCatch!$BO269:$BP269),"")</f>
        <v/>
      </c>
      <c r="N39" s="859" t="str">
        <f>IF($I39,$I39*TreatyCatch!BP269/SUM(TreatyCatch!$BL269:$BM269,TreatyCatch!$BO269:$BP269),"")</f>
        <v/>
      </c>
      <c r="O39" s="840" t="str">
        <f t="shared" si="23"/>
        <v/>
      </c>
      <c r="P39" s="765"/>
      <c r="Q39" s="852" t="str">
        <f>IF($P39,$P39*TreatyCatch!BR269/SUM(TreatyCatch!$BR269:$BS269,TreatyCatch!$BU269:$BV269),"")</f>
        <v/>
      </c>
      <c r="R39" s="853" t="str">
        <f>IF($P39,$P39*TreatyCatch!BS269/SUM(TreatyCatch!$BR269:$BS269,TreatyCatch!$BU269:$BV269),"")</f>
        <v/>
      </c>
      <c r="S39" s="846" t="str">
        <f t="shared" si="13"/>
        <v/>
      </c>
      <c r="T39" s="893" t="str">
        <f>IF($P39,$P39*TreatyCatch!BU269/SUM(TreatyCatch!$BR269:$BS269,TreatyCatch!$BU269:$BV269),"")</f>
        <v/>
      </c>
      <c r="U39" s="894" t="str">
        <f>IF($P39,$P39*TreatyCatch!BV269/SUM(TreatyCatch!$BR269:$BS269,TreatyCatch!$BU269:$BV269),"")</f>
        <v/>
      </c>
      <c r="V39" s="877" t="str">
        <f t="shared" si="24"/>
        <v/>
      </c>
      <c r="W39" s="958"/>
      <c r="X39" s="882" t="str">
        <f>IF($W39,$W39*TreatyCatch!BX269/SUM(TreatyCatch!$BX269:$BY269,TreatyCatch!$CA269:$CB269),"")</f>
        <v/>
      </c>
      <c r="Y39" s="883" t="str">
        <f>IF($W39,$W39*TreatyCatch!BY269/SUM(TreatyCatch!$BX269:$BY269,TreatyCatch!$CA269:$CB269),"")</f>
        <v/>
      </c>
      <c r="Z39" s="901" t="str">
        <f t="shared" si="14"/>
        <v/>
      </c>
      <c r="AA39" s="858" t="str">
        <f>IF($W39,$W39*TreatyCatch!CA269/SUM(TreatyCatch!$BX269:$BY269,TreatyCatch!$CA269:$CB269),"")</f>
        <v/>
      </c>
      <c r="AB39" s="859" t="str">
        <f>IF($W39,$W39*TreatyCatch!CB269/SUM(TreatyCatch!$BX269:$BY269,TreatyCatch!$CA269:$CB269),"")</f>
        <v/>
      </c>
      <c r="AC39" s="840" t="str">
        <f t="shared" si="25"/>
        <v/>
      </c>
      <c r="AD39" s="958"/>
      <c r="AE39" s="1071" t="str">
        <f>IF($AD39,$AD39*TreatyCatch!CD269/SUM(TreatyCatch!$CD269:$CE269,TreatyCatch!$CG269:$CH269),"")</f>
        <v/>
      </c>
      <c r="AF39" s="1072" t="str">
        <f>IF($AD39,$AD39*TreatyCatch!CE269/SUM(TreatyCatch!$CD269:$CE269,TreatyCatch!$CG269:$CH269),"")</f>
        <v/>
      </c>
      <c r="AG39" s="1073" t="str">
        <f t="shared" si="11"/>
        <v/>
      </c>
      <c r="AH39" s="1077" t="str">
        <f>IF($AD39,$AD39*TreatyCatch!CG269/SUM(TreatyCatch!$CD269:CE269,TreatyCatch!$CG269:$CH269),"")</f>
        <v/>
      </c>
      <c r="AI39" s="1078" t="str">
        <f>IF($AD39,$AD39*TreatyCatch!CH269/SUM(TreatyCatch!$CD269:CF269,TreatyCatch!$CG269:$CH269),"")</f>
        <v/>
      </c>
      <c r="AJ39" s="1080" t="str">
        <f t="shared" si="27"/>
        <v/>
      </c>
      <c r="AK39" s="958"/>
      <c r="AL39" s="882"/>
      <c r="AM39" s="883"/>
      <c r="AN39" s="901"/>
      <c r="AO39" s="858"/>
      <c r="AP39" s="859"/>
      <c r="AQ39" s="840"/>
      <c r="AR39" s="765"/>
      <c r="AS39" s="852"/>
      <c r="AT39" s="853"/>
      <c r="AU39" s="846"/>
      <c r="AV39" s="893"/>
      <c r="AW39" s="894"/>
      <c r="AX39" s="877"/>
      <c r="AY39" s="765"/>
      <c r="AZ39" s="882"/>
      <c r="BA39" s="883"/>
      <c r="BB39" s="901"/>
      <c r="BC39" s="858"/>
      <c r="BD39" s="859"/>
      <c r="BE39" s="840"/>
      <c r="BF39" s="765"/>
      <c r="BG39" s="852"/>
      <c r="BH39" s="853"/>
      <c r="BI39" s="846"/>
      <c r="BJ39" s="893"/>
      <c r="BK39" s="894"/>
      <c r="BL39" s="877"/>
      <c r="BM39" s="765"/>
      <c r="BN39" s="882"/>
      <c r="BO39" s="883"/>
      <c r="BP39" s="901"/>
      <c r="BQ39" s="858"/>
      <c r="BR39" s="859"/>
      <c r="BS39" s="840"/>
      <c r="BT39" s="765"/>
      <c r="BU39" s="852"/>
      <c r="BV39" s="853"/>
      <c r="BW39" s="846"/>
      <c r="BX39" s="893"/>
      <c r="BY39" s="894"/>
      <c r="BZ39" s="877"/>
      <c r="CA39" s="765"/>
      <c r="CB39" s="882"/>
      <c r="CC39" s="883"/>
      <c r="CD39" s="901"/>
      <c r="CE39" s="858"/>
      <c r="CF39" s="859"/>
      <c r="CG39" s="840"/>
      <c r="CH39" s="765"/>
      <c r="CI39" s="852"/>
      <c r="CJ39" s="853"/>
      <c r="CK39" s="846"/>
      <c r="CL39" s="893"/>
      <c r="CM39" s="894"/>
      <c r="CN39" s="877"/>
    </row>
    <row r="40" spans="1:92" x14ac:dyDescent="0.25">
      <c r="A40" s="757">
        <v>32</v>
      </c>
      <c r="B40" s="765"/>
      <c r="C40" s="844" t="str">
        <f>IF($B40,$B40*TreatyCatch!BF270/SUM(TreatyCatch!$BF270:$BG270,TreatyCatch!$BI270:$BJ270),"")</f>
        <v/>
      </c>
      <c r="D40" s="844" t="str">
        <f>IF($B40,$B40*TreatyCatch!BG270/SUM(TreatyCatch!$BF270:$BG270,TreatyCatch!$BI270:$BJ270),"")</f>
        <v/>
      </c>
      <c r="E40" s="846" t="str">
        <f t="shared" si="12"/>
        <v/>
      </c>
      <c r="F40" s="876" t="str">
        <f>IF($B40,$B40*TreatyCatch!BI270/SUM(TreatyCatch!$BF270:$BG270,TreatyCatch!$BI270:$BJ270),"")</f>
        <v/>
      </c>
      <c r="G40" s="889" t="str">
        <f>IF($B40,$B40*TreatyCatch!BJ270/SUM(TreatyCatch!$BF270:$BG270,TreatyCatch!$BI270:$BJ270),"")</f>
        <v/>
      </c>
      <c r="H40" s="877" t="str">
        <f t="shared" si="21"/>
        <v/>
      </c>
      <c r="I40" s="765"/>
      <c r="J40" s="882" t="str">
        <f>IF($I40,$I40*TreatyCatch!BL270/SUM(TreatyCatch!$BL270:$BM270,TreatyCatch!$BO270:$BP270),"")</f>
        <v/>
      </c>
      <c r="K40" s="883" t="str">
        <f>IF($I40,$I40*TreatyCatch!BM270/SUM(TreatyCatch!$BL270:$BM270,TreatyCatch!$BO270:$BP270),"")</f>
        <v/>
      </c>
      <c r="L40" s="901" t="str">
        <f t="shared" si="22"/>
        <v/>
      </c>
      <c r="M40" s="858" t="str">
        <f>IF($I40,$I40*TreatyCatch!BO270/SUM(TreatyCatch!$BL270:$BM270,TreatyCatch!$BO270:$BP270),"")</f>
        <v/>
      </c>
      <c r="N40" s="859" t="str">
        <f>IF($I40,$I40*TreatyCatch!BP270/SUM(TreatyCatch!$BL270:$BM270,TreatyCatch!$BO270:$BP270),"")</f>
        <v/>
      </c>
      <c r="O40" s="840" t="str">
        <f t="shared" si="23"/>
        <v/>
      </c>
      <c r="P40" s="765"/>
      <c r="Q40" s="852" t="str">
        <f>IF($P40,$P40*TreatyCatch!BR270/SUM(TreatyCatch!$BR270:$BS270,TreatyCatch!$BU270:$BV270),"")</f>
        <v/>
      </c>
      <c r="R40" s="853" t="str">
        <f>IF($P40,$P40*TreatyCatch!BS270/SUM(TreatyCatch!$BR270:$BS270,TreatyCatch!$BU270:$BV270),"")</f>
        <v/>
      </c>
      <c r="S40" s="846" t="str">
        <f t="shared" si="13"/>
        <v/>
      </c>
      <c r="T40" s="893" t="str">
        <f>IF($P40,$P40*TreatyCatch!BU270/SUM(TreatyCatch!$BR270:$BS270,TreatyCatch!$BU270:$BV270),"")</f>
        <v/>
      </c>
      <c r="U40" s="894" t="str">
        <f>IF($P40,$P40*TreatyCatch!BV270/SUM(TreatyCatch!$BR270:$BS270,TreatyCatch!$BU270:$BV270),"")</f>
        <v/>
      </c>
      <c r="V40" s="877" t="str">
        <f t="shared" si="24"/>
        <v/>
      </c>
      <c r="W40" s="958"/>
      <c r="X40" s="882" t="str">
        <f>IF($W40,$W40*TreatyCatch!BX270/SUM(TreatyCatch!$BX270:$BY270,TreatyCatch!$CA270:$CB270),"")</f>
        <v/>
      </c>
      <c r="Y40" s="883" t="str">
        <f>IF($W40,$W40*TreatyCatch!BY270/SUM(TreatyCatch!$BX270:$BY270,TreatyCatch!$CA270:$CB270),"")</f>
        <v/>
      </c>
      <c r="Z40" s="901" t="str">
        <f t="shared" si="14"/>
        <v/>
      </c>
      <c r="AA40" s="858" t="str">
        <f>IF($W40,$W40*TreatyCatch!CA270/SUM(TreatyCatch!$BX270:$BY270,TreatyCatch!$CA270:$CB270),"")</f>
        <v/>
      </c>
      <c r="AB40" s="859" t="str">
        <f>IF($W40,$W40*TreatyCatch!CB270/SUM(TreatyCatch!$BX270:$BY270,TreatyCatch!$CA270:$CB270),"")</f>
        <v/>
      </c>
      <c r="AC40" s="840" t="str">
        <f t="shared" si="25"/>
        <v/>
      </c>
      <c r="AD40" s="958"/>
      <c r="AE40" s="1071" t="str">
        <f>IF($AD40,$AD40*TreatyCatch!CD270/SUM(TreatyCatch!$CD270:$CE270,TreatyCatch!$CG270:$CH270),"")</f>
        <v/>
      </c>
      <c r="AF40" s="1072" t="str">
        <f>IF($AD40,$AD40*TreatyCatch!CE270/SUM(TreatyCatch!$CD270:$CE270,TreatyCatch!$CG270:$CH270),"")</f>
        <v/>
      </c>
      <c r="AG40" s="1073" t="str">
        <f t="shared" si="11"/>
        <v/>
      </c>
      <c r="AH40" s="1077" t="str">
        <f>IF($AD40,$AD40*TreatyCatch!CG270/SUM(TreatyCatch!$CD270:CE270,TreatyCatch!$CG270:$CH270),"")</f>
        <v/>
      </c>
      <c r="AI40" s="1078" t="str">
        <f>IF($AD40,$AD40*TreatyCatch!CH270/SUM(TreatyCatch!$CD270:CF270,TreatyCatch!$CG270:$CH270),"")</f>
        <v/>
      </c>
      <c r="AJ40" s="1080" t="str">
        <f t="shared" si="27"/>
        <v/>
      </c>
      <c r="AK40" s="958"/>
      <c r="AL40" s="882"/>
      <c r="AM40" s="883"/>
      <c r="AN40" s="901"/>
      <c r="AO40" s="858"/>
      <c r="AP40" s="859"/>
      <c r="AQ40" s="840"/>
      <c r="AR40" s="765"/>
      <c r="AS40" s="852"/>
      <c r="AT40" s="853"/>
      <c r="AU40" s="846"/>
      <c r="AV40" s="893"/>
      <c r="AW40" s="894"/>
      <c r="AX40" s="877"/>
      <c r="AY40" s="765"/>
      <c r="AZ40" s="882"/>
      <c r="BA40" s="883"/>
      <c r="BB40" s="901"/>
      <c r="BC40" s="858"/>
      <c r="BD40" s="859"/>
      <c r="BE40" s="840"/>
      <c r="BF40" s="765"/>
      <c r="BG40" s="852"/>
      <c r="BH40" s="853"/>
      <c r="BI40" s="846"/>
      <c r="BJ40" s="893"/>
      <c r="BK40" s="894"/>
      <c r="BL40" s="877"/>
      <c r="BM40" s="765"/>
      <c r="BN40" s="882"/>
      <c r="BO40" s="883"/>
      <c r="BP40" s="901"/>
      <c r="BQ40" s="858"/>
      <c r="BR40" s="859"/>
      <c r="BS40" s="840"/>
      <c r="BT40" s="765"/>
      <c r="BU40" s="852"/>
      <c r="BV40" s="853"/>
      <c r="BW40" s="846"/>
      <c r="BX40" s="893"/>
      <c r="BY40" s="894"/>
      <c r="BZ40" s="877"/>
      <c r="CA40" s="765"/>
      <c r="CB40" s="882"/>
      <c r="CC40" s="883"/>
      <c r="CD40" s="901"/>
      <c r="CE40" s="858"/>
      <c r="CF40" s="859"/>
      <c r="CG40" s="840"/>
      <c r="CH40" s="765"/>
      <c r="CI40" s="852"/>
      <c r="CJ40" s="853"/>
      <c r="CK40" s="846"/>
      <c r="CL40" s="893"/>
      <c r="CM40" s="894"/>
      <c r="CN40" s="877"/>
    </row>
    <row r="41" spans="1:92" x14ac:dyDescent="0.25">
      <c r="A41" s="757">
        <v>33</v>
      </c>
      <c r="B41" s="765"/>
      <c r="C41" s="844" t="str">
        <f>IF($B41,$B41*TreatyCatch!BF271/SUM(TreatyCatch!$BF271:$BG271,TreatyCatch!$BI271:$BJ271),"")</f>
        <v/>
      </c>
      <c r="D41" s="844" t="str">
        <f>IF($B41,$B41*TreatyCatch!BG271/SUM(TreatyCatch!$BF271:$BG271,TreatyCatch!$BI271:$BJ271),"")</f>
        <v/>
      </c>
      <c r="E41" s="846" t="str">
        <f t="shared" si="12"/>
        <v/>
      </c>
      <c r="F41" s="876" t="str">
        <f>IF($B41,$B41*TreatyCatch!BI271/SUM(TreatyCatch!$BF271:$BG271,TreatyCatch!$BI271:$BJ271),"")</f>
        <v/>
      </c>
      <c r="G41" s="889" t="str">
        <f>IF($B41,$B41*TreatyCatch!BJ271/SUM(TreatyCatch!$BF271:$BG271,TreatyCatch!$BI271:$BJ271),"")</f>
        <v/>
      </c>
      <c r="H41" s="877" t="str">
        <f t="shared" si="21"/>
        <v/>
      </c>
      <c r="I41" s="765"/>
      <c r="J41" s="882" t="str">
        <f>IF($I41,$I41*TreatyCatch!BL271/SUM(TreatyCatch!$BL271:$BM271,TreatyCatch!$BO271:$BP271),"")</f>
        <v/>
      </c>
      <c r="K41" s="883" t="str">
        <f>IF($I41,$I41*TreatyCatch!BM271/SUM(TreatyCatch!$BL271:$BM271,TreatyCatch!$BO271:$BP271),"")</f>
        <v/>
      </c>
      <c r="L41" s="901" t="str">
        <f t="shared" si="22"/>
        <v/>
      </c>
      <c r="M41" s="858" t="str">
        <f>IF($I41,$I41*TreatyCatch!BO271/SUM(TreatyCatch!$BL271:$BM271,TreatyCatch!$BO271:$BP271),"")</f>
        <v/>
      </c>
      <c r="N41" s="859" t="str">
        <f>IF($I41,$I41*TreatyCatch!BP271/SUM(TreatyCatch!$BL271:$BM271,TreatyCatch!$BO271:$BP271),"")</f>
        <v/>
      </c>
      <c r="O41" s="840" t="str">
        <f t="shared" si="23"/>
        <v/>
      </c>
      <c r="P41" s="765"/>
      <c r="Q41" s="852" t="str">
        <f>IF($P41,$P41*TreatyCatch!BR271/SUM(TreatyCatch!$BR271:$BS271,TreatyCatch!$BU271:$BV271),"")</f>
        <v/>
      </c>
      <c r="R41" s="853" t="str">
        <f>IF($P41,$P41*TreatyCatch!BS271/SUM(TreatyCatch!$BR271:$BS271,TreatyCatch!$BU271:$BV271),"")</f>
        <v/>
      </c>
      <c r="S41" s="846" t="str">
        <f t="shared" si="13"/>
        <v/>
      </c>
      <c r="T41" s="893" t="str">
        <f>IF($P41,$P41*TreatyCatch!BU271/SUM(TreatyCatch!$BR271:$BS271,TreatyCatch!$BU271:$BV271),"")</f>
        <v/>
      </c>
      <c r="U41" s="894" t="str">
        <f>IF($P41,$P41*TreatyCatch!BV271/SUM(TreatyCatch!$BR271:$BS271,TreatyCatch!$BU271:$BV271),"")</f>
        <v/>
      </c>
      <c r="V41" s="877" t="str">
        <f t="shared" si="24"/>
        <v/>
      </c>
      <c r="W41" s="958"/>
      <c r="X41" s="882" t="str">
        <f>IF($W41,$W41*TreatyCatch!BX271/SUM(TreatyCatch!$BX271:$BY271,TreatyCatch!$CA271:$CB271),"")</f>
        <v/>
      </c>
      <c r="Y41" s="883" t="str">
        <f>IF($W41,$W41*TreatyCatch!BY271/SUM(TreatyCatch!$BX271:$BY271,TreatyCatch!$CA271:$CB271),"")</f>
        <v/>
      </c>
      <c r="Z41" s="901" t="str">
        <f t="shared" si="14"/>
        <v/>
      </c>
      <c r="AA41" s="858" t="str">
        <f>IF($W41,$W41*TreatyCatch!CA271/SUM(TreatyCatch!$BX271:$BY271,TreatyCatch!$CA271:$CB271),"")</f>
        <v/>
      </c>
      <c r="AB41" s="859" t="str">
        <f>IF($W41,$W41*TreatyCatch!CB271/SUM(TreatyCatch!$BX271:$BY271,TreatyCatch!$CA271:$CB271),"")</f>
        <v/>
      </c>
      <c r="AC41" s="840" t="str">
        <f t="shared" si="25"/>
        <v/>
      </c>
      <c r="AD41" s="958"/>
      <c r="AE41" s="1071" t="str">
        <f>IF($AD41,$AD41*TreatyCatch!CD271/SUM(TreatyCatch!$CD271:$CE271,TreatyCatch!$CG271:$CH271),"")</f>
        <v/>
      </c>
      <c r="AF41" s="1072" t="str">
        <f>IF($AD41,$AD41*TreatyCatch!CE271/SUM(TreatyCatch!$CD271:$CE271,TreatyCatch!$CG271:$CH271),"")</f>
        <v/>
      </c>
      <c r="AG41" s="1073" t="str">
        <f t="shared" si="11"/>
        <v/>
      </c>
      <c r="AH41" s="1077" t="str">
        <f>IF($AD41,$AD41*TreatyCatch!CG271/SUM(TreatyCatch!$CD271:CE271,TreatyCatch!$CG271:$CH271),"")</f>
        <v/>
      </c>
      <c r="AI41" s="1078" t="str">
        <f>IF($AD41,$AD41*TreatyCatch!CH271/SUM(TreatyCatch!$CD271:CF271,TreatyCatch!$CG271:$CH271),"")</f>
        <v/>
      </c>
      <c r="AJ41" s="1080" t="str">
        <f t="shared" si="27"/>
        <v/>
      </c>
      <c r="AK41" s="958"/>
      <c r="AL41" s="882"/>
      <c r="AM41" s="883"/>
      <c r="AN41" s="901"/>
      <c r="AO41" s="858"/>
      <c r="AP41" s="859"/>
      <c r="AQ41" s="840"/>
      <c r="AR41" s="765"/>
      <c r="AS41" s="852"/>
      <c r="AT41" s="853"/>
      <c r="AU41" s="846"/>
      <c r="AV41" s="893"/>
      <c r="AW41" s="894"/>
      <c r="AX41" s="877"/>
      <c r="AY41" s="765"/>
      <c r="AZ41" s="882"/>
      <c r="BA41" s="883"/>
      <c r="BB41" s="901"/>
      <c r="BC41" s="858"/>
      <c r="BD41" s="859"/>
      <c r="BE41" s="840"/>
      <c r="BF41" s="765"/>
      <c r="BG41" s="852"/>
      <c r="BH41" s="853"/>
      <c r="BI41" s="846"/>
      <c r="BJ41" s="893"/>
      <c r="BK41" s="894"/>
      <c r="BL41" s="877"/>
      <c r="BM41" s="765"/>
      <c r="BN41" s="882"/>
      <c r="BO41" s="883"/>
      <c r="BP41" s="901"/>
      <c r="BQ41" s="858"/>
      <c r="BR41" s="859"/>
      <c r="BS41" s="840"/>
      <c r="BT41" s="765"/>
      <c r="BU41" s="852"/>
      <c r="BV41" s="853"/>
      <c r="BW41" s="846"/>
      <c r="BX41" s="893"/>
      <c r="BY41" s="894"/>
      <c r="BZ41" s="877"/>
      <c r="CA41" s="765"/>
      <c r="CB41" s="882"/>
      <c r="CC41" s="883"/>
      <c r="CD41" s="901"/>
      <c r="CE41" s="858"/>
      <c r="CF41" s="859"/>
      <c r="CG41" s="840"/>
      <c r="CH41" s="765"/>
      <c r="CI41" s="852"/>
      <c r="CJ41" s="853"/>
      <c r="CK41" s="846"/>
      <c r="CL41" s="893"/>
      <c r="CM41" s="894"/>
      <c r="CN41" s="877"/>
    </row>
    <row r="42" spans="1:92" x14ac:dyDescent="0.25">
      <c r="A42" s="757">
        <v>34</v>
      </c>
      <c r="B42" s="765"/>
      <c r="C42" s="844" t="str">
        <f>IF($B42,$B42*TreatyCatch!BF272/SUM(TreatyCatch!$BF272:$BG272,TreatyCatch!$BI272:$BJ272),"")</f>
        <v/>
      </c>
      <c r="D42" s="844" t="str">
        <f>IF($B42,$B42*TreatyCatch!BG272/SUM(TreatyCatch!$BF272:$BG272,TreatyCatch!$BI272:$BJ272),"")</f>
        <v/>
      </c>
      <c r="E42" s="846" t="str">
        <f t="shared" si="12"/>
        <v/>
      </c>
      <c r="F42" s="876" t="str">
        <f>IF($B42,$B42*TreatyCatch!BI272/SUM(TreatyCatch!$BF272:$BG272,TreatyCatch!$BI272:$BJ272),"")</f>
        <v/>
      </c>
      <c r="G42" s="889" t="str">
        <f>IF($B42,$B42*TreatyCatch!BJ272/SUM(TreatyCatch!$BF272:$BG272,TreatyCatch!$BI272:$BJ272),"")</f>
        <v/>
      </c>
      <c r="H42" s="877" t="str">
        <f t="shared" si="21"/>
        <v/>
      </c>
      <c r="I42" s="765"/>
      <c r="J42" s="882" t="str">
        <f>IF($I42,$I42*TreatyCatch!BL272/SUM(TreatyCatch!$BL272:$BM272,TreatyCatch!$BO272:$BP272),"")</f>
        <v/>
      </c>
      <c r="K42" s="883" t="str">
        <f>IF($I42,$I42*TreatyCatch!BM272/SUM(TreatyCatch!$BL272:$BM272,TreatyCatch!$BO272:$BP272),"")</f>
        <v/>
      </c>
      <c r="L42" s="901" t="str">
        <f t="shared" si="22"/>
        <v/>
      </c>
      <c r="M42" s="858" t="str">
        <f>IF($I42,$I42*TreatyCatch!BO272/SUM(TreatyCatch!$BL272:$BM272,TreatyCatch!$BO272:$BP272),"")</f>
        <v/>
      </c>
      <c r="N42" s="859" t="str">
        <f>IF($I42,$I42*TreatyCatch!BP272/SUM(TreatyCatch!$BL272:$BM272,TreatyCatch!$BO272:$BP272),"")</f>
        <v/>
      </c>
      <c r="O42" s="840" t="str">
        <f t="shared" si="23"/>
        <v/>
      </c>
      <c r="P42" s="765"/>
      <c r="Q42" s="852" t="str">
        <f>IF($P42,$P42*TreatyCatch!BR272/SUM(TreatyCatch!$BR272:$BS272,TreatyCatch!$BU272:$BV272),"")</f>
        <v/>
      </c>
      <c r="R42" s="853" t="str">
        <f>IF($P42,$P42*TreatyCatch!BS272/SUM(TreatyCatch!$BR272:$BS272,TreatyCatch!$BU272:$BV272),"")</f>
        <v/>
      </c>
      <c r="S42" s="846" t="str">
        <f t="shared" si="13"/>
        <v/>
      </c>
      <c r="T42" s="893" t="str">
        <f>IF($P42,$P42*TreatyCatch!BU272/SUM(TreatyCatch!$BR272:$BS272,TreatyCatch!$BU272:$BV272),"")</f>
        <v/>
      </c>
      <c r="U42" s="894" t="str">
        <f>IF($P42,$P42*TreatyCatch!BV272/SUM(TreatyCatch!$BR272:$BS272,TreatyCatch!$BU272:$BV272),"")</f>
        <v/>
      </c>
      <c r="V42" s="877" t="str">
        <f t="shared" si="24"/>
        <v/>
      </c>
      <c r="W42" s="958"/>
      <c r="X42" s="882" t="str">
        <f>IF($W42,$W42*TreatyCatch!BX272/SUM(TreatyCatch!$BX272:$BY272,TreatyCatch!$CA272:$CB272),"")</f>
        <v/>
      </c>
      <c r="Y42" s="883" t="str">
        <f>IF($W42,$W42*TreatyCatch!BY272/SUM(TreatyCatch!$BX272:$BY272,TreatyCatch!$CA272:$CB272),"")</f>
        <v/>
      </c>
      <c r="Z42" s="901" t="str">
        <f t="shared" si="14"/>
        <v/>
      </c>
      <c r="AA42" s="858" t="str">
        <f>IF($W42,$W42*TreatyCatch!CA272/SUM(TreatyCatch!$BX272:$BY272,TreatyCatch!$CA272:$CB272),"")</f>
        <v/>
      </c>
      <c r="AB42" s="859" t="str">
        <f>IF($W42,$W42*TreatyCatch!CB272/SUM(TreatyCatch!$BX272:$BY272,TreatyCatch!$CA272:$CB272),"")</f>
        <v/>
      </c>
      <c r="AC42" s="840" t="str">
        <f t="shared" si="25"/>
        <v/>
      </c>
      <c r="AD42" s="958"/>
      <c r="AE42" s="1071" t="str">
        <f>IF($AD42,$AD42*TreatyCatch!CD272/SUM(TreatyCatch!$CD272:$CE272,TreatyCatch!$CG272:$CH272),"")</f>
        <v/>
      </c>
      <c r="AF42" s="1072" t="str">
        <f>IF($AD42,$AD42*TreatyCatch!CE272/SUM(TreatyCatch!$CD272:$CE272,TreatyCatch!$CG272:$CH272),"")</f>
        <v/>
      </c>
      <c r="AG42" s="1073" t="str">
        <f t="shared" si="11"/>
        <v/>
      </c>
      <c r="AH42" s="1077" t="str">
        <f>IF($AD42,$AD42*TreatyCatch!CG272/SUM(TreatyCatch!$CD272:CE272,TreatyCatch!$CG272:$CH272),"")</f>
        <v/>
      </c>
      <c r="AI42" s="1078" t="str">
        <f>IF($AD42,$AD42*TreatyCatch!CH272/SUM(TreatyCatch!$CD272:CF272,TreatyCatch!$CG272:$CH272),"")</f>
        <v/>
      </c>
      <c r="AJ42" s="1080" t="str">
        <f t="shared" si="27"/>
        <v/>
      </c>
      <c r="AK42" s="958"/>
      <c r="AL42" s="882"/>
      <c r="AM42" s="883"/>
      <c r="AN42" s="901"/>
      <c r="AO42" s="858"/>
      <c r="AP42" s="859"/>
      <c r="AQ42" s="840"/>
      <c r="AR42" s="765"/>
      <c r="AS42" s="852"/>
      <c r="AT42" s="853"/>
      <c r="AU42" s="846"/>
      <c r="AV42" s="893"/>
      <c r="AW42" s="894"/>
      <c r="AX42" s="877"/>
      <c r="AY42" s="765"/>
      <c r="AZ42" s="882"/>
      <c r="BA42" s="883"/>
      <c r="BB42" s="901"/>
      <c r="BC42" s="858"/>
      <c r="BD42" s="859"/>
      <c r="BE42" s="840"/>
      <c r="BF42" s="765"/>
      <c r="BG42" s="852"/>
      <c r="BH42" s="853"/>
      <c r="BI42" s="846"/>
      <c r="BJ42" s="893"/>
      <c r="BK42" s="894"/>
      <c r="BL42" s="877"/>
      <c r="BM42" s="765"/>
      <c r="BN42" s="882"/>
      <c r="BO42" s="883"/>
      <c r="BP42" s="901"/>
      <c r="BQ42" s="858"/>
      <c r="BR42" s="859"/>
      <c r="BS42" s="840"/>
      <c r="BT42" s="765"/>
      <c r="BU42" s="852"/>
      <c r="BV42" s="853"/>
      <c r="BW42" s="846"/>
      <c r="BX42" s="893"/>
      <c r="BY42" s="894"/>
      <c r="BZ42" s="877"/>
      <c r="CA42" s="765"/>
      <c r="CB42" s="882"/>
      <c r="CC42" s="883"/>
      <c r="CD42" s="901"/>
      <c r="CE42" s="858"/>
      <c r="CF42" s="859"/>
      <c r="CG42" s="840"/>
      <c r="CH42" s="765"/>
      <c r="CI42" s="852"/>
      <c r="CJ42" s="853"/>
      <c r="CK42" s="846"/>
      <c r="CL42" s="893"/>
      <c r="CM42" s="894"/>
      <c r="CN42" s="877"/>
    </row>
    <row r="43" spans="1:92" x14ac:dyDescent="0.25">
      <c r="A43" s="757">
        <v>35</v>
      </c>
      <c r="B43" s="765"/>
      <c r="C43" s="844" t="str">
        <f>IF($B43,$B43*TreatyCatch!BF273/SUM(TreatyCatch!$BF273:$BG273,TreatyCatch!$BI273:$BJ273),"")</f>
        <v/>
      </c>
      <c r="D43" s="844" t="str">
        <f>IF($B43,$B43*TreatyCatch!BG273/SUM(TreatyCatch!$BF273:$BG273,TreatyCatch!$BI273:$BJ273),"")</f>
        <v/>
      </c>
      <c r="E43" s="846" t="str">
        <f t="shared" si="12"/>
        <v/>
      </c>
      <c r="F43" s="876" t="str">
        <f>IF($B43,$B43*TreatyCatch!BI273/SUM(TreatyCatch!$BF273:$BG273,TreatyCatch!$BI273:$BJ273),"")</f>
        <v/>
      </c>
      <c r="G43" s="889" t="str">
        <f>IF($B43,$B43*TreatyCatch!BJ273/SUM(TreatyCatch!$BF273:$BG273,TreatyCatch!$BI273:$BJ273),"")</f>
        <v/>
      </c>
      <c r="H43" s="877" t="str">
        <f t="shared" si="21"/>
        <v/>
      </c>
      <c r="I43" s="765"/>
      <c r="J43" s="882" t="str">
        <f>IF($I43,$I43*TreatyCatch!BL273/SUM(TreatyCatch!$BL273:$BM273,TreatyCatch!$BO273:$BP273),"")</f>
        <v/>
      </c>
      <c r="K43" s="883" t="str">
        <f>IF($I43,$I43*TreatyCatch!BM273/SUM(TreatyCatch!$BL273:$BM273,TreatyCatch!$BO273:$BP273),"")</f>
        <v/>
      </c>
      <c r="L43" s="901" t="str">
        <f t="shared" si="22"/>
        <v/>
      </c>
      <c r="M43" s="858" t="str">
        <f>IF($I43,$I43*TreatyCatch!BO273/SUM(TreatyCatch!$BL273:$BM273,TreatyCatch!$BO273:$BP273),"")</f>
        <v/>
      </c>
      <c r="N43" s="859" t="str">
        <f>IF($I43,$I43*TreatyCatch!BP273/SUM(TreatyCatch!$BL273:$BM273,TreatyCatch!$BO273:$BP273),"")</f>
        <v/>
      </c>
      <c r="O43" s="840" t="str">
        <f t="shared" si="23"/>
        <v/>
      </c>
      <c r="P43" s="765"/>
      <c r="Q43" s="852" t="str">
        <f>IF($P43,$P43*TreatyCatch!BR273/SUM(TreatyCatch!$BR273:$BS273,TreatyCatch!$BU273:$BV273),"")</f>
        <v/>
      </c>
      <c r="R43" s="853" t="str">
        <f>IF($P43,$P43*TreatyCatch!BS273/SUM(TreatyCatch!$BR273:$BS273,TreatyCatch!$BU273:$BV273),"")</f>
        <v/>
      </c>
      <c r="S43" s="846" t="str">
        <f t="shared" si="13"/>
        <v/>
      </c>
      <c r="T43" s="893" t="str">
        <f>IF($P43,$P43*TreatyCatch!BU273/SUM(TreatyCatch!$BR273:$BS273,TreatyCatch!$BU273:$BV273),"")</f>
        <v/>
      </c>
      <c r="U43" s="894" t="str">
        <f>IF($P43,$P43*TreatyCatch!BV273/SUM(TreatyCatch!$BR273:$BS273,TreatyCatch!$BU273:$BV273),"")</f>
        <v/>
      </c>
      <c r="V43" s="877" t="str">
        <f t="shared" si="24"/>
        <v/>
      </c>
      <c r="W43" s="958"/>
      <c r="X43" s="882" t="str">
        <f>IF($W43,$W43*TreatyCatch!BX273/SUM(TreatyCatch!$BX273:$BY273,TreatyCatch!$CA273:$CB273),"")</f>
        <v/>
      </c>
      <c r="Y43" s="883" t="str">
        <f>IF($W43,$W43*TreatyCatch!BY273/SUM(TreatyCatch!$BX273:$BY273,TreatyCatch!$CA273:$CB273),"")</f>
        <v/>
      </c>
      <c r="Z43" s="901" t="str">
        <f t="shared" si="14"/>
        <v/>
      </c>
      <c r="AA43" s="858" t="str">
        <f>IF($W43,$W43*TreatyCatch!CA273/SUM(TreatyCatch!$BX273:$BY273,TreatyCatch!$CA273:$CB273),"")</f>
        <v/>
      </c>
      <c r="AB43" s="859" t="str">
        <f>IF($W43,$W43*TreatyCatch!CB273/SUM(TreatyCatch!$BX273:$BY273,TreatyCatch!$CA273:$CB273),"")</f>
        <v/>
      </c>
      <c r="AC43" s="840" t="str">
        <f t="shared" si="25"/>
        <v/>
      </c>
      <c r="AD43" s="958"/>
      <c r="AE43" s="1071" t="str">
        <f>IF($AD43,$AD43*TreatyCatch!CD273/SUM(TreatyCatch!$CD273:$CE273,TreatyCatch!$CG273:$CH273),"")</f>
        <v/>
      </c>
      <c r="AF43" s="1072" t="str">
        <f>IF($AD43,$AD43*TreatyCatch!CE273/SUM(TreatyCatch!$CD273:$CE273,TreatyCatch!$CG273:$CH273),"")</f>
        <v/>
      </c>
      <c r="AG43" s="1073" t="str">
        <f t="shared" si="11"/>
        <v/>
      </c>
      <c r="AH43" s="1077" t="str">
        <f>IF($AD43,$AD43*TreatyCatch!CG273/SUM(TreatyCatch!$CD273:CE273,TreatyCatch!$CG273:$CH273),"")</f>
        <v/>
      </c>
      <c r="AI43" s="1078" t="str">
        <f>IF($AD43,$AD43*TreatyCatch!CH273/SUM(TreatyCatch!$CD273:CF273,TreatyCatch!$CG273:$CH273),"")</f>
        <v/>
      </c>
      <c r="AJ43" s="1080" t="str">
        <f t="shared" si="27"/>
        <v/>
      </c>
      <c r="AK43" s="958"/>
      <c r="AL43" s="882"/>
      <c r="AM43" s="883"/>
      <c r="AN43" s="901"/>
      <c r="AO43" s="858"/>
      <c r="AP43" s="859"/>
      <c r="AQ43" s="840"/>
      <c r="AR43" s="765"/>
      <c r="AS43" s="852"/>
      <c r="AT43" s="853"/>
      <c r="AU43" s="846"/>
      <c r="AV43" s="893"/>
      <c r="AW43" s="894"/>
      <c r="AX43" s="877"/>
      <c r="AY43" s="765"/>
      <c r="AZ43" s="882"/>
      <c r="BA43" s="883"/>
      <c r="BB43" s="901"/>
      <c r="BC43" s="858"/>
      <c r="BD43" s="859"/>
      <c r="BE43" s="840"/>
      <c r="BF43" s="765"/>
      <c r="BG43" s="852"/>
      <c r="BH43" s="853"/>
      <c r="BI43" s="846"/>
      <c r="BJ43" s="893"/>
      <c r="BK43" s="894"/>
      <c r="BL43" s="877"/>
      <c r="BM43" s="765"/>
      <c r="BN43" s="882"/>
      <c r="BO43" s="883"/>
      <c r="BP43" s="901"/>
      <c r="BQ43" s="858"/>
      <c r="BR43" s="859"/>
      <c r="BS43" s="840"/>
      <c r="BT43" s="765"/>
      <c r="BU43" s="852"/>
      <c r="BV43" s="853"/>
      <c r="BW43" s="846"/>
      <c r="BX43" s="893"/>
      <c r="BY43" s="894"/>
      <c r="BZ43" s="877"/>
      <c r="CA43" s="765"/>
      <c r="CB43" s="882"/>
      <c r="CC43" s="883"/>
      <c r="CD43" s="901"/>
      <c r="CE43" s="858"/>
      <c r="CF43" s="859"/>
      <c r="CG43" s="840"/>
      <c r="CH43" s="765"/>
      <c r="CI43" s="852"/>
      <c r="CJ43" s="853"/>
      <c r="CK43" s="846"/>
      <c r="CL43" s="893"/>
      <c r="CM43" s="894"/>
      <c r="CN43" s="877"/>
    </row>
    <row r="44" spans="1:92" x14ac:dyDescent="0.25">
      <c r="A44" s="757">
        <v>36</v>
      </c>
      <c r="B44" s="765"/>
      <c r="C44" s="844" t="str">
        <f>IF($B44,$B44*TreatyCatch!BF274/SUM(TreatyCatch!$BF274:$BG274,TreatyCatch!$BI274:$BJ274),"")</f>
        <v/>
      </c>
      <c r="D44" s="844" t="str">
        <f>IF($B44,$B44*TreatyCatch!BG274/SUM(TreatyCatch!$BF274:$BG274,TreatyCatch!$BI274:$BJ274),"")</f>
        <v/>
      </c>
      <c r="E44" s="846" t="str">
        <f t="shared" si="12"/>
        <v/>
      </c>
      <c r="F44" s="876" t="str">
        <f>IF($B44,$B44*TreatyCatch!BI274/SUM(TreatyCatch!$BF274:$BG274,TreatyCatch!$BI274:$BJ274),"")</f>
        <v/>
      </c>
      <c r="G44" s="889" t="str">
        <f>IF($B44,$B44*TreatyCatch!BJ274/SUM(TreatyCatch!$BF274:$BG274,TreatyCatch!$BI274:$BJ274),"")</f>
        <v/>
      </c>
      <c r="H44" s="877" t="str">
        <f t="shared" si="21"/>
        <v/>
      </c>
      <c r="I44" s="765"/>
      <c r="J44" s="882" t="str">
        <f>IF($I44,$I44*TreatyCatch!BL274/SUM(TreatyCatch!$BL274:$BM274,TreatyCatch!$BO274:$BP274),"")</f>
        <v/>
      </c>
      <c r="K44" s="883" t="str">
        <f>IF($I44,$I44*TreatyCatch!BM274/SUM(TreatyCatch!$BL274:$BM274,TreatyCatch!$BO274:$BP274),"")</f>
        <v/>
      </c>
      <c r="L44" s="901" t="str">
        <f t="shared" si="22"/>
        <v/>
      </c>
      <c r="M44" s="858" t="str">
        <f>IF($I44,$I44*TreatyCatch!BO274/SUM(TreatyCatch!$BL274:$BM274,TreatyCatch!$BO274:$BP274),"")</f>
        <v/>
      </c>
      <c r="N44" s="859" t="str">
        <f>IF($I44,$I44*TreatyCatch!BP274/SUM(TreatyCatch!$BL274:$BM274,TreatyCatch!$BO274:$BP274),"")</f>
        <v/>
      </c>
      <c r="O44" s="840" t="str">
        <f t="shared" si="23"/>
        <v/>
      </c>
      <c r="P44" s="765"/>
      <c r="Q44" s="852" t="str">
        <f>IF($P44,$P44*TreatyCatch!BR274/SUM(TreatyCatch!$BR274:$BS274,TreatyCatch!$BU274:$BV274),"")</f>
        <v/>
      </c>
      <c r="R44" s="853" t="str">
        <f>IF($P44,$P44*TreatyCatch!BS274/SUM(TreatyCatch!$BR274:$BS274,TreatyCatch!$BU274:$BV274),"")</f>
        <v/>
      </c>
      <c r="S44" s="846" t="str">
        <f t="shared" si="13"/>
        <v/>
      </c>
      <c r="T44" s="893" t="str">
        <f>IF($P44,$P44*TreatyCatch!BU274/SUM(TreatyCatch!$BR274:$BS274,TreatyCatch!$BU274:$BV274),"")</f>
        <v/>
      </c>
      <c r="U44" s="894" t="str">
        <f>IF($P44,$P44*TreatyCatch!BV274/SUM(TreatyCatch!$BR274:$BS274,TreatyCatch!$BU274:$BV274),"")</f>
        <v/>
      </c>
      <c r="V44" s="877" t="str">
        <f t="shared" si="24"/>
        <v/>
      </c>
      <c r="W44" s="958"/>
      <c r="X44" s="882" t="str">
        <f>IF($W44,$W44*TreatyCatch!BX274/SUM(TreatyCatch!$BX274:$BY274,TreatyCatch!$CA274:$CB274),"")</f>
        <v/>
      </c>
      <c r="Y44" s="883" t="str">
        <f>IF($W44,$W44*TreatyCatch!BY274/SUM(TreatyCatch!$BX274:$BY274,TreatyCatch!$CA274:$CB274),"")</f>
        <v/>
      </c>
      <c r="Z44" s="901" t="str">
        <f t="shared" si="14"/>
        <v/>
      </c>
      <c r="AA44" s="858" t="str">
        <f>IF($W44,$W44*TreatyCatch!CA274/SUM(TreatyCatch!$BX274:$BY274,TreatyCatch!$CA274:$CB274),"")</f>
        <v/>
      </c>
      <c r="AB44" s="859" t="str">
        <f>IF($W44,$W44*TreatyCatch!CB274/SUM(TreatyCatch!$BX274:$BY274,TreatyCatch!$CA274:$CB274),"")</f>
        <v/>
      </c>
      <c r="AC44" s="840" t="str">
        <f t="shared" si="25"/>
        <v/>
      </c>
      <c r="AD44" s="958"/>
      <c r="AE44" s="1071" t="str">
        <f>IF($AD44,$AD44*TreatyCatch!CD274/SUM(TreatyCatch!$CD274:$CE274,TreatyCatch!$CG274:$CH274),"")</f>
        <v/>
      </c>
      <c r="AF44" s="1072" t="str">
        <f>IF($AD44,$AD44*TreatyCatch!CE274/SUM(TreatyCatch!$CD274:$CE274,TreatyCatch!$CG274:$CH274),"")</f>
        <v/>
      </c>
      <c r="AG44" s="1073" t="str">
        <f t="shared" si="11"/>
        <v/>
      </c>
      <c r="AH44" s="1077" t="str">
        <f>IF($AD44,$AD44*TreatyCatch!CG274/SUM(TreatyCatch!$CD274:CE274,TreatyCatch!$CG274:$CH274),"")</f>
        <v/>
      </c>
      <c r="AI44" s="1078" t="str">
        <f>IF($AD44,$AD44*TreatyCatch!CH274/SUM(TreatyCatch!$CD274:CF274,TreatyCatch!$CG274:$CH274),"")</f>
        <v/>
      </c>
      <c r="AJ44" s="1080" t="str">
        <f t="shared" si="27"/>
        <v/>
      </c>
      <c r="AK44" s="958"/>
      <c r="AL44" s="882"/>
      <c r="AM44" s="883"/>
      <c r="AN44" s="901"/>
      <c r="AO44" s="858"/>
      <c r="AP44" s="859"/>
      <c r="AQ44" s="840"/>
      <c r="AR44" s="765"/>
      <c r="AS44" s="852"/>
      <c r="AT44" s="853"/>
      <c r="AU44" s="846"/>
      <c r="AV44" s="893"/>
      <c r="AW44" s="894"/>
      <c r="AX44" s="877"/>
      <c r="AY44" s="765"/>
      <c r="AZ44" s="882"/>
      <c r="BA44" s="883"/>
      <c r="BB44" s="901"/>
      <c r="BC44" s="858"/>
      <c r="BD44" s="859"/>
      <c r="BE44" s="840"/>
      <c r="BF44" s="765"/>
      <c r="BG44" s="852"/>
      <c r="BH44" s="853"/>
      <c r="BI44" s="846"/>
      <c r="BJ44" s="893"/>
      <c r="BK44" s="894"/>
      <c r="BL44" s="877"/>
      <c r="BM44" s="765"/>
      <c r="BN44" s="882"/>
      <c r="BO44" s="883"/>
      <c r="BP44" s="901"/>
      <c r="BQ44" s="858"/>
      <c r="BR44" s="859"/>
      <c r="BS44" s="840"/>
      <c r="BT44" s="765"/>
      <c r="BU44" s="852"/>
      <c r="BV44" s="853"/>
      <c r="BW44" s="846"/>
      <c r="BX44" s="893"/>
      <c r="BY44" s="894"/>
      <c r="BZ44" s="877"/>
      <c r="CA44" s="765"/>
      <c r="CB44" s="882"/>
      <c r="CC44" s="883"/>
      <c r="CD44" s="901"/>
      <c r="CE44" s="858"/>
      <c r="CF44" s="859"/>
      <c r="CG44" s="840"/>
      <c r="CH44" s="765"/>
      <c r="CI44" s="852"/>
      <c r="CJ44" s="853"/>
      <c r="CK44" s="846"/>
      <c r="CL44" s="893"/>
      <c r="CM44" s="894"/>
      <c r="CN44" s="877"/>
    </row>
    <row r="45" spans="1:92" x14ac:dyDescent="0.25">
      <c r="A45" s="757">
        <v>37</v>
      </c>
      <c r="B45" s="765"/>
      <c r="C45" s="844" t="str">
        <f>IF($B45,$B45*TreatyCatch!BF275/SUM(TreatyCatch!$BF275:$BG275,TreatyCatch!$BI275:$BJ275),"")</f>
        <v/>
      </c>
      <c r="D45" s="844" t="str">
        <f>IF($B45,$B45*TreatyCatch!BG275/SUM(TreatyCatch!$BF275:$BG275,TreatyCatch!$BI275:$BJ275),"")</f>
        <v/>
      </c>
      <c r="E45" s="846" t="str">
        <f t="shared" si="12"/>
        <v/>
      </c>
      <c r="F45" s="876" t="str">
        <f>IF($B45,$B45*TreatyCatch!BI275/SUM(TreatyCatch!$BF275:$BG275,TreatyCatch!$BI275:$BJ275),"")</f>
        <v/>
      </c>
      <c r="G45" s="889" t="str">
        <f>IF($B45,$B45*TreatyCatch!BJ275/SUM(TreatyCatch!$BF275:$BG275,TreatyCatch!$BI275:$BJ275),"")</f>
        <v/>
      </c>
      <c r="H45" s="877" t="str">
        <f t="shared" si="21"/>
        <v/>
      </c>
      <c r="I45" s="765"/>
      <c r="J45" s="882" t="str">
        <f>IF($I45,$I45*TreatyCatch!BL275/SUM(TreatyCatch!$BL275:$BM275,TreatyCatch!$BO275:$BP275),"")</f>
        <v/>
      </c>
      <c r="K45" s="883" t="str">
        <f>IF($I45,$I45*TreatyCatch!BM275/SUM(TreatyCatch!$BL275:$BM275,TreatyCatch!$BO275:$BP275),"")</f>
        <v/>
      </c>
      <c r="L45" s="901" t="str">
        <f t="shared" si="22"/>
        <v/>
      </c>
      <c r="M45" s="858" t="str">
        <f>IF($I45,$I45*TreatyCatch!BO275/SUM(TreatyCatch!$BL275:$BM275,TreatyCatch!$BO275:$BP275),"")</f>
        <v/>
      </c>
      <c r="N45" s="859" t="str">
        <f>IF($I45,$I45*TreatyCatch!BP275/SUM(TreatyCatch!$BL275:$BM275,TreatyCatch!$BO275:$BP275),"")</f>
        <v/>
      </c>
      <c r="O45" s="840" t="str">
        <f t="shared" si="23"/>
        <v/>
      </c>
      <c r="P45" s="765"/>
      <c r="Q45" s="852" t="str">
        <f>IF($P45,$P45*TreatyCatch!BR275/SUM(TreatyCatch!$BR275:$BS275,TreatyCatch!$BU275:$BV275),"")</f>
        <v/>
      </c>
      <c r="R45" s="853" t="str">
        <f>IF($P45,$P45*TreatyCatch!BS275/SUM(TreatyCatch!$BR275:$BS275,TreatyCatch!$BU275:$BV275),"")</f>
        <v/>
      </c>
      <c r="S45" s="846" t="str">
        <f t="shared" si="13"/>
        <v/>
      </c>
      <c r="T45" s="893" t="str">
        <f>IF($P45,$P45*TreatyCatch!BU275/SUM(TreatyCatch!$BR275:$BS275,TreatyCatch!$BU275:$BV275),"")</f>
        <v/>
      </c>
      <c r="U45" s="894" t="str">
        <f>IF($P45,$P45*TreatyCatch!BV275/SUM(TreatyCatch!$BR275:$BS275,TreatyCatch!$BU275:$BV275),"")</f>
        <v/>
      </c>
      <c r="V45" s="877" t="str">
        <f t="shared" si="24"/>
        <v/>
      </c>
      <c r="W45" s="958"/>
      <c r="X45" s="882" t="str">
        <f>IF($W45,$W45*TreatyCatch!BX275/SUM(TreatyCatch!$BX275:$BY275,TreatyCatch!$CA275:$CB275),"")</f>
        <v/>
      </c>
      <c r="Y45" s="883" t="str">
        <f>IF($W45,$W45*TreatyCatch!BY275/SUM(TreatyCatch!$BX275:$BY275,TreatyCatch!$CA275:$CB275),"")</f>
        <v/>
      </c>
      <c r="Z45" s="901" t="str">
        <f t="shared" si="14"/>
        <v/>
      </c>
      <c r="AA45" s="858" t="str">
        <f>IF($W45,$W45*TreatyCatch!CA275/SUM(TreatyCatch!$BX275:$BY275,TreatyCatch!$CA275:$CB275),"")</f>
        <v/>
      </c>
      <c r="AB45" s="859" t="str">
        <f>IF($W45,$W45*TreatyCatch!CB275/SUM(TreatyCatch!$BX275:$BY275,TreatyCatch!$CA275:$CB275),"")</f>
        <v/>
      </c>
      <c r="AC45" s="840" t="str">
        <f t="shared" si="25"/>
        <v/>
      </c>
      <c r="AD45" s="958"/>
      <c r="AE45" s="1071" t="str">
        <f>IF($AD45,$AD45*TreatyCatch!CD275/SUM(TreatyCatch!$CD275:$CE275,TreatyCatch!$CG275:$CH275),"")</f>
        <v/>
      </c>
      <c r="AF45" s="1072" t="str">
        <f>IF($AD45,$AD45*TreatyCatch!CE275/SUM(TreatyCatch!$CD275:$CE275,TreatyCatch!$CG275:$CH275),"")</f>
        <v/>
      </c>
      <c r="AG45" s="1073" t="str">
        <f t="shared" si="11"/>
        <v/>
      </c>
      <c r="AH45" s="1077" t="str">
        <f>IF($AD45,$AD45*TreatyCatch!CG275/SUM(TreatyCatch!$CD275:CE275,TreatyCatch!$CG275:$CH275),"")</f>
        <v/>
      </c>
      <c r="AI45" s="1078" t="str">
        <f>IF($AD45,$AD45*TreatyCatch!CH275/SUM(TreatyCatch!$CD275:CF275,TreatyCatch!$CG275:$CH275),"")</f>
        <v/>
      </c>
      <c r="AJ45" s="1080" t="str">
        <f t="shared" si="27"/>
        <v/>
      </c>
      <c r="AK45" s="958"/>
      <c r="AL45" s="882"/>
      <c r="AM45" s="883"/>
      <c r="AN45" s="901"/>
      <c r="AO45" s="858"/>
      <c r="AP45" s="859"/>
      <c r="AQ45" s="840"/>
      <c r="AR45" s="765"/>
      <c r="AS45" s="852"/>
      <c r="AT45" s="853"/>
      <c r="AU45" s="846"/>
      <c r="AV45" s="893"/>
      <c r="AW45" s="894"/>
      <c r="AX45" s="877"/>
      <c r="AY45" s="765"/>
      <c r="AZ45" s="882"/>
      <c r="BA45" s="883"/>
      <c r="BB45" s="901"/>
      <c r="BC45" s="858"/>
      <c r="BD45" s="859"/>
      <c r="BE45" s="840"/>
      <c r="BF45" s="765"/>
      <c r="BG45" s="852"/>
      <c r="BH45" s="853"/>
      <c r="BI45" s="846"/>
      <c r="BJ45" s="893"/>
      <c r="BK45" s="894"/>
      <c r="BL45" s="877"/>
      <c r="BM45" s="765"/>
      <c r="BN45" s="882"/>
      <c r="BO45" s="883"/>
      <c r="BP45" s="901"/>
      <c r="BQ45" s="858"/>
      <c r="BR45" s="859"/>
      <c r="BS45" s="840"/>
      <c r="BT45" s="765"/>
      <c r="BU45" s="852"/>
      <c r="BV45" s="853"/>
      <c r="BW45" s="846"/>
      <c r="BX45" s="893"/>
      <c r="BY45" s="894"/>
      <c r="BZ45" s="877"/>
      <c r="CA45" s="765"/>
      <c r="CB45" s="882"/>
      <c r="CC45" s="883"/>
      <c r="CD45" s="901"/>
      <c r="CE45" s="858"/>
      <c r="CF45" s="859"/>
      <c r="CG45" s="840"/>
      <c r="CH45" s="765"/>
      <c r="CI45" s="852"/>
      <c r="CJ45" s="853"/>
      <c r="CK45" s="846"/>
      <c r="CL45" s="893"/>
      <c r="CM45" s="894"/>
      <c r="CN45" s="877"/>
    </row>
    <row r="46" spans="1:92" x14ac:dyDescent="0.25">
      <c r="A46" s="757">
        <v>38</v>
      </c>
      <c r="B46" s="765"/>
      <c r="C46" s="844" t="str">
        <f>IF($B46,$B46*TreatyCatch!BF276/SUM(TreatyCatch!$BF276:$BG276,TreatyCatch!$BI276:$BJ276),"")</f>
        <v/>
      </c>
      <c r="D46" s="844" t="str">
        <f>IF($B46,$B46*TreatyCatch!BG276/SUM(TreatyCatch!$BF276:$BG276,TreatyCatch!$BI276:$BJ276),"")</f>
        <v/>
      </c>
      <c r="E46" s="846" t="str">
        <f t="shared" si="12"/>
        <v/>
      </c>
      <c r="F46" s="876" t="str">
        <f>IF($B46,$B46*TreatyCatch!BI276/SUM(TreatyCatch!$BF276:$BG276,TreatyCatch!$BI276:$BJ276),"")</f>
        <v/>
      </c>
      <c r="G46" s="889" t="str">
        <f>IF($B46,$B46*TreatyCatch!BJ276/SUM(TreatyCatch!$BF276:$BG276,TreatyCatch!$BI276:$BJ276),"")</f>
        <v/>
      </c>
      <c r="H46" s="877" t="str">
        <f t="shared" si="21"/>
        <v/>
      </c>
      <c r="I46" s="765"/>
      <c r="J46" s="882" t="str">
        <f>IF($I46,$I46*TreatyCatch!BL276/SUM(TreatyCatch!$BL276:$BM276,TreatyCatch!$BO276:$BP276),"")</f>
        <v/>
      </c>
      <c r="K46" s="883" t="str">
        <f>IF($I46,$I46*TreatyCatch!BM276/SUM(TreatyCatch!$BL276:$BM276,TreatyCatch!$BO276:$BP276),"")</f>
        <v/>
      </c>
      <c r="L46" s="901" t="str">
        <f t="shared" si="22"/>
        <v/>
      </c>
      <c r="M46" s="858" t="str">
        <f>IF($I46,$I46*TreatyCatch!BO276/SUM(TreatyCatch!$BL276:$BM276,TreatyCatch!$BO276:$BP276),"")</f>
        <v/>
      </c>
      <c r="N46" s="859" t="str">
        <f>IF($I46,$I46*TreatyCatch!BP276/SUM(TreatyCatch!$BL276:$BM276,TreatyCatch!$BO276:$BP276),"")</f>
        <v/>
      </c>
      <c r="O46" s="840" t="str">
        <f t="shared" si="23"/>
        <v/>
      </c>
      <c r="P46" s="765">
        <v>1</v>
      </c>
      <c r="Q46" s="852">
        <f>IF($P46,$P46*TreatyCatch!BR276/SUM(TreatyCatch!$BR276:$BS276,TreatyCatch!$BU276:$BV276),"")</f>
        <v>1</v>
      </c>
      <c r="R46" s="853">
        <f>IF($P46,$P46*TreatyCatch!BS276/SUM(TreatyCatch!$BR276:$BS276,TreatyCatch!$BU276:$BV276),"")</f>
        <v>0</v>
      </c>
      <c r="S46" s="846">
        <f t="shared" si="13"/>
        <v>1</v>
      </c>
      <c r="T46" s="893">
        <f>IF($P46,$P46*TreatyCatch!BU276/SUM(TreatyCatch!$BR276:$BS276,TreatyCatch!$BU276:$BV276),"")</f>
        <v>0</v>
      </c>
      <c r="U46" s="894">
        <f>IF($P46,$P46*TreatyCatch!BV276/SUM(TreatyCatch!$BR276:$BS276,TreatyCatch!$BU276:$BV276),"")</f>
        <v>0</v>
      </c>
      <c r="V46" s="877">
        <f t="shared" si="24"/>
        <v>0</v>
      </c>
      <c r="W46" s="958"/>
      <c r="X46" s="882" t="str">
        <f>IF($W46,$W46*TreatyCatch!BX276/SUM(TreatyCatch!$BX276:$BY276,TreatyCatch!$CA276:$CB276),"")</f>
        <v/>
      </c>
      <c r="Y46" s="883" t="str">
        <f>IF($W46,$W46*TreatyCatch!BY276/SUM(TreatyCatch!$BX276:$BY276,TreatyCatch!$CA276:$CB276),"")</f>
        <v/>
      </c>
      <c r="Z46" s="901" t="str">
        <f t="shared" si="14"/>
        <v/>
      </c>
      <c r="AA46" s="858" t="str">
        <f>IF($W46,$W46*TreatyCatch!CA276/SUM(TreatyCatch!$BX276:$BY276,TreatyCatch!$CA276:$CB276),"")</f>
        <v/>
      </c>
      <c r="AB46" s="859" t="str">
        <f>IF($W46,$W46*TreatyCatch!CB276/SUM(TreatyCatch!$BX276:$BY276,TreatyCatch!$CA276:$CB276),"")</f>
        <v/>
      </c>
      <c r="AC46" s="840" t="str">
        <f t="shared" si="25"/>
        <v/>
      </c>
      <c r="AD46" s="958"/>
      <c r="AE46" s="1071" t="str">
        <f>IF($AD46,$AD46*TreatyCatch!CD276/SUM(TreatyCatch!$CD276:$CE276,TreatyCatch!$CG276:$CH276),"")</f>
        <v/>
      </c>
      <c r="AF46" s="1072" t="str">
        <f>IF($AD46,$AD46*TreatyCatch!CE276/SUM(TreatyCatch!$CD276:$CE276,TreatyCatch!$CG276:$CH276),"")</f>
        <v/>
      </c>
      <c r="AG46" s="1073" t="str">
        <f t="shared" si="11"/>
        <v/>
      </c>
      <c r="AH46" s="1077" t="str">
        <f>IF($AD46,$AD46*TreatyCatch!CG276/SUM(TreatyCatch!$CD276:CE276,TreatyCatch!$CG276:$CH276),"")</f>
        <v/>
      </c>
      <c r="AI46" s="1078" t="str">
        <f>IF($AD46,$AD46*TreatyCatch!CH276/SUM(TreatyCatch!$CD276:CF276,TreatyCatch!$CG276:$CH276),"")</f>
        <v/>
      </c>
      <c r="AJ46" s="1080" t="str">
        <f t="shared" si="27"/>
        <v/>
      </c>
      <c r="AK46" s="958"/>
      <c r="AL46" s="882"/>
      <c r="AM46" s="883"/>
      <c r="AN46" s="901"/>
      <c r="AO46" s="858"/>
      <c r="AP46" s="859"/>
      <c r="AQ46" s="840"/>
      <c r="AR46" s="765"/>
      <c r="AS46" s="852"/>
      <c r="AT46" s="853"/>
      <c r="AU46" s="846"/>
      <c r="AV46" s="893"/>
      <c r="AW46" s="894"/>
      <c r="AX46" s="877"/>
      <c r="AY46" s="765"/>
      <c r="AZ46" s="882"/>
      <c r="BA46" s="883"/>
      <c r="BB46" s="901"/>
      <c r="BC46" s="858"/>
      <c r="BD46" s="859"/>
      <c r="BE46" s="840"/>
      <c r="BF46" s="765"/>
      <c r="BG46" s="852"/>
      <c r="BH46" s="853"/>
      <c r="BI46" s="846"/>
      <c r="BJ46" s="893"/>
      <c r="BK46" s="894"/>
      <c r="BL46" s="877"/>
      <c r="BM46" s="765"/>
      <c r="BN46" s="882"/>
      <c r="BO46" s="883"/>
      <c r="BP46" s="901"/>
      <c r="BQ46" s="858"/>
      <c r="BR46" s="859"/>
      <c r="BS46" s="840"/>
      <c r="BT46" s="765"/>
      <c r="BU46" s="852"/>
      <c r="BV46" s="853"/>
      <c r="BW46" s="846"/>
      <c r="BX46" s="893"/>
      <c r="BY46" s="894"/>
      <c r="BZ46" s="877"/>
      <c r="CA46" s="765"/>
      <c r="CB46" s="882"/>
      <c r="CC46" s="883"/>
      <c r="CD46" s="901"/>
      <c r="CE46" s="858"/>
      <c r="CF46" s="859"/>
      <c r="CG46" s="840"/>
      <c r="CH46" s="765"/>
      <c r="CI46" s="852"/>
      <c r="CJ46" s="853"/>
      <c r="CK46" s="846"/>
      <c r="CL46" s="893"/>
      <c r="CM46" s="894"/>
      <c r="CN46" s="877"/>
    </row>
    <row r="47" spans="1:92" x14ac:dyDescent="0.25">
      <c r="A47" s="757">
        <v>39</v>
      </c>
      <c r="B47" s="765">
        <v>1</v>
      </c>
      <c r="C47" s="844">
        <f>IF($B47,$B47*TreatyCatch!BF277/SUM(TreatyCatch!$BF277:$BG277,TreatyCatch!$BI277:$BJ277),"")</f>
        <v>1</v>
      </c>
      <c r="D47" s="844">
        <f>IF($B47,$B47*TreatyCatch!BG277/SUM(TreatyCatch!$BF277:$BG277,TreatyCatch!$BI277:$BJ277),"")</f>
        <v>0</v>
      </c>
      <c r="E47" s="846">
        <f t="shared" si="12"/>
        <v>1</v>
      </c>
      <c r="F47" s="876">
        <f>IF($B47,$B47*TreatyCatch!BI277/SUM(TreatyCatch!$BF277:$BG277,TreatyCatch!$BI277:$BJ277),"")</f>
        <v>0</v>
      </c>
      <c r="G47" s="889">
        <f>IF($B47,$B47*TreatyCatch!BJ277/SUM(TreatyCatch!$BF277:$BG277,TreatyCatch!$BI277:$BJ277),"")</f>
        <v>0</v>
      </c>
      <c r="H47" s="877">
        <f t="shared" si="21"/>
        <v>0</v>
      </c>
      <c r="I47" s="765"/>
      <c r="J47" s="882" t="str">
        <f>IF($I47,$I47*TreatyCatch!BL277/SUM(TreatyCatch!$BL277:$BM277,TreatyCatch!$BO277:$BP277),"")</f>
        <v/>
      </c>
      <c r="K47" s="883" t="str">
        <f>IF($I47,$I47*TreatyCatch!BM277/SUM(TreatyCatch!$BL277:$BM277,TreatyCatch!$BO277:$BP277),"")</f>
        <v/>
      </c>
      <c r="L47" s="901" t="str">
        <f t="shared" si="22"/>
        <v/>
      </c>
      <c r="M47" s="858" t="str">
        <f>IF($I47,$I47*TreatyCatch!BO277/SUM(TreatyCatch!$BL277:$BM277,TreatyCatch!$BO277:$BP277),"")</f>
        <v/>
      </c>
      <c r="N47" s="859" t="str">
        <f>IF($I47,$I47*TreatyCatch!BP277/SUM(TreatyCatch!$BL277:$BM277,TreatyCatch!$BO277:$BP277),"")</f>
        <v/>
      </c>
      <c r="O47" s="840" t="str">
        <f t="shared" si="23"/>
        <v/>
      </c>
      <c r="P47" s="765">
        <v>1</v>
      </c>
      <c r="Q47" s="852">
        <f>IF($P47,$P47*TreatyCatch!BR277/SUM(TreatyCatch!$BR277:$BS277,TreatyCatch!$BU277:$BV277),"")</f>
        <v>1</v>
      </c>
      <c r="R47" s="853">
        <f>IF($P47,$P47*TreatyCatch!BS277/SUM(TreatyCatch!$BR277:$BS277,TreatyCatch!$BU277:$BV277),"")</f>
        <v>0</v>
      </c>
      <c r="S47" s="846">
        <f t="shared" si="13"/>
        <v>1</v>
      </c>
      <c r="T47" s="893">
        <f>IF($P47,$P47*TreatyCatch!BU277/SUM(TreatyCatch!$BR277:$BS277,TreatyCatch!$BU277:$BV277),"")</f>
        <v>0</v>
      </c>
      <c r="U47" s="894">
        <f>IF($P47,$P47*TreatyCatch!BV277/SUM(TreatyCatch!$BR277:$BS277,TreatyCatch!$BU277:$BV277),"")</f>
        <v>0</v>
      </c>
      <c r="V47" s="877">
        <f t="shared" si="24"/>
        <v>0</v>
      </c>
      <c r="W47" s="958"/>
      <c r="X47" s="882" t="str">
        <f>IF($W47,$W47*TreatyCatch!BX277/SUM(TreatyCatch!$BX277:$BY277,TreatyCatch!$CA277:$CB277),"")</f>
        <v/>
      </c>
      <c r="Y47" s="883" t="str">
        <f>IF($W47,$W47*TreatyCatch!BY277/SUM(TreatyCatch!$BX277:$BY277,TreatyCatch!$CA277:$CB277),"")</f>
        <v/>
      </c>
      <c r="Z47" s="901" t="str">
        <f t="shared" si="14"/>
        <v/>
      </c>
      <c r="AA47" s="858" t="str">
        <f>IF($W47,$W47*TreatyCatch!CA277/SUM(TreatyCatch!$BX277:$BY277,TreatyCatch!$CA277:$CB277),"")</f>
        <v/>
      </c>
      <c r="AB47" s="859" t="str">
        <f>IF($W47,$W47*TreatyCatch!CB277/SUM(TreatyCatch!$BX277:$BY277,TreatyCatch!$CA277:$CB277),"")</f>
        <v/>
      </c>
      <c r="AC47" s="840" t="str">
        <f t="shared" si="25"/>
        <v/>
      </c>
      <c r="AD47" s="958"/>
      <c r="AE47" s="1071" t="str">
        <f>IF($AD47,$AD47*TreatyCatch!CD277/SUM(TreatyCatch!$CD277:$CE277,TreatyCatch!$CG277:$CH277),"")</f>
        <v/>
      </c>
      <c r="AF47" s="1072" t="str">
        <f>IF($AD47,$AD47*TreatyCatch!CE277/SUM(TreatyCatch!$CD277:$CE277,TreatyCatch!$CG277:$CH277),"")</f>
        <v/>
      </c>
      <c r="AG47" s="1073" t="str">
        <f t="shared" si="11"/>
        <v/>
      </c>
      <c r="AH47" s="1077" t="str">
        <f>IF($AD47,$AD47*TreatyCatch!CG277/SUM(TreatyCatch!$CD277:CE277,TreatyCatch!$CG277:$CH277),"")</f>
        <v/>
      </c>
      <c r="AI47" s="1078" t="str">
        <f>IF($AD47,$AD47*TreatyCatch!CH277/SUM(TreatyCatch!$CD277:CF277,TreatyCatch!$CG277:$CH277),"")</f>
        <v/>
      </c>
      <c r="AJ47" s="1080" t="str">
        <f t="shared" si="27"/>
        <v/>
      </c>
      <c r="AK47" s="958"/>
      <c r="AL47" s="882"/>
      <c r="AM47" s="883"/>
      <c r="AN47" s="901"/>
      <c r="AO47" s="858"/>
      <c r="AP47" s="859"/>
      <c r="AQ47" s="840"/>
      <c r="AR47" s="765"/>
      <c r="AS47" s="852"/>
      <c r="AT47" s="853"/>
      <c r="AU47" s="846"/>
      <c r="AV47" s="893"/>
      <c r="AW47" s="894"/>
      <c r="AX47" s="877"/>
      <c r="AY47" s="765"/>
      <c r="AZ47" s="882"/>
      <c r="BA47" s="883"/>
      <c r="BB47" s="901"/>
      <c r="BC47" s="858"/>
      <c r="BD47" s="859"/>
      <c r="BE47" s="840"/>
      <c r="BF47" s="765"/>
      <c r="BG47" s="852"/>
      <c r="BH47" s="853"/>
      <c r="BI47" s="846"/>
      <c r="BJ47" s="893"/>
      <c r="BK47" s="894"/>
      <c r="BL47" s="877"/>
      <c r="BM47" s="765"/>
      <c r="BN47" s="882"/>
      <c r="BO47" s="883"/>
      <c r="BP47" s="901"/>
      <c r="BQ47" s="858"/>
      <c r="BR47" s="859"/>
      <c r="BS47" s="840"/>
      <c r="BT47" s="765"/>
      <c r="BU47" s="852"/>
      <c r="BV47" s="853"/>
      <c r="BW47" s="846"/>
      <c r="BX47" s="893"/>
      <c r="BY47" s="894"/>
      <c r="BZ47" s="877"/>
      <c r="CA47" s="765"/>
      <c r="CB47" s="882"/>
      <c r="CC47" s="883"/>
      <c r="CD47" s="901"/>
      <c r="CE47" s="858"/>
      <c r="CF47" s="859"/>
      <c r="CG47" s="840"/>
      <c r="CH47" s="765"/>
      <c r="CI47" s="852"/>
      <c r="CJ47" s="853"/>
      <c r="CK47" s="846"/>
      <c r="CL47" s="893"/>
      <c r="CM47" s="894"/>
      <c r="CN47" s="877"/>
    </row>
    <row r="48" spans="1:92" x14ac:dyDescent="0.25">
      <c r="A48" s="757">
        <v>40</v>
      </c>
      <c r="B48" s="765">
        <v>1</v>
      </c>
      <c r="C48" s="844">
        <f>IF($B48,$B48*TreatyCatch!BF278/SUM(TreatyCatch!$BF278:$BG278,TreatyCatch!$BI278:$BJ278),"")</f>
        <v>1</v>
      </c>
      <c r="D48" s="844">
        <f>IF($B48,$B48*TreatyCatch!BG278/SUM(TreatyCatch!$BF278:$BG278,TreatyCatch!$BI278:$BJ278),"")</f>
        <v>0</v>
      </c>
      <c r="E48" s="846">
        <f t="shared" si="12"/>
        <v>1</v>
      </c>
      <c r="F48" s="876">
        <f>IF($B48,$B48*TreatyCatch!BI278/SUM(TreatyCatch!$BF278:$BG278,TreatyCatch!$BI278:$BJ278),"")</f>
        <v>0</v>
      </c>
      <c r="G48" s="889">
        <f>IF($B48,$B48*TreatyCatch!BJ278/SUM(TreatyCatch!$BF278:$BG278,TreatyCatch!$BI278:$BJ278),"")</f>
        <v>0</v>
      </c>
      <c r="H48" s="877">
        <f t="shared" si="21"/>
        <v>0</v>
      </c>
      <c r="I48" s="765"/>
      <c r="J48" s="882" t="str">
        <f>IF($I48,$I48*TreatyCatch!BL278/SUM(TreatyCatch!$BL278:$BM278,TreatyCatch!$BO278:$BP278),"")</f>
        <v/>
      </c>
      <c r="K48" s="883" t="str">
        <f>IF($I48,$I48*TreatyCatch!BM278/SUM(TreatyCatch!$BL278:$BM278,TreatyCatch!$BO278:$BP278),"")</f>
        <v/>
      </c>
      <c r="L48" s="901" t="str">
        <f t="shared" si="22"/>
        <v/>
      </c>
      <c r="M48" s="858" t="str">
        <f>IF($I48,$I48*TreatyCatch!BO278/SUM(TreatyCatch!$BL278:$BM278,TreatyCatch!$BO278:$BP278),"")</f>
        <v/>
      </c>
      <c r="N48" s="859" t="str">
        <f>IF($I48,$I48*TreatyCatch!BP278/SUM(TreatyCatch!$BL278:$BM278,TreatyCatch!$BO278:$BP278),"")</f>
        <v/>
      </c>
      <c r="O48" s="840" t="str">
        <f t="shared" si="23"/>
        <v/>
      </c>
      <c r="P48" s="765"/>
      <c r="Q48" s="852" t="str">
        <f>IF($P48,$P48*TreatyCatch!BR278/SUM(TreatyCatch!$BR278:$BS278,TreatyCatch!$BU278:$BV278),"")</f>
        <v/>
      </c>
      <c r="R48" s="853" t="str">
        <f>IF($P48,$P48*TreatyCatch!BS278/SUM(TreatyCatch!$BR278:$BS278,TreatyCatch!$BU278:$BV278),"")</f>
        <v/>
      </c>
      <c r="S48" s="846" t="str">
        <f t="shared" si="13"/>
        <v/>
      </c>
      <c r="T48" s="893" t="str">
        <f>IF($P48,$P48*TreatyCatch!BU278/SUM(TreatyCatch!$BR278:$BS278,TreatyCatch!$BU278:$BV278),"")</f>
        <v/>
      </c>
      <c r="U48" s="894" t="str">
        <f>IF($P48,$P48*TreatyCatch!BV278/SUM(TreatyCatch!$BR278:$BS278,TreatyCatch!$BU278:$BV278),"")</f>
        <v/>
      </c>
      <c r="V48" s="877" t="str">
        <f t="shared" si="24"/>
        <v/>
      </c>
      <c r="W48" s="958"/>
      <c r="X48" s="882" t="str">
        <f>IF($W48,$W48*TreatyCatch!BX278/SUM(TreatyCatch!$BX278:$BY278,TreatyCatch!$CA278:$CB278),"")</f>
        <v/>
      </c>
      <c r="Y48" s="883" t="str">
        <f>IF($W48,$W48*TreatyCatch!BY278/SUM(TreatyCatch!$BX278:$BY278,TreatyCatch!$CA278:$CB278),"")</f>
        <v/>
      </c>
      <c r="Z48" s="901" t="str">
        <f t="shared" si="14"/>
        <v/>
      </c>
      <c r="AA48" s="858" t="str">
        <f>IF($W48,$W48*TreatyCatch!CA278/SUM(TreatyCatch!$BX278:$BY278,TreatyCatch!$CA278:$CB278),"")</f>
        <v/>
      </c>
      <c r="AB48" s="859" t="str">
        <f>IF($W48,$W48*TreatyCatch!CB278/SUM(TreatyCatch!$BX278:$BY278,TreatyCatch!$CA278:$CB278),"")</f>
        <v/>
      </c>
      <c r="AC48" s="840" t="str">
        <f t="shared" si="25"/>
        <v/>
      </c>
      <c r="AD48" s="958"/>
      <c r="AE48" s="1071" t="str">
        <f>IF($AD48,$AD48*TreatyCatch!CD278/SUM(TreatyCatch!$CD278:$CE278,TreatyCatch!$CG278:$CH278),"")</f>
        <v/>
      </c>
      <c r="AF48" s="1072" t="str">
        <f>IF($AD48,$AD48*TreatyCatch!CE278/SUM(TreatyCatch!$CD278:$CE278,TreatyCatch!$CG278:$CH278),"")</f>
        <v/>
      </c>
      <c r="AG48" s="1073" t="str">
        <f t="shared" si="11"/>
        <v/>
      </c>
      <c r="AH48" s="1077" t="str">
        <f>IF($AD48,$AD48*TreatyCatch!CG278/SUM(TreatyCatch!$CD278:CE278,TreatyCatch!$CG278:$CH278),"")</f>
        <v/>
      </c>
      <c r="AI48" s="1078" t="str">
        <f>IF($AD48,$AD48*TreatyCatch!CH278/SUM(TreatyCatch!$CD278:CF278,TreatyCatch!$CG278:$CH278),"")</f>
        <v/>
      </c>
      <c r="AJ48" s="1080" t="str">
        <f t="shared" si="27"/>
        <v/>
      </c>
      <c r="AK48" s="958"/>
      <c r="AL48" s="882"/>
      <c r="AM48" s="883"/>
      <c r="AN48" s="901"/>
      <c r="AO48" s="858"/>
      <c r="AP48" s="859"/>
      <c r="AQ48" s="840"/>
      <c r="AR48" s="765"/>
      <c r="AS48" s="852"/>
      <c r="AT48" s="853"/>
      <c r="AU48" s="846"/>
      <c r="AV48" s="893"/>
      <c r="AW48" s="894"/>
      <c r="AX48" s="877"/>
      <c r="AY48" s="765"/>
      <c r="AZ48" s="882"/>
      <c r="BA48" s="883"/>
      <c r="BB48" s="901"/>
      <c r="BC48" s="858"/>
      <c r="BD48" s="859"/>
      <c r="BE48" s="840"/>
      <c r="BF48" s="765"/>
      <c r="BG48" s="852"/>
      <c r="BH48" s="853"/>
      <c r="BI48" s="846"/>
      <c r="BJ48" s="893"/>
      <c r="BK48" s="894"/>
      <c r="BL48" s="877"/>
      <c r="BM48" s="765"/>
      <c r="BN48" s="882"/>
      <c r="BO48" s="883"/>
      <c r="BP48" s="901"/>
      <c r="BQ48" s="858"/>
      <c r="BR48" s="859"/>
      <c r="BS48" s="840"/>
      <c r="BT48" s="765"/>
      <c r="BU48" s="852"/>
      <c r="BV48" s="853"/>
      <c r="BW48" s="846"/>
      <c r="BX48" s="893"/>
      <c r="BY48" s="894"/>
      <c r="BZ48" s="877"/>
      <c r="CA48" s="765"/>
      <c r="CB48" s="882"/>
      <c r="CC48" s="883"/>
      <c r="CD48" s="901"/>
      <c r="CE48" s="858"/>
      <c r="CF48" s="859"/>
      <c r="CG48" s="840"/>
      <c r="CH48" s="765"/>
      <c r="CI48" s="852"/>
      <c r="CJ48" s="853"/>
      <c r="CK48" s="846"/>
      <c r="CL48" s="893"/>
      <c r="CM48" s="894"/>
      <c r="CN48" s="877"/>
    </row>
    <row r="49" spans="1:92" x14ac:dyDescent="0.25">
      <c r="A49" s="757">
        <v>41</v>
      </c>
      <c r="B49" s="765">
        <v>3</v>
      </c>
      <c r="C49" s="844">
        <f>IF($B49,$B49*TreatyCatch!BF279/SUM(TreatyCatch!$BF279:$BG279,TreatyCatch!$BI279:$BJ279),"")</f>
        <v>3</v>
      </c>
      <c r="D49" s="844">
        <f>IF($B49,$B49*TreatyCatch!BG279/SUM(TreatyCatch!$BF279:$BG279,TreatyCatch!$BI279:$BJ279),"")</f>
        <v>0</v>
      </c>
      <c r="E49" s="846">
        <f t="shared" si="12"/>
        <v>3</v>
      </c>
      <c r="F49" s="876">
        <f>IF($B49,$B49*TreatyCatch!BI279/SUM(TreatyCatch!$BF279:$BG279,TreatyCatch!$BI279:$BJ279),"")</f>
        <v>0</v>
      </c>
      <c r="G49" s="889">
        <f>IF($B49,$B49*TreatyCatch!BJ279/SUM(TreatyCatch!$BF279:$BG279,TreatyCatch!$BI279:$BJ279),"")</f>
        <v>0</v>
      </c>
      <c r="H49" s="877">
        <f t="shared" si="21"/>
        <v>0</v>
      </c>
      <c r="I49" s="765"/>
      <c r="J49" s="882" t="str">
        <f>IF($I49,$I49*TreatyCatch!BL279/SUM(TreatyCatch!$BL279:$BM279,TreatyCatch!$BO279:$BP279),"")</f>
        <v/>
      </c>
      <c r="K49" s="883" t="str">
        <f>IF($I49,$I49*TreatyCatch!BM279/SUM(TreatyCatch!$BL279:$BM279,TreatyCatch!$BO279:$BP279),"")</f>
        <v/>
      </c>
      <c r="L49" s="901" t="str">
        <f t="shared" si="22"/>
        <v/>
      </c>
      <c r="M49" s="858" t="str">
        <f>IF($I49,$I49*TreatyCatch!BO279/SUM(TreatyCatch!$BL279:$BM279,TreatyCatch!$BO279:$BP279),"")</f>
        <v/>
      </c>
      <c r="N49" s="859" t="str">
        <f>IF($I49,$I49*TreatyCatch!BP279/SUM(TreatyCatch!$BL279:$BM279,TreatyCatch!$BO279:$BP279),"")</f>
        <v/>
      </c>
      <c r="O49" s="840" t="str">
        <f t="shared" si="23"/>
        <v/>
      </c>
      <c r="P49" s="765"/>
      <c r="Q49" s="852" t="str">
        <f>IF($P49,$P49*TreatyCatch!BR279/SUM(TreatyCatch!$BR279:$BS279,TreatyCatch!$BU279:$BV279),"")</f>
        <v/>
      </c>
      <c r="R49" s="853" t="str">
        <f>IF($P49,$P49*TreatyCatch!BS279/SUM(TreatyCatch!$BR279:$BS279,TreatyCatch!$BU279:$BV279),"")</f>
        <v/>
      </c>
      <c r="S49" s="846" t="str">
        <f t="shared" si="13"/>
        <v/>
      </c>
      <c r="T49" s="893" t="str">
        <f>IF($P49,$P49*TreatyCatch!BU279/SUM(TreatyCatch!$BR279:$BS279,TreatyCatch!$BU279:$BV279),"")</f>
        <v/>
      </c>
      <c r="U49" s="894" t="str">
        <f>IF($P49,$P49*TreatyCatch!BV279/SUM(TreatyCatch!$BR279:$BS279,TreatyCatch!$BU279:$BV279),"")</f>
        <v/>
      </c>
      <c r="V49" s="877" t="str">
        <f t="shared" si="24"/>
        <v/>
      </c>
      <c r="W49" s="958"/>
      <c r="X49" s="882" t="str">
        <f>IF($W49,$W49*TreatyCatch!BX279/SUM(TreatyCatch!$BX279:$BY279,TreatyCatch!$CA279:$CB279),"")</f>
        <v/>
      </c>
      <c r="Y49" s="883" t="str">
        <f>IF($W49,$W49*TreatyCatch!BY279/SUM(TreatyCatch!$BX279:$BY279,TreatyCatch!$CA279:$CB279),"")</f>
        <v/>
      </c>
      <c r="Z49" s="901" t="str">
        <f t="shared" si="14"/>
        <v/>
      </c>
      <c r="AA49" s="858" t="str">
        <f>IF($W49,$W49*TreatyCatch!CA279/SUM(TreatyCatch!$BX279:$BY279,TreatyCatch!$CA279:$CB279),"")</f>
        <v/>
      </c>
      <c r="AB49" s="859" t="str">
        <f>IF($W49,$W49*TreatyCatch!CB279/SUM(TreatyCatch!$BX279:$BY279,TreatyCatch!$CA279:$CB279),"")</f>
        <v/>
      </c>
      <c r="AC49" s="840" t="str">
        <f t="shared" si="25"/>
        <v/>
      </c>
      <c r="AD49" s="958"/>
      <c r="AE49" s="1071" t="str">
        <f>IF($AD49,$AD49*TreatyCatch!CD279/SUM(TreatyCatch!$CD279:$CE279,TreatyCatch!$CG279:$CH279),"")</f>
        <v/>
      </c>
      <c r="AF49" s="1072" t="str">
        <f>IF($AD49,$AD49*TreatyCatch!CE279/SUM(TreatyCatch!$CD279:$CE279,TreatyCatch!$CG279:$CH279),"")</f>
        <v/>
      </c>
      <c r="AG49" s="1073" t="str">
        <f t="shared" si="11"/>
        <v/>
      </c>
      <c r="AH49" s="1077" t="str">
        <f>IF($AD49,$AD49*TreatyCatch!CG279/SUM(TreatyCatch!$CD279:CE279,TreatyCatch!$CG279:$CH279),"")</f>
        <v/>
      </c>
      <c r="AI49" s="1078" t="str">
        <f>IF($AD49,$AD49*TreatyCatch!CH279/SUM(TreatyCatch!$CD279:CF279,TreatyCatch!$CG279:$CH279),"")</f>
        <v/>
      </c>
      <c r="AJ49" s="1080" t="str">
        <f t="shared" si="27"/>
        <v/>
      </c>
      <c r="AK49" s="958"/>
      <c r="AL49" s="882"/>
      <c r="AM49" s="883"/>
      <c r="AN49" s="901"/>
      <c r="AO49" s="858"/>
      <c r="AP49" s="859"/>
      <c r="AQ49" s="840"/>
      <c r="AR49" s="765"/>
      <c r="AS49" s="852"/>
      <c r="AT49" s="853"/>
      <c r="AU49" s="846"/>
      <c r="AV49" s="893"/>
      <c r="AW49" s="894"/>
      <c r="AX49" s="877"/>
      <c r="AY49" s="765"/>
      <c r="AZ49" s="882"/>
      <c r="BA49" s="883"/>
      <c r="BB49" s="901"/>
      <c r="BC49" s="858"/>
      <c r="BD49" s="859"/>
      <c r="BE49" s="840"/>
      <c r="BF49" s="765"/>
      <c r="BG49" s="852"/>
      <c r="BH49" s="853"/>
      <c r="BI49" s="846"/>
      <c r="BJ49" s="893"/>
      <c r="BK49" s="894"/>
      <c r="BL49" s="877"/>
      <c r="BM49" s="765"/>
      <c r="BN49" s="882"/>
      <c r="BO49" s="883"/>
      <c r="BP49" s="901"/>
      <c r="BQ49" s="858"/>
      <c r="BR49" s="859"/>
      <c r="BS49" s="840"/>
      <c r="BT49" s="765"/>
      <c r="BU49" s="852"/>
      <c r="BV49" s="853"/>
      <c r="BW49" s="846"/>
      <c r="BX49" s="893"/>
      <c r="BY49" s="894"/>
      <c r="BZ49" s="877"/>
      <c r="CA49" s="765"/>
      <c r="CB49" s="882"/>
      <c r="CC49" s="883"/>
      <c r="CD49" s="901"/>
      <c r="CE49" s="858"/>
      <c r="CF49" s="859"/>
      <c r="CG49" s="840"/>
      <c r="CH49" s="765"/>
      <c r="CI49" s="852"/>
      <c r="CJ49" s="853"/>
      <c r="CK49" s="846"/>
      <c r="CL49" s="893"/>
      <c r="CM49" s="894"/>
      <c r="CN49" s="877"/>
    </row>
    <row r="50" spans="1:92" x14ac:dyDescent="0.25">
      <c r="A50" s="757">
        <v>42</v>
      </c>
      <c r="B50" s="765"/>
      <c r="C50" s="844" t="str">
        <f>IF($B50,$B50*TreatyCatch!BF280/SUM(TreatyCatch!$BF280:$BG280,TreatyCatch!$BI280:$BJ280),"")</f>
        <v/>
      </c>
      <c r="D50" s="844" t="str">
        <f>IF($B50,$B50*TreatyCatch!BG280/SUM(TreatyCatch!$BF280:$BG280,TreatyCatch!$BI280:$BJ280),"")</f>
        <v/>
      </c>
      <c r="E50" s="846" t="str">
        <f t="shared" si="12"/>
        <v/>
      </c>
      <c r="F50" s="876" t="str">
        <f>IF($B50,$B50*TreatyCatch!BI280/SUM(TreatyCatch!$BF280:$BG280,TreatyCatch!$BI280:$BJ280),"")</f>
        <v/>
      </c>
      <c r="G50" s="889" t="str">
        <f>IF($B50,$B50*TreatyCatch!BJ280/SUM(TreatyCatch!$BF280:$BG280,TreatyCatch!$BI280:$BJ280),"")</f>
        <v/>
      </c>
      <c r="H50" s="877" t="str">
        <f t="shared" si="21"/>
        <v/>
      </c>
      <c r="I50" s="765"/>
      <c r="J50" s="882" t="str">
        <f>IF($I50,$I50*TreatyCatch!BL280/SUM(TreatyCatch!$BL280:$BM280,TreatyCatch!$BO280:$BP280),"")</f>
        <v/>
      </c>
      <c r="K50" s="883" t="str">
        <f>IF($I50,$I50*TreatyCatch!BM280/SUM(TreatyCatch!$BL280:$BM280,TreatyCatch!$BO280:$BP280),"")</f>
        <v/>
      </c>
      <c r="L50" s="901" t="str">
        <f t="shared" si="22"/>
        <v/>
      </c>
      <c r="M50" s="858" t="str">
        <f>IF($I50,$I50*TreatyCatch!BO280/SUM(TreatyCatch!$BL280:$BM280,TreatyCatch!$BO280:$BP280),"")</f>
        <v/>
      </c>
      <c r="N50" s="859" t="str">
        <f>IF($I50,$I50*TreatyCatch!BP280/SUM(TreatyCatch!$BL280:$BM280,TreatyCatch!$BO280:$BP280),"")</f>
        <v/>
      </c>
      <c r="O50" s="840" t="str">
        <f t="shared" si="23"/>
        <v/>
      </c>
      <c r="P50" s="765"/>
      <c r="Q50" s="852" t="str">
        <f>IF($P50,$P50*TreatyCatch!BR280/SUM(TreatyCatch!$BR280:$BS280,TreatyCatch!$BU280:$BV280),"")</f>
        <v/>
      </c>
      <c r="R50" s="853" t="str">
        <f>IF($P50,$P50*TreatyCatch!BS280/SUM(TreatyCatch!$BR280:$BS280,TreatyCatch!$BU280:$BV280),"")</f>
        <v/>
      </c>
      <c r="S50" s="846" t="str">
        <f t="shared" si="13"/>
        <v/>
      </c>
      <c r="T50" s="893" t="str">
        <f>IF($P50,$P50*TreatyCatch!BU280/SUM(TreatyCatch!$BR280:$BS280,TreatyCatch!$BU280:$BV280),"")</f>
        <v/>
      </c>
      <c r="U50" s="894" t="str">
        <f>IF($P50,$P50*TreatyCatch!BV280/SUM(TreatyCatch!$BR280:$BS280,TreatyCatch!$BU280:$BV280),"")</f>
        <v/>
      </c>
      <c r="V50" s="877" t="str">
        <f t="shared" si="24"/>
        <v/>
      </c>
      <c r="W50" s="958"/>
      <c r="X50" s="882" t="str">
        <f>IF($W50,$W50*TreatyCatch!BX280/SUM(TreatyCatch!$BX280:$BY280,TreatyCatch!$CA280:$CB280),"")</f>
        <v/>
      </c>
      <c r="Y50" s="883" t="str">
        <f>IF($W50,$W50*TreatyCatch!BY280/SUM(TreatyCatch!$BX280:$BY280,TreatyCatch!$CA280:$CB280),"")</f>
        <v/>
      </c>
      <c r="Z50" s="901" t="str">
        <f t="shared" si="14"/>
        <v/>
      </c>
      <c r="AA50" s="858" t="str">
        <f>IF($W50,$W50*TreatyCatch!CA280/SUM(TreatyCatch!$BX280:$BY280,TreatyCatch!$CA280:$CB280),"")</f>
        <v/>
      </c>
      <c r="AB50" s="859" t="str">
        <f>IF($W50,$W50*TreatyCatch!CB280/SUM(TreatyCatch!$BX280:$BY280,TreatyCatch!$CA280:$CB280),"")</f>
        <v/>
      </c>
      <c r="AC50" s="840" t="str">
        <f t="shared" si="25"/>
        <v/>
      </c>
      <c r="AD50" s="958"/>
      <c r="AE50" s="1071" t="str">
        <f>IF($AD50,$AD50*TreatyCatch!CD280/SUM(TreatyCatch!$CD280:$CE280,TreatyCatch!$CG280:$CH280),"")</f>
        <v/>
      </c>
      <c r="AF50" s="1072" t="str">
        <f>IF($AD50,$AD50*TreatyCatch!CE280/SUM(TreatyCatch!$CD280:$CE280,TreatyCatch!$CG280:$CH280),"")</f>
        <v/>
      </c>
      <c r="AG50" s="1073" t="str">
        <f t="shared" si="11"/>
        <v/>
      </c>
      <c r="AH50" s="1077" t="str">
        <f>IF($AD50,$AD50*TreatyCatch!CG280/SUM(TreatyCatch!$CD280:CE280,TreatyCatch!$CG280:$CH280),"")</f>
        <v/>
      </c>
      <c r="AI50" s="1078" t="str">
        <f>IF($AD50,$AD50*TreatyCatch!CH280/SUM(TreatyCatch!$CD280:CF280,TreatyCatch!$CG280:$CH280),"")</f>
        <v/>
      </c>
      <c r="AJ50" s="1080" t="str">
        <f t="shared" si="27"/>
        <v/>
      </c>
      <c r="AK50" s="958"/>
      <c r="AL50" s="882"/>
      <c r="AM50" s="883"/>
      <c r="AN50" s="901"/>
      <c r="AO50" s="858"/>
      <c r="AP50" s="859"/>
      <c r="AQ50" s="840"/>
      <c r="AR50" s="765"/>
      <c r="AS50" s="852"/>
      <c r="AT50" s="853"/>
      <c r="AU50" s="846"/>
      <c r="AV50" s="893"/>
      <c r="AW50" s="894"/>
      <c r="AX50" s="877"/>
      <c r="AY50" s="765"/>
      <c r="AZ50" s="882"/>
      <c r="BA50" s="883"/>
      <c r="BB50" s="901"/>
      <c r="BC50" s="858"/>
      <c r="BD50" s="859"/>
      <c r="BE50" s="840"/>
      <c r="BF50" s="765"/>
      <c r="BG50" s="852"/>
      <c r="BH50" s="853"/>
      <c r="BI50" s="846"/>
      <c r="BJ50" s="893"/>
      <c r="BK50" s="894"/>
      <c r="BL50" s="877"/>
      <c r="BM50" s="765"/>
      <c r="BN50" s="882"/>
      <c r="BO50" s="883"/>
      <c r="BP50" s="901"/>
      <c r="BQ50" s="858"/>
      <c r="BR50" s="859"/>
      <c r="BS50" s="840"/>
      <c r="BT50" s="765"/>
      <c r="BU50" s="852"/>
      <c r="BV50" s="853"/>
      <c r="BW50" s="846"/>
      <c r="BX50" s="893"/>
      <c r="BY50" s="894"/>
      <c r="BZ50" s="877"/>
      <c r="CA50" s="765"/>
      <c r="CB50" s="882"/>
      <c r="CC50" s="883"/>
      <c r="CD50" s="901"/>
      <c r="CE50" s="858"/>
      <c r="CF50" s="859"/>
      <c r="CG50" s="840"/>
      <c r="CH50" s="765"/>
      <c r="CI50" s="852"/>
      <c r="CJ50" s="853"/>
      <c r="CK50" s="846"/>
      <c r="CL50" s="893"/>
      <c r="CM50" s="894"/>
      <c r="CN50" s="877"/>
    </row>
    <row r="51" spans="1:92" x14ac:dyDescent="0.25">
      <c r="A51" s="757">
        <v>43</v>
      </c>
      <c r="B51" s="765"/>
      <c r="C51" s="844" t="str">
        <f>IF($B51,$B51*TreatyCatch!BF281/SUM(TreatyCatch!$BF281:$BG281,TreatyCatch!$BI281:$BJ281),"")</f>
        <v/>
      </c>
      <c r="D51" s="844" t="str">
        <f>IF($B51,$B51*TreatyCatch!BG281/SUM(TreatyCatch!$BF281:$BG281,TreatyCatch!$BI281:$BJ281),"")</f>
        <v/>
      </c>
      <c r="E51" s="846" t="str">
        <f t="shared" si="12"/>
        <v/>
      </c>
      <c r="F51" s="876" t="str">
        <f>IF($B51,$B51*TreatyCatch!BI281/SUM(TreatyCatch!$BF281:$BG281,TreatyCatch!$BI281:$BJ281),"")</f>
        <v/>
      </c>
      <c r="G51" s="889" t="str">
        <f>IF($B51,$B51*TreatyCatch!BJ281/SUM(TreatyCatch!$BF281:$BG281,TreatyCatch!$BI281:$BJ281),"")</f>
        <v/>
      </c>
      <c r="H51" s="877" t="str">
        <f t="shared" si="21"/>
        <v/>
      </c>
      <c r="I51" s="765"/>
      <c r="J51" s="882" t="str">
        <f>IF($I51,$I51*TreatyCatch!BL281/SUM(TreatyCatch!$BL281:$BM281,TreatyCatch!$BO281:$BP281),"")</f>
        <v/>
      </c>
      <c r="K51" s="883" t="str">
        <f>IF($I51,$I51*TreatyCatch!BM281/SUM(TreatyCatch!$BL281:$BM281,TreatyCatch!$BO281:$BP281),"")</f>
        <v/>
      </c>
      <c r="L51" s="901" t="str">
        <f t="shared" si="22"/>
        <v/>
      </c>
      <c r="M51" s="858" t="str">
        <f>IF($I51,$I51*TreatyCatch!BO281/SUM(TreatyCatch!$BL281:$BM281,TreatyCatch!$BO281:$BP281),"")</f>
        <v/>
      </c>
      <c r="N51" s="859" t="str">
        <f>IF($I51,$I51*TreatyCatch!BP281/SUM(TreatyCatch!$BL281:$BM281,TreatyCatch!$BO281:$BP281),"")</f>
        <v/>
      </c>
      <c r="O51" s="840" t="str">
        <f t="shared" si="23"/>
        <v/>
      </c>
      <c r="P51" s="765"/>
      <c r="Q51" s="852" t="str">
        <f>IF($P51,$P51*TreatyCatch!BR281/SUM(TreatyCatch!$BR281:$BS281,TreatyCatch!$BU281:$BV281),"")</f>
        <v/>
      </c>
      <c r="R51" s="853" t="str">
        <f>IF($P51,$P51*TreatyCatch!BS281/SUM(TreatyCatch!$BR281:$BS281,TreatyCatch!$BU281:$BV281),"")</f>
        <v/>
      </c>
      <c r="S51" s="846" t="str">
        <f t="shared" si="13"/>
        <v/>
      </c>
      <c r="T51" s="893" t="str">
        <f>IF($P51,$P51*TreatyCatch!BU281/SUM(TreatyCatch!$BR281:$BS281,TreatyCatch!$BU281:$BV281),"")</f>
        <v/>
      </c>
      <c r="U51" s="894" t="str">
        <f>IF($P51,$P51*TreatyCatch!BV281/SUM(TreatyCatch!$BR281:$BS281,TreatyCatch!$BU281:$BV281),"")</f>
        <v/>
      </c>
      <c r="V51" s="877" t="str">
        <f t="shared" si="24"/>
        <v/>
      </c>
      <c r="W51" s="958"/>
      <c r="X51" s="882" t="str">
        <f>IF($W51,$W51*TreatyCatch!BX281/SUM(TreatyCatch!$BX281:$BY281,TreatyCatch!$CA281:$CB281),"")</f>
        <v/>
      </c>
      <c r="Y51" s="883" t="str">
        <f>IF($W51,$W51*TreatyCatch!BY281/SUM(TreatyCatch!$BX281:$BY281,TreatyCatch!$CA281:$CB281),"")</f>
        <v/>
      </c>
      <c r="Z51" s="901" t="str">
        <f t="shared" si="14"/>
        <v/>
      </c>
      <c r="AA51" s="858" t="str">
        <f>IF($W51,$W51*TreatyCatch!CA281/SUM(TreatyCatch!$BX281:$BY281,TreatyCatch!$CA281:$CB281),"")</f>
        <v/>
      </c>
      <c r="AB51" s="859" t="str">
        <f>IF($W51,$W51*TreatyCatch!CB281/SUM(TreatyCatch!$BX281:$BY281,TreatyCatch!$CA281:$CB281),"")</f>
        <v/>
      </c>
      <c r="AC51" s="840" t="str">
        <f t="shared" si="25"/>
        <v/>
      </c>
      <c r="AD51" s="958"/>
      <c r="AE51" s="1071" t="str">
        <f>IF($AD51,$AD51*TreatyCatch!CD281/SUM(TreatyCatch!$CD281:$CE281,TreatyCatch!$CG281:$CH281),"")</f>
        <v/>
      </c>
      <c r="AF51" s="1072" t="str">
        <f>IF($AD51,$AD51*TreatyCatch!CE281/SUM(TreatyCatch!$CD281:$CE281,TreatyCatch!$CG281:$CH281),"")</f>
        <v/>
      </c>
      <c r="AG51" s="1073" t="str">
        <f t="shared" si="11"/>
        <v/>
      </c>
      <c r="AH51" s="1077" t="str">
        <f>IF($AD51,$AD51*TreatyCatch!CG281/SUM(TreatyCatch!$CD281:CE281,TreatyCatch!$CG281:$CH281),"")</f>
        <v/>
      </c>
      <c r="AI51" s="1078" t="str">
        <f>IF($AD51,$AD51*TreatyCatch!CH281/SUM(TreatyCatch!$CD281:CF281,TreatyCatch!$CG281:$CH281),"")</f>
        <v/>
      </c>
      <c r="AJ51" s="1080" t="str">
        <f t="shared" si="27"/>
        <v/>
      </c>
      <c r="AK51" s="958"/>
      <c r="AL51" s="882"/>
      <c r="AM51" s="883"/>
      <c r="AN51" s="901"/>
      <c r="AO51" s="858"/>
      <c r="AP51" s="859"/>
      <c r="AQ51" s="840"/>
      <c r="AR51" s="765"/>
      <c r="AS51" s="852"/>
      <c r="AT51" s="853"/>
      <c r="AU51" s="846"/>
      <c r="AV51" s="893"/>
      <c r="AW51" s="894"/>
      <c r="AX51" s="877"/>
      <c r="AY51" s="765"/>
      <c r="AZ51" s="882"/>
      <c r="BA51" s="883"/>
      <c r="BB51" s="901"/>
      <c r="BC51" s="858"/>
      <c r="BD51" s="859"/>
      <c r="BE51" s="840"/>
      <c r="BF51" s="765"/>
      <c r="BG51" s="852"/>
      <c r="BH51" s="853"/>
      <c r="BI51" s="846"/>
      <c r="BJ51" s="893"/>
      <c r="BK51" s="894"/>
      <c r="BL51" s="877"/>
      <c r="BM51" s="765"/>
      <c r="BN51" s="882"/>
      <c r="BO51" s="883"/>
      <c r="BP51" s="901"/>
      <c r="BQ51" s="858"/>
      <c r="BR51" s="859"/>
      <c r="BS51" s="840"/>
      <c r="BT51" s="765"/>
      <c r="BU51" s="852"/>
      <c r="BV51" s="853"/>
      <c r="BW51" s="846"/>
      <c r="BX51" s="893"/>
      <c r="BY51" s="894"/>
      <c r="BZ51" s="877"/>
      <c r="CA51" s="765"/>
      <c r="CB51" s="882"/>
      <c r="CC51" s="883"/>
      <c r="CD51" s="901"/>
      <c r="CE51" s="858"/>
      <c r="CF51" s="859"/>
      <c r="CG51" s="840"/>
      <c r="CH51" s="765"/>
      <c r="CI51" s="852"/>
      <c r="CJ51" s="853"/>
      <c r="CK51" s="846"/>
      <c r="CL51" s="893"/>
      <c r="CM51" s="894"/>
      <c r="CN51" s="877"/>
    </row>
    <row r="52" spans="1:92" x14ac:dyDescent="0.25">
      <c r="A52" s="757">
        <v>44</v>
      </c>
      <c r="B52" s="765"/>
      <c r="C52" s="844" t="str">
        <f>IF($B52,$B52*TreatyCatch!BF282/SUM(TreatyCatch!$BF282:$BG282,TreatyCatch!$BI282:$BJ282),"")</f>
        <v/>
      </c>
      <c r="D52" s="844" t="str">
        <f>IF($B52,$B52*TreatyCatch!BG282/SUM(TreatyCatch!$BF282:$BG282,TreatyCatch!$BI282:$BJ282),"")</f>
        <v/>
      </c>
      <c r="E52" s="846" t="str">
        <f t="shared" si="12"/>
        <v/>
      </c>
      <c r="F52" s="876" t="str">
        <f>IF($B52,$B52*TreatyCatch!BI282/SUM(TreatyCatch!$BF282:$BG282,TreatyCatch!$BI282:$BJ282),"")</f>
        <v/>
      </c>
      <c r="G52" s="889" t="str">
        <f>IF($B52,$B52*TreatyCatch!BJ282/SUM(TreatyCatch!$BF282:$BG282,TreatyCatch!$BI282:$BJ282),"")</f>
        <v/>
      </c>
      <c r="H52" s="877" t="str">
        <f t="shared" si="21"/>
        <v/>
      </c>
      <c r="I52" s="765"/>
      <c r="J52" s="882" t="str">
        <f>IF($I52,$I52*TreatyCatch!BL282/SUM(TreatyCatch!$BL282:$BM282,TreatyCatch!$BO282:$BP282),"")</f>
        <v/>
      </c>
      <c r="K52" s="883" t="str">
        <f>IF($I52,$I52*TreatyCatch!BM282/SUM(TreatyCatch!$BL282:$BM282,TreatyCatch!$BO282:$BP282),"")</f>
        <v/>
      </c>
      <c r="L52" s="901" t="str">
        <f t="shared" si="22"/>
        <v/>
      </c>
      <c r="M52" s="858" t="str">
        <f>IF($I52,$I52*TreatyCatch!BO282/SUM(TreatyCatch!$BL282:$BM282,TreatyCatch!$BO282:$BP282),"")</f>
        <v/>
      </c>
      <c r="N52" s="859" t="str">
        <f>IF($I52,$I52*TreatyCatch!BP282/SUM(TreatyCatch!$BL282:$BM282,TreatyCatch!$BO282:$BP282),"")</f>
        <v/>
      </c>
      <c r="O52" s="840" t="str">
        <f t="shared" si="23"/>
        <v/>
      </c>
      <c r="P52" s="765"/>
      <c r="Q52" s="852" t="str">
        <f>IF($P52,$P52*TreatyCatch!BR282/SUM(TreatyCatch!$BR282:$BS282,TreatyCatch!$BU282:$BV282),"")</f>
        <v/>
      </c>
      <c r="R52" s="853" t="str">
        <f>IF($P52,$P52*TreatyCatch!BS282/SUM(TreatyCatch!$BR282:$BS282,TreatyCatch!$BU282:$BV282),"")</f>
        <v/>
      </c>
      <c r="S52" s="846" t="str">
        <f t="shared" si="13"/>
        <v/>
      </c>
      <c r="T52" s="893" t="str">
        <f>IF($P52,$P52*TreatyCatch!BU282/SUM(TreatyCatch!$BR282:$BS282,TreatyCatch!$BU282:$BV282),"")</f>
        <v/>
      </c>
      <c r="U52" s="894" t="str">
        <f>IF($P52,$P52*TreatyCatch!BV282/SUM(TreatyCatch!$BR282:$BS282,TreatyCatch!$BU282:$BV282),"")</f>
        <v/>
      </c>
      <c r="V52" s="877" t="str">
        <f t="shared" si="24"/>
        <v/>
      </c>
      <c r="W52" s="958"/>
      <c r="X52" s="882" t="str">
        <f>IF($W52,$W52*TreatyCatch!BX282/SUM(TreatyCatch!$BX282:$BY282,TreatyCatch!$CA282:$CB282),"")</f>
        <v/>
      </c>
      <c r="Y52" s="883" t="str">
        <f>IF($W52,$W52*TreatyCatch!BY282/SUM(TreatyCatch!$BX282:$BY282,TreatyCatch!$CA282:$CB282),"")</f>
        <v/>
      </c>
      <c r="Z52" s="901" t="str">
        <f t="shared" si="14"/>
        <v/>
      </c>
      <c r="AA52" s="858" t="str">
        <f>IF($W52,$W52*TreatyCatch!CA282/SUM(TreatyCatch!$BX282:$BY282,TreatyCatch!$CA282:$CB282),"")</f>
        <v/>
      </c>
      <c r="AB52" s="859" t="str">
        <f>IF($W52,$W52*TreatyCatch!CB282/SUM(TreatyCatch!$BX282:$BY282,TreatyCatch!$CA282:$CB282),"")</f>
        <v/>
      </c>
      <c r="AC52" s="840" t="str">
        <f t="shared" si="25"/>
        <v/>
      </c>
      <c r="AD52" s="958"/>
      <c r="AE52" s="1071" t="str">
        <f>IF($AD52,$AD52*TreatyCatch!CD282/SUM(TreatyCatch!$CD282:$CE282,TreatyCatch!$CG282:$CH282),"")</f>
        <v/>
      </c>
      <c r="AF52" s="1072" t="str">
        <f>IF($AD52,$AD52*TreatyCatch!CE282/SUM(TreatyCatch!$CD282:$CE282,TreatyCatch!$CG282:$CH282),"")</f>
        <v/>
      </c>
      <c r="AG52" s="1073" t="str">
        <f t="shared" si="11"/>
        <v/>
      </c>
      <c r="AH52" s="1077" t="str">
        <f>IF($AD52,$AD52*TreatyCatch!CG282/SUM(TreatyCatch!$CD282:CE282,TreatyCatch!$CG282:$CH282),"")</f>
        <v/>
      </c>
      <c r="AI52" s="1078" t="str">
        <f>IF($AD52,$AD52*TreatyCatch!CH282/SUM(TreatyCatch!$CD282:CF282,TreatyCatch!$CG282:$CH282),"")</f>
        <v/>
      </c>
      <c r="AJ52" s="1080" t="str">
        <f t="shared" si="27"/>
        <v/>
      </c>
      <c r="AK52" s="958"/>
      <c r="AL52" s="882"/>
      <c r="AM52" s="883"/>
      <c r="AN52" s="901"/>
      <c r="AO52" s="858"/>
      <c r="AP52" s="859"/>
      <c r="AQ52" s="840"/>
      <c r="AR52" s="765"/>
      <c r="AS52" s="852"/>
      <c r="AT52" s="853"/>
      <c r="AU52" s="846"/>
      <c r="AV52" s="893"/>
      <c r="AW52" s="894"/>
      <c r="AX52" s="877"/>
      <c r="AY52" s="765"/>
      <c r="AZ52" s="882"/>
      <c r="BA52" s="883"/>
      <c r="BB52" s="901"/>
      <c r="BC52" s="858"/>
      <c r="BD52" s="859"/>
      <c r="BE52" s="840"/>
      <c r="BF52" s="765"/>
      <c r="BG52" s="852"/>
      <c r="BH52" s="853"/>
      <c r="BI52" s="846"/>
      <c r="BJ52" s="893"/>
      <c r="BK52" s="894"/>
      <c r="BL52" s="877"/>
      <c r="BM52" s="765"/>
      <c r="BN52" s="882"/>
      <c r="BO52" s="883"/>
      <c r="BP52" s="901"/>
      <c r="BQ52" s="858"/>
      <c r="BR52" s="859"/>
      <c r="BS52" s="840"/>
      <c r="BT52" s="765"/>
      <c r="BU52" s="852"/>
      <c r="BV52" s="853"/>
      <c r="BW52" s="846"/>
      <c r="BX52" s="893"/>
      <c r="BY52" s="894"/>
      <c r="BZ52" s="877"/>
      <c r="CA52" s="765"/>
      <c r="CB52" s="882"/>
      <c r="CC52" s="883"/>
      <c r="CD52" s="901"/>
      <c r="CE52" s="858"/>
      <c r="CF52" s="859"/>
      <c r="CG52" s="840"/>
      <c r="CH52" s="765"/>
      <c r="CI52" s="852"/>
      <c r="CJ52" s="853"/>
      <c r="CK52" s="846"/>
      <c r="CL52" s="893"/>
      <c r="CM52" s="894"/>
      <c r="CN52" s="877"/>
    </row>
    <row r="53" spans="1:92" x14ac:dyDescent="0.25">
      <c r="A53" s="757">
        <v>45</v>
      </c>
      <c r="B53" s="765"/>
      <c r="C53" s="844" t="str">
        <f>IF($B53,$B53*TreatyCatch!BF283/SUM(TreatyCatch!$BF283:$BG283,TreatyCatch!$BI283:$BJ283),"")</f>
        <v/>
      </c>
      <c r="D53" s="844" t="str">
        <f>IF($B53,$B53*TreatyCatch!BG283/SUM(TreatyCatch!$BF283:$BG283,TreatyCatch!$BI283:$BJ283),"")</f>
        <v/>
      </c>
      <c r="E53" s="846" t="str">
        <f t="shared" si="12"/>
        <v/>
      </c>
      <c r="F53" s="876" t="str">
        <f>IF($B53,$B53*TreatyCatch!BI283/SUM(TreatyCatch!$BF283:$BG283,TreatyCatch!$BI283:$BJ283),"")</f>
        <v/>
      </c>
      <c r="G53" s="889" t="str">
        <f>IF($B53,$B53*TreatyCatch!BJ283/SUM(TreatyCatch!$BF283:$BG283,TreatyCatch!$BI283:$BJ283),"")</f>
        <v/>
      </c>
      <c r="H53" s="877" t="str">
        <f t="shared" si="21"/>
        <v/>
      </c>
      <c r="I53" s="765"/>
      <c r="J53" s="882" t="str">
        <f>IF($I53,$I53*TreatyCatch!BL283/SUM(TreatyCatch!$BL283:$BM283,TreatyCatch!$BO283:$BP283),"")</f>
        <v/>
      </c>
      <c r="K53" s="883" t="str">
        <f>IF($I53,$I53*TreatyCatch!BM283/SUM(TreatyCatch!$BL283:$BM283,TreatyCatch!$BO283:$BP283),"")</f>
        <v/>
      </c>
      <c r="L53" s="901" t="str">
        <f t="shared" si="22"/>
        <v/>
      </c>
      <c r="M53" s="858" t="str">
        <f>IF($I53,$I53*TreatyCatch!BO283/SUM(TreatyCatch!$BL283:$BM283,TreatyCatch!$BO283:$BP283),"")</f>
        <v/>
      </c>
      <c r="N53" s="859" t="str">
        <f>IF($I53,$I53*TreatyCatch!BP283/SUM(TreatyCatch!$BL283:$BM283,TreatyCatch!$BO283:$BP283),"")</f>
        <v/>
      </c>
      <c r="O53" s="840" t="str">
        <f t="shared" si="23"/>
        <v/>
      </c>
      <c r="P53" s="765"/>
      <c r="Q53" s="852" t="str">
        <f>IF($P53,$P53*TreatyCatch!BR283/SUM(TreatyCatch!$BR283:$BS283,TreatyCatch!$BU283:$BV283),"")</f>
        <v/>
      </c>
      <c r="R53" s="853" t="str">
        <f>IF($P53,$P53*TreatyCatch!BS283/SUM(TreatyCatch!$BR283:$BS283,TreatyCatch!$BU283:$BV283),"")</f>
        <v/>
      </c>
      <c r="S53" s="846" t="str">
        <f t="shared" si="13"/>
        <v/>
      </c>
      <c r="T53" s="893" t="str">
        <f>IF($P53,$P53*TreatyCatch!BU283/SUM(TreatyCatch!$BR283:$BS283,TreatyCatch!$BU283:$BV283),"")</f>
        <v/>
      </c>
      <c r="U53" s="894" t="str">
        <f>IF($P53,$P53*TreatyCatch!BV283/SUM(TreatyCatch!$BR283:$BS283,TreatyCatch!$BU283:$BV283),"")</f>
        <v/>
      </c>
      <c r="V53" s="877" t="str">
        <f t="shared" si="24"/>
        <v/>
      </c>
      <c r="W53" s="958"/>
      <c r="X53" s="882" t="str">
        <f>IF($W53,$W53*TreatyCatch!BX283/SUM(TreatyCatch!$BX283:$BY283,TreatyCatch!$CA283:$CB283),"")</f>
        <v/>
      </c>
      <c r="Y53" s="883" t="str">
        <f>IF($W53,$W53*TreatyCatch!BY283/SUM(TreatyCatch!$BX283:$BY283,TreatyCatch!$CA283:$CB283),"")</f>
        <v/>
      </c>
      <c r="Z53" s="901" t="str">
        <f t="shared" si="14"/>
        <v/>
      </c>
      <c r="AA53" s="858" t="str">
        <f>IF($W53,$W53*TreatyCatch!CA283/SUM(TreatyCatch!$BX283:$BY283,TreatyCatch!$CA283:$CB283),"")</f>
        <v/>
      </c>
      <c r="AB53" s="859" t="str">
        <f>IF($W53,$W53*TreatyCatch!CB283/SUM(TreatyCatch!$BX283:$BY283,TreatyCatch!$CA283:$CB283),"")</f>
        <v/>
      </c>
      <c r="AC53" s="840" t="str">
        <f t="shared" si="25"/>
        <v/>
      </c>
      <c r="AD53" s="958"/>
      <c r="AE53" s="1071" t="str">
        <f>IF($AD53,$AD53*TreatyCatch!CD283/SUM(TreatyCatch!$CD283:$CE283,TreatyCatch!$CG283:$CH283),"")</f>
        <v/>
      </c>
      <c r="AF53" s="1072" t="str">
        <f>IF($AD53,$AD53*TreatyCatch!CE283/SUM(TreatyCatch!$CD283:$CE283,TreatyCatch!$CG283:$CH283),"")</f>
        <v/>
      </c>
      <c r="AG53" s="1073" t="str">
        <f t="shared" si="11"/>
        <v/>
      </c>
      <c r="AH53" s="1077" t="str">
        <f>IF($AD53,$AD53*TreatyCatch!CG283/SUM(TreatyCatch!$CD283:CE283,TreatyCatch!$CG283:$CH283),"")</f>
        <v/>
      </c>
      <c r="AI53" s="1078" t="str">
        <f>IF($AD53,$AD53*TreatyCatch!CH283/SUM(TreatyCatch!$CD283:CF283,TreatyCatch!$CG283:$CH283),"")</f>
        <v/>
      </c>
      <c r="AJ53" s="1080" t="str">
        <f t="shared" si="27"/>
        <v/>
      </c>
      <c r="AK53" s="958"/>
      <c r="AL53" s="882"/>
      <c r="AM53" s="883"/>
      <c r="AN53" s="901"/>
      <c r="AO53" s="858"/>
      <c r="AP53" s="859"/>
      <c r="AQ53" s="840"/>
      <c r="AR53" s="765"/>
      <c r="AS53" s="852"/>
      <c r="AT53" s="853"/>
      <c r="AU53" s="846"/>
      <c r="AV53" s="893"/>
      <c r="AW53" s="894"/>
      <c r="AX53" s="877"/>
      <c r="AY53" s="765"/>
      <c r="AZ53" s="882"/>
      <c r="BA53" s="883"/>
      <c r="BB53" s="901"/>
      <c r="BC53" s="858"/>
      <c r="BD53" s="859"/>
      <c r="BE53" s="840"/>
      <c r="BF53" s="765"/>
      <c r="BG53" s="852"/>
      <c r="BH53" s="853"/>
      <c r="BI53" s="846"/>
      <c r="BJ53" s="893"/>
      <c r="BK53" s="894"/>
      <c r="BL53" s="877"/>
      <c r="BM53" s="765"/>
      <c r="BN53" s="882"/>
      <c r="BO53" s="883"/>
      <c r="BP53" s="901"/>
      <c r="BQ53" s="858"/>
      <c r="BR53" s="859"/>
      <c r="BS53" s="840"/>
      <c r="BT53" s="765"/>
      <c r="BU53" s="852"/>
      <c r="BV53" s="853"/>
      <c r="BW53" s="846"/>
      <c r="BX53" s="893"/>
      <c r="BY53" s="894"/>
      <c r="BZ53" s="877"/>
      <c r="CA53" s="765"/>
      <c r="CB53" s="882"/>
      <c r="CC53" s="883"/>
      <c r="CD53" s="901"/>
      <c r="CE53" s="858"/>
      <c r="CF53" s="859"/>
      <c r="CG53" s="840"/>
      <c r="CH53" s="765"/>
      <c r="CI53" s="852"/>
      <c r="CJ53" s="853"/>
      <c r="CK53" s="846"/>
      <c r="CL53" s="893"/>
      <c r="CM53" s="894"/>
      <c r="CN53" s="877"/>
    </row>
    <row r="54" spans="1:92" x14ac:dyDescent="0.25">
      <c r="A54" s="757">
        <v>46</v>
      </c>
      <c r="B54" s="765"/>
      <c r="C54" s="844" t="str">
        <f>IF($B54,$B54*TreatyCatch!BF284/SUM(TreatyCatch!$BF284:$BG284,TreatyCatch!$BI284:$BJ284),"")</f>
        <v/>
      </c>
      <c r="D54" s="844" t="str">
        <f>IF($B54,$B54*TreatyCatch!BG284/SUM(TreatyCatch!$BF284:$BG284,TreatyCatch!$BI284:$BJ284),"")</f>
        <v/>
      </c>
      <c r="E54" s="846" t="str">
        <f t="shared" si="12"/>
        <v/>
      </c>
      <c r="F54" s="876" t="str">
        <f>IF($B54,$B54*TreatyCatch!BI284/SUM(TreatyCatch!$BF284:$BG284,TreatyCatch!$BI284:$BJ284),"")</f>
        <v/>
      </c>
      <c r="G54" s="889" t="str">
        <f>IF($B54,$B54*TreatyCatch!BJ284/SUM(TreatyCatch!$BF284:$BG284,TreatyCatch!$BI284:$BJ284),"")</f>
        <v/>
      </c>
      <c r="H54" s="877" t="str">
        <f t="shared" si="21"/>
        <v/>
      </c>
      <c r="I54" s="765"/>
      <c r="J54" s="882" t="str">
        <f>IF($I54,$I54*TreatyCatch!BL284/SUM(TreatyCatch!$BL284:$BM284,TreatyCatch!$BO284:$BP284),"")</f>
        <v/>
      </c>
      <c r="K54" s="883" t="str">
        <f>IF($I54,$I54*TreatyCatch!BM284/SUM(TreatyCatch!$BL284:$BM284,TreatyCatch!$BO284:$BP284),"")</f>
        <v/>
      </c>
      <c r="L54" s="901" t="str">
        <f t="shared" si="22"/>
        <v/>
      </c>
      <c r="M54" s="858" t="str">
        <f>IF($I54,$I54*TreatyCatch!BO284/SUM(TreatyCatch!$BL284:$BM284,TreatyCatch!$BO284:$BP284),"")</f>
        <v/>
      </c>
      <c r="N54" s="859" t="str">
        <f>IF($I54,$I54*TreatyCatch!BP284/SUM(TreatyCatch!$BL284:$BM284,TreatyCatch!$BO284:$BP284),"")</f>
        <v/>
      </c>
      <c r="O54" s="840" t="str">
        <f t="shared" si="23"/>
        <v/>
      </c>
      <c r="P54" s="765"/>
      <c r="Q54" s="852" t="str">
        <f>IF($P54,$P54*TreatyCatch!BR284/SUM(TreatyCatch!$BR284:$BS284,TreatyCatch!$BU284:$BV284),"")</f>
        <v/>
      </c>
      <c r="R54" s="853" t="str">
        <f>IF($P54,$P54*TreatyCatch!BS284/SUM(TreatyCatch!$BR284:$BS284,TreatyCatch!$BU284:$BV284),"")</f>
        <v/>
      </c>
      <c r="S54" s="846" t="str">
        <f t="shared" si="13"/>
        <v/>
      </c>
      <c r="T54" s="893" t="str">
        <f>IF($P54,$P54*TreatyCatch!BU284/SUM(TreatyCatch!$BR284:$BS284,TreatyCatch!$BU284:$BV284),"")</f>
        <v/>
      </c>
      <c r="U54" s="894" t="str">
        <f>IF($P54,$P54*TreatyCatch!BV284/SUM(TreatyCatch!$BR284:$BS284,TreatyCatch!$BU284:$BV284),"")</f>
        <v/>
      </c>
      <c r="V54" s="877" t="str">
        <f t="shared" si="24"/>
        <v/>
      </c>
      <c r="W54" s="958"/>
      <c r="X54" s="882" t="str">
        <f>IF($W54,$W54*TreatyCatch!BX284/SUM(TreatyCatch!$BX284:$BY284,TreatyCatch!$CA284:$CB284),"")</f>
        <v/>
      </c>
      <c r="Y54" s="883" t="str">
        <f>IF($W54,$W54*TreatyCatch!BY284/SUM(TreatyCatch!$BX284:$BY284,TreatyCatch!$CA284:$CB284),"")</f>
        <v/>
      </c>
      <c r="Z54" s="901" t="str">
        <f t="shared" si="14"/>
        <v/>
      </c>
      <c r="AA54" s="858" t="str">
        <f>IF($W54,$W54*TreatyCatch!CA284/SUM(TreatyCatch!$BX284:$BY284,TreatyCatch!$CA284:$CB284),"")</f>
        <v/>
      </c>
      <c r="AB54" s="859" t="str">
        <f>IF($W54,$W54*TreatyCatch!CB284/SUM(TreatyCatch!$BX284:$BY284,TreatyCatch!$CA284:$CB284),"")</f>
        <v/>
      </c>
      <c r="AC54" s="840" t="str">
        <f t="shared" si="25"/>
        <v/>
      </c>
      <c r="AD54" s="958"/>
      <c r="AE54" s="1071" t="str">
        <f>IF($AD54,$AD54*TreatyCatch!CD284/SUM(TreatyCatch!$CD284:$CE284,TreatyCatch!$CG284:$CH284),"")</f>
        <v/>
      </c>
      <c r="AF54" s="1072" t="str">
        <f>IF($AD54,$AD54*TreatyCatch!CE284/SUM(TreatyCatch!$CD284:$CE284,TreatyCatch!$CG284:$CH284),"")</f>
        <v/>
      </c>
      <c r="AG54" s="1073" t="str">
        <f t="shared" si="11"/>
        <v/>
      </c>
      <c r="AH54" s="1077" t="str">
        <f>IF($AD54,$AD54*TreatyCatch!CG284/SUM(TreatyCatch!$CD284:CE284,TreatyCatch!$CG284:$CH284),"")</f>
        <v/>
      </c>
      <c r="AI54" s="1078" t="str">
        <f>IF($AD54,$AD54*TreatyCatch!CH284/SUM(TreatyCatch!$CD284:CF284,TreatyCatch!$CG284:$CH284),"")</f>
        <v/>
      </c>
      <c r="AJ54" s="1080" t="str">
        <f t="shared" si="27"/>
        <v/>
      </c>
      <c r="AK54" s="958"/>
      <c r="AL54" s="882"/>
      <c r="AM54" s="883"/>
      <c r="AN54" s="901"/>
      <c r="AO54" s="858"/>
      <c r="AP54" s="859"/>
      <c r="AQ54" s="840"/>
      <c r="AR54" s="765"/>
      <c r="AS54" s="852"/>
      <c r="AT54" s="853"/>
      <c r="AU54" s="846"/>
      <c r="AV54" s="893"/>
      <c r="AW54" s="894"/>
      <c r="AX54" s="877"/>
      <c r="AY54" s="765"/>
      <c r="AZ54" s="882"/>
      <c r="BA54" s="883"/>
      <c r="BB54" s="901"/>
      <c r="BC54" s="858"/>
      <c r="BD54" s="859"/>
      <c r="BE54" s="840"/>
      <c r="BF54" s="765"/>
      <c r="BG54" s="852"/>
      <c r="BH54" s="853"/>
      <c r="BI54" s="846"/>
      <c r="BJ54" s="893"/>
      <c r="BK54" s="894"/>
      <c r="BL54" s="877"/>
      <c r="BM54" s="765"/>
      <c r="BN54" s="882"/>
      <c r="BO54" s="883"/>
      <c r="BP54" s="901"/>
      <c r="BQ54" s="858"/>
      <c r="BR54" s="859"/>
      <c r="BS54" s="840"/>
      <c r="BT54" s="765"/>
      <c r="BU54" s="852"/>
      <c r="BV54" s="853"/>
      <c r="BW54" s="846"/>
      <c r="BX54" s="893"/>
      <c r="BY54" s="894"/>
      <c r="BZ54" s="877"/>
      <c r="CA54" s="765"/>
      <c r="CB54" s="882"/>
      <c r="CC54" s="883"/>
      <c r="CD54" s="901"/>
      <c r="CE54" s="858"/>
      <c r="CF54" s="859"/>
      <c r="CG54" s="840"/>
      <c r="CH54" s="765"/>
      <c r="CI54" s="852"/>
      <c r="CJ54" s="853"/>
      <c r="CK54" s="846"/>
      <c r="CL54" s="893"/>
      <c r="CM54" s="894"/>
      <c r="CN54" s="877"/>
    </row>
    <row r="55" spans="1:92" x14ac:dyDescent="0.25">
      <c r="A55" s="757">
        <v>47</v>
      </c>
      <c r="B55" s="765"/>
      <c r="C55" s="844" t="str">
        <f>IF($B55,$B55*TreatyCatch!BF285/SUM(TreatyCatch!$BF285:$BG285,TreatyCatch!$BI285:$BJ285),"")</f>
        <v/>
      </c>
      <c r="D55" s="844" t="str">
        <f>IF($B55,$B55*TreatyCatch!BG285/SUM(TreatyCatch!$BF285:$BG285,TreatyCatch!$BI285:$BJ285),"")</f>
        <v/>
      </c>
      <c r="E55" s="846" t="str">
        <f t="shared" si="12"/>
        <v/>
      </c>
      <c r="F55" s="876" t="str">
        <f>IF($B55,$B55*TreatyCatch!BI285/SUM(TreatyCatch!$BF285:$BG285,TreatyCatch!$BI285:$BJ285),"")</f>
        <v/>
      </c>
      <c r="G55" s="889" t="str">
        <f>IF($B55,$B55*TreatyCatch!BJ285/SUM(TreatyCatch!$BF285:$BG285,TreatyCatch!$BI285:$BJ285),"")</f>
        <v/>
      </c>
      <c r="H55" s="877" t="str">
        <f t="shared" si="21"/>
        <v/>
      </c>
      <c r="I55" s="765"/>
      <c r="J55" s="882" t="str">
        <f>IF($I55,$I55*TreatyCatch!BL285/SUM(TreatyCatch!$BL285:$BM285,TreatyCatch!$BO285:$BP285),"")</f>
        <v/>
      </c>
      <c r="K55" s="883" t="str">
        <f>IF($I55,$I55*TreatyCatch!BM285/SUM(TreatyCatch!$BL285:$BM285,TreatyCatch!$BO285:$BP285),"")</f>
        <v/>
      </c>
      <c r="L55" s="901" t="str">
        <f t="shared" si="22"/>
        <v/>
      </c>
      <c r="M55" s="858" t="str">
        <f>IF($I55,$I55*TreatyCatch!BO285/SUM(TreatyCatch!$BL285:$BM285,TreatyCatch!$BO285:$BP285),"")</f>
        <v/>
      </c>
      <c r="N55" s="859" t="str">
        <f>IF($I55,$I55*TreatyCatch!BP285/SUM(TreatyCatch!$BL285:$BM285,TreatyCatch!$BO285:$BP285),"")</f>
        <v/>
      </c>
      <c r="O55" s="840" t="str">
        <f t="shared" si="23"/>
        <v/>
      </c>
      <c r="P55" s="765"/>
      <c r="Q55" s="852" t="str">
        <f>IF($P55,$P55*TreatyCatch!BR285/SUM(TreatyCatch!$BR285:$BS285,TreatyCatch!$BU285:$BV285),"")</f>
        <v/>
      </c>
      <c r="R55" s="853" t="str">
        <f>IF($P55,$P55*TreatyCatch!BS285/SUM(TreatyCatch!$BR285:$BS285,TreatyCatch!$BU285:$BV285),"")</f>
        <v/>
      </c>
      <c r="S55" s="846" t="str">
        <f t="shared" si="13"/>
        <v/>
      </c>
      <c r="T55" s="893" t="str">
        <f>IF($P55,$P55*TreatyCatch!BU285/SUM(TreatyCatch!$BR285:$BS285,TreatyCatch!$BU285:$BV285),"")</f>
        <v/>
      </c>
      <c r="U55" s="894" t="str">
        <f>IF($P55,$P55*TreatyCatch!BV285/SUM(TreatyCatch!$BR285:$BS285,TreatyCatch!$BU285:$BV285),"")</f>
        <v/>
      </c>
      <c r="V55" s="877" t="str">
        <f t="shared" si="24"/>
        <v/>
      </c>
      <c r="W55" s="958"/>
      <c r="X55" s="882" t="str">
        <f>IF($W55,$W55*TreatyCatch!BX285/SUM(TreatyCatch!$BX285:$BY285,TreatyCatch!$CA285:$CB285),"")</f>
        <v/>
      </c>
      <c r="Y55" s="883" t="str">
        <f>IF($W55,$W55*TreatyCatch!BY285/SUM(TreatyCatch!$BX285:$BY285,TreatyCatch!$CA285:$CB285),"")</f>
        <v/>
      </c>
      <c r="Z55" s="901" t="str">
        <f t="shared" si="14"/>
        <v/>
      </c>
      <c r="AA55" s="858" t="str">
        <f>IF($W55,$W55*TreatyCatch!CA285/SUM(TreatyCatch!$BX285:$BY285,TreatyCatch!$CA285:$CB285),"")</f>
        <v/>
      </c>
      <c r="AB55" s="859" t="str">
        <f>IF($W55,$W55*TreatyCatch!CB285/SUM(TreatyCatch!$BX285:$BY285,TreatyCatch!$CA285:$CB285),"")</f>
        <v/>
      </c>
      <c r="AC55" s="840" t="str">
        <f t="shared" si="25"/>
        <v/>
      </c>
      <c r="AD55" s="958"/>
      <c r="AE55" s="1071" t="str">
        <f>IF($AD55,$AD55*TreatyCatch!CD285/SUM(TreatyCatch!$CD285:$CE285,TreatyCatch!$CG285:$CH285),"")</f>
        <v/>
      </c>
      <c r="AF55" s="1072" t="str">
        <f>IF($AD55,$AD55*TreatyCatch!CE285/SUM(TreatyCatch!$CD285:$CE285,TreatyCatch!$CG285:$CH285),"")</f>
        <v/>
      </c>
      <c r="AG55" s="1073" t="str">
        <f t="shared" si="11"/>
        <v/>
      </c>
      <c r="AH55" s="1077" t="str">
        <f>IF($AD55,$AD55*TreatyCatch!CG285/SUM(TreatyCatch!$CD285:CE285,TreatyCatch!$CG285:$CH285),"")</f>
        <v/>
      </c>
      <c r="AI55" s="1078" t="str">
        <f>IF($AD55,$AD55*TreatyCatch!CH285/SUM(TreatyCatch!$CD285:CF285,TreatyCatch!$CG285:$CH285),"")</f>
        <v/>
      </c>
      <c r="AJ55" s="1080" t="str">
        <f t="shared" si="27"/>
        <v/>
      </c>
      <c r="AK55" s="958"/>
      <c r="AL55" s="882"/>
      <c r="AM55" s="883"/>
      <c r="AN55" s="901"/>
      <c r="AO55" s="858"/>
      <c r="AP55" s="859"/>
      <c r="AQ55" s="840"/>
      <c r="AR55" s="765"/>
      <c r="AS55" s="852"/>
      <c r="AT55" s="853"/>
      <c r="AU55" s="846"/>
      <c r="AV55" s="893"/>
      <c r="AW55" s="894"/>
      <c r="AX55" s="877"/>
      <c r="AY55" s="765"/>
      <c r="AZ55" s="882"/>
      <c r="BA55" s="883"/>
      <c r="BB55" s="901"/>
      <c r="BC55" s="858"/>
      <c r="BD55" s="859"/>
      <c r="BE55" s="840"/>
      <c r="BF55" s="765"/>
      <c r="BG55" s="852"/>
      <c r="BH55" s="853"/>
      <c r="BI55" s="846"/>
      <c r="BJ55" s="893"/>
      <c r="BK55" s="894"/>
      <c r="BL55" s="877"/>
      <c r="BM55" s="765"/>
      <c r="BN55" s="882"/>
      <c r="BO55" s="883"/>
      <c r="BP55" s="901"/>
      <c r="BQ55" s="858"/>
      <c r="BR55" s="859"/>
      <c r="BS55" s="840"/>
      <c r="BT55" s="765"/>
      <c r="BU55" s="852"/>
      <c r="BV55" s="853"/>
      <c r="BW55" s="846"/>
      <c r="BX55" s="893"/>
      <c r="BY55" s="894"/>
      <c r="BZ55" s="877"/>
      <c r="CA55" s="765"/>
      <c r="CB55" s="882"/>
      <c r="CC55" s="883"/>
      <c r="CD55" s="901"/>
      <c r="CE55" s="858"/>
      <c r="CF55" s="859"/>
      <c r="CG55" s="840"/>
      <c r="CH55" s="765"/>
      <c r="CI55" s="852"/>
      <c r="CJ55" s="853"/>
      <c r="CK55" s="846"/>
      <c r="CL55" s="893"/>
      <c r="CM55" s="894"/>
      <c r="CN55" s="877"/>
    </row>
    <row r="56" spans="1:92" x14ac:dyDescent="0.25">
      <c r="A56" s="757">
        <v>48</v>
      </c>
      <c r="B56" s="765"/>
      <c r="C56" s="844" t="str">
        <f>IF($B56,$B56*TreatyCatch!BF286/SUM(TreatyCatch!$BF286:$BG286,TreatyCatch!$BI286:$BJ286),"")</f>
        <v/>
      </c>
      <c r="D56" s="844" t="str">
        <f>IF($B56,$B56*TreatyCatch!BG286/SUM(TreatyCatch!$BF286:$BG286,TreatyCatch!$BI286:$BJ286),"")</f>
        <v/>
      </c>
      <c r="E56" s="846" t="str">
        <f t="shared" si="12"/>
        <v/>
      </c>
      <c r="F56" s="876" t="str">
        <f>IF($B56,$B56*TreatyCatch!BI286/SUM(TreatyCatch!$BF286:$BG286,TreatyCatch!$BI286:$BJ286),"")</f>
        <v/>
      </c>
      <c r="G56" s="889" t="str">
        <f>IF($B56,$B56*TreatyCatch!BJ286/SUM(TreatyCatch!$BF286:$BG286,TreatyCatch!$BI286:$BJ286),"")</f>
        <v/>
      </c>
      <c r="H56" s="877" t="str">
        <f t="shared" si="21"/>
        <v/>
      </c>
      <c r="I56" s="765"/>
      <c r="J56" s="882" t="str">
        <f>IF($I56,$I56*TreatyCatch!BL286/SUM(TreatyCatch!$BL286:$BM286,TreatyCatch!$BO286:$BP286),"")</f>
        <v/>
      </c>
      <c r="K56" s="883" t="str">
        <f>IF($I56,$I56*TreatyCatch!BM286/SUM(TreatyCatch!$BL286:$BM286,TreatyCatch!$BO286:$BP286),"")</f>
        <v/>
      </c>
      <c r="L56" s="901" t="str">
        <f t="shared" si="22"/>
        <v/>
      </c>
      <c r="M56" s="858" t="str">
        <f>IF($I56,$I56*TreatyCatch!BO286/SUM(TreatyCatch!$BL286:$BM286,TreatyCatch!$BO286:$BP286),"")</f>
        <v/>
      </c>
      <c r="N56" s="859" t="str">
        <f>IF($I56,$I56*TreatyCatch!BP286/SUM(TreatyCatch!$BL286:$BM286,TreatyCatch!$BO286:$BP286),"")</f>
        <v/>
      </c>
      <c r="O56" s="840" t="str">
        <f t="shared" si="23"/>
        <v/>
      </c>
      <c r="P56" s="765"/>
      <c r="Q56" s="852" t="str">
        <f>IF($P56,$P56*TreatyCatch!BR286/SUM(TreatyCatch!$BR286:$BS286,TreatyCatch!$BU286:$BV286),"")</f>
        <v/>
      </c>
      <c r="R56" s="853" t="str">
        <f>IF($P56,$P56*TreatyCatch!BS286/SUM(TreatyCatch!$BR286:$BS286,TreatyCatch!$BU286:$BV286),"")</f>
        <v/>
      </c>
      <c r="S56" s="846" t="str">
        <f t="shared" si="13"/>
        <v/>
      </c>
      <c r="T56" s="893" t="str">
        <f>IF($P56,$P56*TreatyCatch!BU286/SUM(TreatyCatch!$BR286:$BS286,TreatyCatch!$BU286:$BV286),"")</f>
        <v/>
      </c>
      <c r="U56" s="894" t="str">
        <f>IF($P56,$P56*TreatyCatch!BV286/SUM(TreatyCatch!$BR286:$BS286,TreatyCatch!$BU286:$BV286),"")</f>
        <v/>
      </c>
      <c r="V56" s="877" t="str">
        <f t="shared" si="24"/>
        <v/>
      </c>
      <c r="W56" s="958"/>
      <c r="X56" s="882" t="str">
        <f>IF($W56,$W56*TreatyCatch!BX286/SUM(TreatyCatch!$BX286:$BY286,TreatyCatch!$CA286:$CB286),"")</f>
        <v/>
      </c>
      <c r="Y56" s="883" t="str">
        <f>IF($W56,$W56*TreatyCatch!BY286/SUM(TreatyCatch!$BX286:$BY286,TreatyCatch!$CA286:$CB286),"")</f>
        <v/>
      </c>
      <c r="Z56" s="901" t="str">
        <f t="shared" si="14"/>
        <v/>
      </c>
      <c r="AA56" s="858" t="str">
        <f>IF($W56,$W56*TreatyCatch!CA286/SUM(TreatyCatch!$BX286:$BY286,TreatyCatch!$CA286:$CB286),"")</f>
        <v/>
      </c>
      <c r="AB56" s="859" t="str">
        <f>IF($W56,$W56*TreatyCatch!CB286/SUM(TreatyCatch!$BX286:$BY286,TreatyCatch!$CA286:$CB286),"")</f>
        <v/>
      </c>
      <c r="AC56" s="840" t="str">
        <f t="shared" si="25"/>
        <v/>
      </c>
      <c r="AD56" s="958"/>
      <c r="AE56" s="1071" t="str">
        <f>IF($AD56,$AD56*TreatyCatch!CD286/SUM(TreatyCatch!$CD286:$CE286,TreatyCatch!$CG286:$CH286),"")</f>
        <v/>
      </c>
      <c r="AF56" s="1072" t="str">
        <f>IF($AD56,$AD56*TreatyCatch!CE286/SUM(TreatyCatch!$CD286:$CE286,TreatyCatch!$CG286:$CH286),"")</f>
        <v/>
      </c>
      <c r="AG56" s="1073" t="str">
        <f t="shared" si="11"/>
        <v/>
      </c>
      <c r="AH56" s="1077" t="str">
        <f>IF($AD56,$AD56*TreatyCatch!CG286/SUM(TreatyCatch!$CD286:CE286,TreatyCatch!$CG286:$CH286),"")</f>
        <v/>
      </c>
      <c r="AI56" s="1078" t="str">
        <f>IF($AD56,$AD56*TreatyCatch!CH286/SUM(TreatyCatch!$CD286:CF286,TreatyCatch!$CG286:$CH286),"")</f>
        <v/>
      </c>
      <c r="AJ56" s="1080" t="str">
        <f t="shared" si="27"/>
        <v/>
      </c>
      <c r="AK56" s="958"/>
      <c r="AL56" s="882"/>
      <c r="AM56" s="883"/>
      <c r="AN56" s="901"/>
      <c r="AO56" s="858"/>
      <c r="AP56" s="859"/>
      <c r="AQ56" s="840"/>
      <c r="AR56" s="765"/>
      <c r="AS56" s="852"/>
      <c r="AT56" s="853"/>
      <c r="AU56" s="846"/>
      <c r="AV56" s="893"/>
      <c r="AW56" s="894"/>
      <c r="AX56" s="877"/>
      <c r="AY56" s="765"/>
      <c r="AZ56" s="882"/>
      <c r="BA56" s="883"/>
      <c r="BB56" s="901"/>
      <c r="BC56" s="858"/>
      <c r="BD56" s="859"/>
      <c r="BE56" s="840"/>
      <c r="BF56" s="765"/>
      <c r="BG56" s="852"/>
      <c r="BH56" s="853"/>
      <c r="BI56" s="846"/>
      <c r="BJ56" s="893"/>
      <c r="BK56" s="894"/>
      <c r="BL56" s="877"/>
      <c r="BM56" s="765"/>
      <c r="BN56" s="882"/>
      <c r="BO56" s="883"/>
      <c r="BP56" s="901"/>
      <c r="BQ56" s="858"/>
      <c r="BR56" s="859"/>
      <c r="BS56" s="840"/>
      <c r="BT56" s="765"/>
      <c r="BU56" s="852"/>
      <c r="BV56" s="853"/>
      <c r="BW56" s="846"/>
      <c r="BX56" s="893"/>
      <c r="BY56" s="894"/>
      <c r="BZ56" s="877"/>
      <c r="CA56" s="765"/>
      <c r="CB56" s="882"/>
      <c r="CC56" s="883"/>
      <c r="CD56" s="901"/>
      <c r="CE56" s="858"/>
      <c r="CF56" s="859"/>
      <c r="CG56" s="840"/>
      <c r="CH56" s="765"/>
      <c r="CI56" s="852"/>
      <c r="CJ56" s="853"/>
      <c r="CK56" s="846"/>
      <c r="CL56" s="893"/>
      <c r="CM56" s="894"/>
      <c r="CN56" s="877"/>
    </row>
    <row r="57" spans="1:92" x14ac:dyDescent="0.25">
      <c r="A57" s="757">
        <v>49</v>
      </c>
      <c r="B57" s="765"/>
      <c r="C57" s="844" t="str">
        <f>IF($B57,$B57*TreatyCatch!BF287/SUM(TreatyCatch!$BF287:$BG287,TreatyCatch!$BI287:$BJ287),"")</f>
        <v/>
      </c>
      <c r="D57" s="844" t="str">
        <f>IF($B57,$B57*TreatyCatch!BG287/SUM(TreatyCatch!$BF287:$BG287,TreatyCatch!$BI287:$BJ287),"")</f>
        <v/>
      </c>
      <c r="E57" s="846" t="str">
        <f t="shared" si="12"/>
        <v/>
      </c>
      <c r="F57" s="876" t="str">
        <f>IF($B57,$B57*TreatyCatch!BI287/SUM(TreatyCatch!$BF287:$BG287,TreatyCatch!$BI287:$BJ287),"")</f>
        <v/>
      </c>
      <c r="G57" s="889" t="str">
        <f>IF($B57,$B57*TreatyCatch!BJ287/SUM(TreatyCatch!$BF287:$BG287,TreatyCatch!$BI287:$BJ287),"")</f>
        <v/>
      </c>
      <c r="H57" s="877" t="str">
        <f t="shared" si="21"/>
        <v/>
      </c>
      <c r="I57" s="765"/>
      <c r="J57" s="882" t="str">
        <f>IF($I57,$I57*TreatyCatch!BL287/SUM(TreatyCatch!$BL287:$BM287,TreatyCatch!$BO287:$BP287),"")</f>
        <v/>
      </c>
      <c r="K57" s="883" t="str">
        <f>IF($I57,$I57*TreatyCatch!BM287/SUM(TreatyCatch!$BL287:$BM287,TreatyCatch!$BO287:$BP287),"")</f>
        <v/>
      </c>
      <c r="L57" s="901" t="str">
        <f t="shared" si="22"/>
        <v/>
      </c>
      <c r="M57" s="858" t="str">
        <f>IF($I57,$I57*TreatyCatch!BO287/SUM(TreatyCatch!$BL287:$BM287,TreatyCatch!$BO287:$BP287),"")</f>
        <v/>
      </c>
      <c r="N57" s="859" t="str">
        <f>IF($I57,$I57*TreatyCatch!BP287/SUM(TreatyCatch!$BL287:$BM287,TreatyCatch!$BO287:$BP287),"")</f>
        <v/>
      </c>
      <c r="O57" s="840" t="str">
        <f t="shared" si="23"/>
        <v/>
      </c>
      <c r="P57" s="765"/>
      <c r="Q57" s="852" t="str">
        <f>IF($P57,$P57*TreatyCatch!BR287/SUM(TreatyCatch!$BR287:$BS287,TreatyCatch!$BU287:$BV287),"")</f>
        <v/>
      </c>
      <c r="R57" s="853" t="str">
        <f>IF($P57,$P57*TreatyCatch!BS287/SUM(TreatyCatch!$BR287:$BS287,TreatyCatch!$BU287:$BV287),"")</f>
        <v/>
      </c>
      <c r="S57" s="846" t="str">
        <f t="shared" si="13"/>
        <v/>
      </c>
      <c r="T57" s="893" t="str">
        <f>IF($P57,$P57*TreatyCatch!BU287/SUM(TreatyCatch!$BR287:$BS287,TreatyCatch!$BU287:$BV287),"")</f>
        <v/>
      </c>
      <c r="U57" s="894" t="str">
        <f>IF($P57,$P57*TreatyCatch!BV287/SUM(TreatyCatch!$BR287:$BS287,TreatyCatch!$BU287:$BV287),"")</f>
        <v/>
      </c>
      <c r="V57" s="877" t="str">
        <f t="shared" si="24"/>
        <v/>
      </c>
      <c r="W57" s="958"/>
      <c r="X57" s="882" t="str">
        <f>IF($W57,$W57*TreatyCatch!BX287/SUM(TreatyCatch!$BX287:$BY287,TreatyCatch!$CA287:$CB287),"")</f>
        <v/>
      </c>
      <c r="Y57" s="883" t="str">
        <f>IF($W57,$W57*TreatyCatch!BY287/SUM(TreatyCatch!$BX287:$BY287,TreatyCatch!$CA287:$CB287),"")</f>
        <v/>
      </c>
      <c r="Z57" s="901" t="str">
        <f t="shared" si="14"/>
        <v/>
      </c>
      <c r="AA57" s="858" t="str">
        <f>IF($W57,$W57*TreatyCatch!CA287/SUM(TreatyCatch!$BX287:$BY287,TreatyCatch!$CA287:$CB287),"")</f>
        <v/>
      </c>
      <c r="AB57" s="859" t="str">
        <f>IF($W57,$W57*TreatyCatch!CB287/SUM(TreatyCatch!$BX287:$BY287,TreatyCatch!$CA287:$CB287),"")</f>
        <v/>
      </c>
      <c r="AC57" s="840" t="str">
        <f t="shared" si="25"/>
        <v/>
      </c>
      <c r="AD57" s="958"/>
      <c r="AE57" s="1071" t="str">
        <f>IF($AD57,$AD57*TreatyCatch!CD287/SUM(TreatyCatch!$CD287:$CE287,TreatyCatch!$CG287:$CH287),"")</f>
        <v/>
      </c>
      <c r="AF57" s="1072" t="str">
        <f>IF($AD57,$AD57*TreatyCatch!CE287/SUM(TreatyCatch!$CD287:$CE287,TreatyCatch!$CG287:$CH287),"")</f>
        <v/>
      </c>
      <c r="AG57" s="1073" t="str">
        <f t="shared" si="11"/>
        <v/>
      </c>
      <c r="AH57" s="1077" t="str">
        <f>IF($AD57,$AD57*TreatyCatch!CG287/SUM(TreatyCatch!$CD287:CE287,TreatyCatch!$CG287:$CH287),"")</f>
        <v/>
      </c>
      <c r="AI57" s="1078" t="str">
        <f>IF($AD57,$AD57*TreatyCatch!CH287/SUM(TreatyCatch!$CD287:CF287,TreatyCatch!$CG287:$CH287),"")</f>
        <v/>
      </c>
      <c r="AJ57" s="1080" t="str">
        <f t="shared" si="27"/>
        <v/>
      </c>
      <c r="AK57" s="958"/>
      <c r="AL57" s="882"/>
      <c r="AM57" s="883"/>
      <c r="AN57" s="901"/>
      <c r="AO57" s="858"/>
      <c r="AP57" s="859"/>
      <c r="AQ57" s="840"/>
      <c r="AR57" s="765"/>
      <c r="AS57" s="852"/>
      <c r="AT57" s="853"/>
      <c r="AU57" s="846"/>
      <c r="AV57" s="893"/>
      <c r="AW57" s="894"/>
      <c r="AX57" s="877"/>
      <c r="AY57" s="765"/>
      <c r="AZ57" s="882"/>
      <c r="BA57" s="883"/>
      <c r="BB57" s="901"/>
      <c r="BC57" s="858"/>
      <c r="BD57" s="859"/>
      <c r="BE57" s="840"/>
      <c r="BF57" s="765"/>
      <c r="BG57" s="852"/>
      <c r="BH57" s="853"/>
      <c r="BI57" s="846"/>
      <c r="BJ57" s="893"/>
      <c r="BK57" s="894"/>
      <c r="BL57" s="877"/>
      <c r="BM57" s="765"/>
      <c r="BN57" s="882"/>
      <c r="BO57" s="883"/>
      <c r="BP57" s="901"/>
      <c r="BQ57" s="858"/>
      <c r="BR57" s="859"/>
      <c r="BS57" s="840"/>
      <c r="BT57" s="765"/>
      <c r="BU57" s="852"/>
      <c r="BV57" s="853"/>
      <c r="BW57" s="846"/>
      <c r="BX57" s="893"/>
      <c r="BY57" s="894"/>
      <c r="BZ57" s="877"/>
      <c r="CA57" s="765"/>
      <c r="CB57" s="882"/>
      <c r="CC57" s="883"/>
      <c r="CD57" s="901"/>
      <c r="CE57" s="858"/>
      <c r="CF57" s="859"/>
      <c r="CG57" s="840"/>
      <c r="CH57" s="765"/>
      <c r="CI57" s="852"/>
      <c r="CJ57" s="853"/>
      <c r="CK57" s="846"/>
      <c r="CL57" s="893"/>
      <c r="CM57" s="894"/>
      <c r="CN57" s="877"/>
    </row>
    <row r="58" spans="1:92" x14ac:dyDescent="0.25">
      <c r="A58" s="757">
        <v>50</v>
      </c>
      <c r="B58" s="765"/>
      <c r="C58" s="844" t="str">
        <f>IF($B58,$B58*TreatyCatch!BF288/SUM(TreatyCatch!$BF288:$BG288,TreatyCatch!$BI288:$BJ288),"")</f>
        <v/>
      </c>
      <c r="D58" s="844" t="str">
        <f>IF($B58,$B58*TreatyCatch!BG288/SUM(TreatyCatch!$BF288:$BG288,TreatyCatch!$BI288:$BJ288),"")</f>
        <v/>
      </c>
      <c r="E58" s="846" t="str">
        <f t="shared" si="12"/>
        <v/>
      </c>
      <c r="F58" s="876" t="str">
        <f>IF($B58,$B58*TreatyCatch!BI288/SUM(TreatyCatch!$BF288:$BG288,TreatyCatch!$BI288:$BJ288),"")</f>
        <v/>
      </c>
      <c r="G58" s="889" t="str">
        <f>IF($B58,$B58*TreatyCatch!BJ288/SUM(TreatyCatch!$BF288:$BG288,TreatyCatch!$BI288:$BJ288),"")</f>
        <v/>
      </c>
      <c r="H58" s="877" t="str">
        <f t="shared" si="21"/>
        <v/>
      </c>
      <c r="I58" s="765"/>
      <c r="J58" s="882" t="str">
        <f>IF($I58,$I58*TreatyCatch!BL288/SUM(TreatyCatch!$BL288:$BM288,TreatyCatch!$BO288:$BP288),"")</f>
        <v/>
      </c>
      <c r="K58" s="883" t="str">
        <f>IF($I58,$I58*TreatyCatch!BM288/SUM(TreatyCatch!$BL288:$BM288,TreatyCatch!$BO288:$BP288),"")</f>
        <v/>
      </c>
      <c r="L58" s="901" t="str">
        <f t="shared" si="22"/>
        <v/>
      </c>
      <c r="M58" s="858" t="str">
        <f>IF($I58,$I58*TreatyCatch!BO288/SUM(TreatyCatch!$BL288:$BM288,TreatyCatch!$BO288:$BP288),"")</f>
        <v/>
      </c>
      <c r="N58" s="859" t="str">
        <f>IF($I58,$I58*TreatyCatch!BP288/SUM(TreatyCatch!$BL288:$BM288,TreatyCatch!$BO288:$BP288),"")</f>
        <v/>
      </c>
      <c r="O58" s="840" t="str">
        <f t="shared" si="23"/>
        <v/>
      </c>
      <c r="P58" s="765"/>
      <c r="Q58" s="852" t="str">
        <f>IF($P58,$P58*TreatyCatch!BR288/SUM(TreatyCatch!$BR288:$BS288,TreatyCatch!$BU288:$BV288),"")</f>
        <v/>
      </c>
      <c r="R58" s="853" t="str">
        <f>IF($P58,$P58*TreatyCatch!BS288/SUM(TreatyCatch!$BR288:$BS288,TreatyCatch!$BU288:$BV288),"")</f>
        <v/>
      </c>
      <c r="S58" s="846" t="str">
        <f t="shared" si="13"/>
        <v/>
      </c>
      <c r="T58" s="893" t="str">
        <f>IF($P58,$P58*TreatyCatch!BU288/SUM(TreatyCatch!$BR288:$BS288,TreatyCatch!$BU288:$BV288),"")</f>
        <v/>
      </c>
      <c r="U58" s="894" t="str">
        <f>IF($P58,$P58*TreatyCatch!BV288/SUM(TreatyCatch!$BR288:$BS288,TreatyCatch!$BU288:$BV288),"")</f>
        <v/>
      </c>
      <c r="V58" s="877" t="str">
        <f t="shared" si="24"/>
        <v/>
      </c>
      <c r="W58" s="958"/>
      <c r="X58" s="882" t="str">
        <f>IF($W58,$W58*TreatyCatch!BX288/SUM(TreatyCatch!$BX288:$BY288,TreatyCatch!$CA288:$CB288),"")</f>
        <v/>
      </c>
      <c r="Y58" s="883" t="str">
        <f>IF($W58,$W58*TreatyCatch!BY288/SUM(TreatyCatch!$BX288:$BY288,TreatyCatch!$CA288:$CB288),"")</f>
        <v/>
      </c>
      <c r="Z58" s="901" t="str">
        <f t="shared" si="14"/>
        <v/>
      </c>
      <c r="AA58" s="858" t="str">
        <f>IF($W58,$W58*TreatyCatch!CA288/SUM(TreatyCatch!$BX288:$BY288,TreatyCatch!$CA288:$CB288),"")</f>
        <v/>
      </c>
      <c r="AB58" s="859" t="str">
        <f>IF($W58,$W58*TreatyCatch!CB288/SUM(TreatyCatch!$BX288:$BY288,TreatyCatch!$CA288:$CB288),"")</f>
        <v/>
      </c>
      <c r="AC58" s="840" t="str">
        <f t="shared" si="25"/>
        <v/>
      </c>
      <c r="AD58" s="958"/>
      <c r="AE58" s="1071" t="str">
        <f>IF($AD58,$AD58*TreatyCatch!CD288/SUM(TreatyCatch!$CD288:$CE288,TreatyCatch!$CG288:$CH288),"")</f>
        <v/>
      </c>
      <c r="AF58" s="1072" t="str">
        <f>IF($AD58,$AD58*TreatyCatch!CE288/SUM(TreatyCatch!$CD288:$CE288,TreatyCatch!$CG288:$CH288),"")</f>
        <v/>
      </c>
      <c r="AG58" s="1073" t="str">
        <f t="shared" si="11"/>
        <v/>
      </c>
      <c r="AH58" s="1077" t="str">
        <f>IF($AD58,$AD58*TreatyCatch!CG288/SUM(TreatyCatch!$CD288:CE288,TreatyCatch!$CG288:$CH288),"")</f>
        <v/>
      </c>
      <c r="AI58" s="1078" t="str">
        <f>IF($AD58,$AD58*TreatyCatch!CH288/SUM(TreatyCatch!$CD288:CF288,TreatyCatch!$CG288:$CH288),"")</f>
        <v/>
      </c>
      <c r="AJ58" s="1080" t="str">
        <f t="shared" si="27"/>
        <v/>
      </c>
      <c r="AK58" s="958"/>
      <c r="AL58" s="882"/>
      <c r="AM58" s="883"/>
      <c r="AN58" s="901"/>
      <c r="AO58" s="858"/>
      <c r="AP58" s="859"/>
      <c r="AQ58" s="840"/>
      <c r="AR58" s="765"/>
      <c r="AS58" s="852"/>
      <c r="AT58" s="853"/>
      <c r="AU58" s="846"/>
      <c r="AV58" s="893"/>
      <c r="AW58" s="894"/>
      <c r="AX58" s="877"/>
      <c r="AY58" s="765"/>
      <c r="AZ58" s="882"/>
      <c r="BA58" s="883"/>
      <c r="BB58" s="901"/>
      <c r="BC58" s="858"/>
      <c r="BD58" s="859"/>
      <c r="BE58" s="840"/>
      <c r="BF58" s="765"/>
      <c r="BG58" s="852"/>
      <c r="BH58" s="853"/>
      <c r="BI58" s="846"/>
      <c r="BJ58" s="893"/>
      <c r="BK58" s="894"/>
      <c r="BL58" s="877"/>
      <c r="BM58" s="765"/>
      <c r="BN58" s="882"/>
      <c r="BO58" s="883"/>
      <c r="BP58" s="901"/>
      <c r="BQ58" s="858"/>
      <c r="BR58" s="859"/>
      <c r="BS58" s="840"/>
      <c r="BT58" s="765"/>
      <c r="BU58" s="852"/>
      <c r="BV58" s="853"/>
      <c r="BW58" s="846"/>
      <c r="BX58" s="893"/>
      <c r="BY58" s="894"/>
      <c r="BZ58" s="877"/>
      <c r="CA58" s="765"/>
      <c r="CB58" s="882"/>
      <c r="CC58" s="883"/>
      <c r="CD58" s="901"/>
      <c r="CE58" s="858"/>
      <c r="CF58" s="859"/>
      <c r="CG58" s="840"/>
      <c r="CH58" s="765"/>
      <c r="CI58" s="852"/>
      <c r="CJ58" s="853"/>
      <c r="CK58" s="846"/>
      <c r="CL58" s="893"/>
      <c r="CM58" s="894"/>
      <c r="CN58" s="877"/>
    </row>
    <row r="59" spans="1:92" x14ac:dyDescent="0.25">
      <c r="A59" s="757">
        <v>51</v>
      </c>
      <c r="B59" s="765"/>
      <c r="C59" s="844" t="str">
        <f>IF($B59,$B59*TreatyCatch!BF289/SUM(TreatyCatch!$BF289:$BG289,TreatyCatch!$BI289:$BJ289),"")</f>
        <v/>
      </c>
      <c r="D59" s="844" t="str">
        <f>IF($B59,$B59*TreatyCatch!BG289/SUM(TreatyCatch!$BF289:$BG289,TreatyCatch!$BI289:$BJ289),"")</f>
        <v/>
      </c>
      <c r="E59" s="846" t="str">
        <f t="shared" si="12"/>
        <v/>
      </c>
      <c r="F59" s="876" t="str">
        <f>IF($B59,$B59*TreatyCatch!BI289/SUM(TreatyCatch!$BF289:$BG289,TreatyCatch!$BI289:$BJ289),"")</f>
        <v/>
      </c>
      <c r="G59" s="889" t="str">
        <f>IF($B59,$B59*TreatyCatch!BJ289/SUM(TreatyCatch!$BF289:$BG289,TreatyCatch!$BI289:$BJ289),"")</f>
        <v/>
      </c>
      <c r="H59" s="877" t="str">
        <f t="shared" si="21"/>
        <v/>
      </c>
      <c r="I59" s="765"/>
      <c r="J59" s="882" t="str">
        <f>IF($I59,$I59*TreatyCatch!BL289/SUM(TreatyCatch!$BL289:$BM289,TreatyCatch!$BO289:$BP289),"")</f>
        <v/>
      </c>
      <c r="K59" s="883" t="str">
        <f>IF($I59,$I59*TreatyCatch!BM289/SUM(TreatyCatch!$BL289:$BM289,TreatyCatch!$BO289:$BP289),"")</f>
        <v/>
      </c>
      <c r="L59" s="901" t="str">
        <f t="shared" si="22"/>
        <v/>
      </c>
      <c r="M59" s="858" t="str">
        <f>IF($I59,$I59*TreatyCatch!BO289/SUM(TreatyCatch!$BL289:$BM289,TreatyCatch!$BO289:$BP289),"")</f>
        <v/>
      </c>
      <c r="N59" s="859" t="str">
        <f>IF($I59,$I59*TreatyCatch!BP289/SUM(TreatyCatch!$BL289:$BM289,TreatyCatch!$BO289:$BP289),"")</f>
        <v/>
      </c>
      <c r="O59" s="840" t="str">
        <f t="shared" si="23"/>
        <v/>
      </c>
      <c r="P59" s="765"/>
      <c r="Q59" s="852" t="str">
        <f>IF($P59,$P59*TreatyCatch!BR289/SUM(TreatyCatch!$BR289:$BS289,TreatyCatch!$BU289:$BV289),"")</f>
        <v/>
      </c>
      <c r="R59" s="853" t="str">
        <f>IF($P59,$P59*TreatyCatch!BS289/SUM(TreatyCatch!$BR289:$BS289,TreatyCatch!$BU289:$BV289),"")</f>
        <v/>
      </c>
      <c r="S59" s="846" t="str">
        <f t="shared" si="13"/>
        <v/>
      </c>
      <c r="T59" s="893" t="str">
        <f>IF($P59,$P59*TreatyCatch!BU289/SUM(TreatyCatch!$BR289:$BS289,TreatyCatch!$BU289:$BV289),"")</f>
        <v/>
      </c>
      <c r="U59" s="894" t="str">
        <f>IF($P59,$P59*TreatyCatch!BV289/SUM(TreatyCatch!$BR289:$BS289,TreatyCatch!$BU289:$BV289),"")</f>
        <v/>
      </c>
      <c r="V59" s="877" t="str">
        <f t="shared" si="24"/>
        <v/>
      </c>
      <c r="W59" s="958"/>
      <c r="X59" s="882" t="str">
        <f>IF($W59,$W59*TreatyCatch!BX289/SUM(TreatyCatch!$BX289:$BY289,TreatyCatch!$CA289:$CB289),"")</f>
        <v/>
      </c>
      <c r="Y59" s="883" t="str">
        <f>IF($W59,$W59*TreatyCatch!BY289/SUM(TreatyCatch!$BX289:$BY289,TreatyCatch!$CA289:$CB289),"")</f>
        <v/>
      </c>
      <c r="Z59" s="901" t="str">
        <f t="shared" si="14"/>
        <v/>
      </c>
      <c r="AA59" s="858" t="str">
        <f>IF($W59,$W59*TreatyCatch!CA289/SUM(TreatyCatch!$BX289:$BY289,TreatyCatch!$CA289:$CB289),"")</f>
        <v/>
      </c>
      <c r="AB59" s="859" t="str">
        <f>IF($W59,$W59*TreatyCatch!CB289/SUM(TreatyCatch!$BX289:$BY289,TreatyCatch!$CA289:$CB289),"")</f>
        <v/>
      </c>
      <c r="AC59" s="840" t="str">
        <f t="shared" si="25"/>
        <v/>
      </c>
      <c r="AD59" s="958"/>
      <c r="AE59" s="1071" t="str">
        <f>IF($AD59,$AD59*TreatyCatch!CD289/SUM(TreatyCatch!$CD289:$CE289,TreatyCatch!$CG289:$CH289),"")</f>
        <v/>
      </c>
      <c r="AF59" s="1072" t="str">
        <f>IF($AD59,$AD59*TreatyCatch!CE289/SUM(TreatyCatch!$CD289:$CE289,TreatyCatch!$CG289:$CH289),"")</f>
        <v/>
      </c>
      <c r="AG59" s="1073" t="str">
        <f t="shared" si="11"/>
        <v/>
      </c>
      <c r="AH59" s="1077" t="str">
        <f>IF($AD59,$AD59*TreatyCatch!CG289/SUM(TreatyCatch!$CD289:CE289,TreatyCatch!$CG289:$CH289),"")</f>
        <v/>
      </c>
      <c r="AI59" s="1078" t="str">
        <f>IF($AD59,$AD59*TreatyCatch!CH289/SUM(TreatyCatch!$CD289:CF289,TreatyCatch!$CG289:$CH289),"")</f>
        <v/>
      </c>
      <c r="AJ59" s="1080" t="str">
        <f t="shared" si="27"/>
        <v/>
      </c>
      <c r="AK59" s="958"/>
      <c r="AL59" s="882"/>
      <c r="AM59" s="883"/>
      <c r="AN59" s="901"/>
      <c r="AO59" s="858"/>
      <c r="AP59" s="859"/>
      <c r="AQ59" s="840"/>
      <c r="AR59" s="765"/>
      <c r="AS59" s="852"/>
      <c r="AT59" s="853"/>
      <c r="AU59" s="846"/>
      <c r="AV59" s="893"/>
      <c r="AW59" s="894"/>
      <c r="AX59" s="877"/>
      <c r="AY59" s="765"/>
      <c r="AZ59" s="882"/>
      <c r="BA59" s="883"/>
      <c r="BB59" s="901"/>
      <c r="BC59" s="858"/>
      <c r="BD59" s="859"/>
      <c r="BE59" s="840"/>
      <c r="BF59" s="765"/>
      <c r="BG59" s="852"/>
      <c r="BH59" s="853"/>
      <c r="BI59" s="846"/>
      <c r="BJ59" s="893"/>
      <c r="BK59" s="894"/>
      <c r="BL59" s="877"/>
      <c r="BM59" s="765"/>
      <c r="BN59" s="882"/>
      <c r="BO59" s="883"/>
      <c r="BP59" s="901"/>
      <c r="BQ59" s="858"/>
      <c r="BR59" s="859"/>
      <c r="BS59" s="840"/>
      <c r="BT59" s="765"/>
      <c r="BU59" s="852"/>
      <c r="BV59" s="853"/>
      <c r="BW59" s="846"/>
      <c r="BX59" s="893"/>
      <c r="BY59" s="894"/>
      <c r="BZ59" s="877"/>
      <c r="CA59" s="765"/>
      <c r="CB59" s="882"/>
      <c r="CC59" s="883"/>
      <c r="CD59" s="901"/>
      <c r="CE59" s="858"/>
      <c r="CF59" s="859"/>
      <c r="CG59" s="840"/>
      <c r="CH59" s="765"/>
      <c r="CI59" s="852"/>
      <c r="CJ59" s="853"/>
      <c r="CK59" s="846"/>
      <c r="CL59" s="893"/>
      <c r="CM59" s="894"/>
      <c r="CN59" s="877"/>
    </row>
    <row r="60" spans="1:92" x14ac:dyDescent="0.25">
      <c r="A60" s="757">
        <v>52</v>
      </c>
      <c r="B60" s="765"/>
      <c r="C60" s="844" t="str">
        <f>IF($B60,$B60*TreatyCatch!BF290/SUM(TreatyCatch!$BF290:$BG290,TreatyCatch!$BI290:$BJ290),"")</f>
        <v/>
      </c>
      <c r="D60" s="844" t="str">
        <f>IF($B60,$B60*TreatyCatch!BG290/SUM(TreatyCatch!$BF290:$BG290,TreatyCatch!$BI290:$BJ290),"")</f>
        <v/>
      </c>
      <c r="E60" s="846" t="str">
        <f t="shared" si="12"/>
        <v/>
      </c>
      <c r="F60" s="876" t="str">
        <f>IF($B60,$B60*TreatyCatch!BI290/SUM(TreatyCatch!$BF290:$BG290,TreatyCatch!$BI290:$BJ290),"")</f>
        <v/>
      </c>
      <c r="G60" s="889" t="str">
        <f>IF($B60,$B60*TreatyCatch!BJ290/SUM(TreatyCatch!$BF290:$BG290,TreatyCatch!$BI290:$BJ290),"")</f>
        <v/>
      </c>
      <c r="H60" s="877" t="str">
        <f t="shared" si="21"/>
        <v/>
      </c>
      <c r="I60" s="765"/>
      <c r="J60" s="882" t="str">
        <f>IF($I60,$I60*TreatyCatch!BL290/SUM(TreatyCatch!$BL290:$BM290,TreatyCatch!$BO290:$BP290),"")</f>
        <v/>
      </c>
      <c r="K60" s="883" t="str">
        <f>IF($I60,$I60*TreatyCatch!BM290/SUM(TreatyCatch!$BL290:$BM290,TreatyCatch!$BO290:$BP290),"")</f>
        <v/>
      </c>
      <c r="L60" s="901" t="str">
        <f t="shared" si="22"/>
        <v/>
      </c>
      <c r="M60" s="858" t="str">
        <f>IF($I60,$I60*TreatyCatch!BO290/SUM(TreatyCatch!$BL290:$BM290,TreatyCatch!$BO290:$BP290),"")</f>
        <v/>
      </c>
      <c r="N60" s="859" t="str">
        <f>IF($I60,$I60*TreatyCatch!BP290/SUM(TreatyCatch!$BL290:$BM290,TreatyCatch!$BO290:$BP290),"")</f>
        <v/>
      </c>
      <c r="O60" s="840" t="str">
        <f t="shared" si="23"/>
        <v/>
      </c>
      <c r="P60" s="765"/>
      <c r="Q60" s="852" t="str">
        <f>IF($P60,$P60*TreatyCatch!BR290/SUM(TreatyCatch!$BR290:$BS290,TreatyCatch!$BU290:$BV290),"")</f>
        <v/>
      </c>
      <c r="R60" s="853" t="str">
        <f>IF($P60,$P60*TreatyCatch!BS290/SUM(TreatyCatch!$BR290:$BS290,TreatyCatch!$BU290:$BV290),"")</f>
        <v/>
      </c>
      <c r="S60" s="846" t="str">
        <f t="shared" si="13"/>
        <v/>
      </c>
      <c r="T60" s="893" t="str">
        <f>IF($P60,$P60*TreatyCatch!BU290/SUM(TreatyCatch!$BR290:$BS290,TreatyCatch!$BU290:$BV290),"")</f>
        <v/>
      </c>
      <c r="U60" s="894" t="str">
        <f>IF($P60,$P60*TreatyCatch!BV290/SUM(TreatyCatch!$BR290:$BS290,TreatyCatch!$BU290:$BV290),"")</f>
        <v/>
      </c>
      <c r="V60" s="877" t="str">
        <f t="shared" si="24"/>
        <v/>
      </c>
      <c r="W60" s="958"/>
      <c r="X60" s="882" t="str">
        <f>IF($W60,$W60*TreatyCatch!BX290/SUM(TreatyCatch!$BX290:$BY290,TreatyCatch!$CA290:$CB290),"")</f>
        <v/>
      </c>
      <c r="Y60" s="883" t="str">
        <f>IF($W60,$W60*TreatyCatch!BY290/SUM(TreatyCatch!$BX290:$BY290,TreatyCatch!$CA290:$CB290),"")</f>
        <v/>
      </c>
      <c r="Z60" s="901" t="str">
        <f t="shared" si="14"/>
        <v/>
      </c>
      <c r="AA60" s="858" t="str">
        <f>IF($W60,$W60*TreatyCatch!CA290/SUM(TreatyCatch!$BX290:$BY290,TreatyCatch!$CA290:$CB290),"")</f>
        <v/>
      </c>
      <c r="AB60" s="859" t="str">
        <f>IF($W60,$W60*TreatyCatch!CB290/SUM(TreatyCatch!$BX290:$BY290,TreatyCatch!$CA290:$CB290),"")</f>
        <v/>
      </c>
      <c r="AC60" s="840" t="str">
        <f t="shared" si="25"/>
        <v/>
      </c>
      <c r="AD60" s="958"/>
      <c r="AE60" s="1071" t="str">
        <f>IF($AD60,$AD60*TreatyCatch!CD290/SUM(TreatyCatch!$CD290:$CE290,TreatyCatch!$CG290:$CH290),"")</f>
        <v/>
      </c>
      <c r="AF60" s="1072" t="str">
        <f>IF($AD60,$AD60*TreatyCatch!CE290/SUM(TreatyCatch!$CD290:$CE290,TreatyCatch!$CG290:$CH290),"")</f>
        <v/>
      </c>
      <c r="AG60" s="1073" t="str">
        <f t="shared" si="11"/>
        <v/>
      </c>
      <c r="AH60" s="1077" t="str">
        <f>IF($AD60,$AD60*TreatyCatch!CG290/SUM(TreatyCatch!$CD290:CE290,TreatyCatch!$CG290:$CH290),"")</f>
        <v/>
      </c>
      <c r="AI60" s="1078" t="str">
        <f>IF($AD60,$AD60*TreatyCatch!CH290/SUM(TreatyCatch!$CD290:CF290,TreatyCatch!$CG290:$CH290),"")</f>
        <v/>
      </c>
      <c r="AJ60" s="1080" t="str">
        <f t="shared" si="27"/>
        <v/>
      </c>
      <c r="AK60" s="958"/>
      <c r="AL60" s="882"/>
      <c r="AM60" s="883"/>
      <c r="AN60" s="901"/>
      <c r="AO60" s="858"/>
      <c r="AP60" s="859"/>
      <c r="AQ60" s="840"/>
      <c r="AR60" s="765"/>
      <c r="AS60" s="852"/>
      <c r="AT60" s="853"/>
      <c r="AU60" s="846"/>
      <c r="AV60" s="893"/>
      <c r="AW60" s="894"/>
      <c r="AX60" s="877"/>
      <c r="AY60" s="765"/>
      <c r="AZ60" s="882"/>
      <c r="BA60" s="883"/>
      <c r="BB60" s="901"/>
      <c r="BC60" s="858"/>
      <c r="BD60" s="859"/>
      <c r="BE60" s="840"/>
      <c r="BF60" s="765"/>
      <c r="BG60" s="852"/>
      <c r="BH60" s="853"/>
      <c r="BI60" s="846"/>
      <c r="BJ60" s="893"/>
      <c r="BK60" s="894"/>
      <c r="BL60" s="877"/>
      <c r="BM60" s="765"/>
      <c r="BN60" s="882"/>
      <c r="BO60" s="883"/>
      <c r="BP60" s="901"/>
      <c r="BQ60" s="858"/>
      <c r="BR60" s="859"/>
      <c r="BS60" s="840"/>
      <c r="BT60" s="765"/>
      <c r="BU60" s="852"/>
      <c r="BV60" s="853"/>
      <c r="BW60" s="846"/>
      <c r="BX60" s="893"/>
      <c r="BY60" s="894"/>
      <c r="BZ60" s="877"/>
      <c r="CA60" s="765"/>
      <c r="CB60" s="882"/>
      <c r="CC60" s="883"/>
      <c r="CD60" s="901"/>
      <c r="CE60" s="858"/>
      <c r="CF60" s="859"/>
      <c r="CG60" s="840"/>
      <c r="CH60" s="765"/>
      <c r="CI60" s="852"/>
      <c r="CJ60" s="853"/>
      <c r="CK60" s="846"/>
      <c r="CL60" s="893"/>
      <c r="CM60" s="894"/>
      <c r="CN60" s="877"/>
    </row>
    <row r="61" spans="1:92" x14ac:dyDescent="0.25">
      <c r="A61" s="758">
        <v>53</v>
      </c>
      <c r="B61" s="766"/>
      <c r="C61" s="849" t="str">
        <f>IF($B61,$B61*TreatyCatch!BF291/SUM(TreatyCatch!$BF291:$BG291,TreatyCatch!$BI291:$BJ291),"")</f>
        <v/>
      </c>
      <c r="D61" s="849" t="str">
        <f>IF($B61,$B61*TreatyCatch!BG291/SUM(TreatyCatch!$BF291:$BG291,TreatyCatch!$BI291:$BJ291),"")</f>
        <v/>
      </c>
      <c r="E61" s="847" t="str">
        <f t="shared" si="12"/>
        <v/>
      </c>
      <c r="F61" s="878" t="str">
        <f>IF($B61,$B61*TreatyCatch!BI291/SUM(TreatyCatch!$BF291:$BG291,TreatyCatch!$BI291:$BJ291),"")</f>
        <v/>
      </c>
      <c r="G61" s="890" t="str">
        <f>IF($B61,$B61*TreatyCatch!BJ291/SUM(TreatyCatch!$BF291:$BG291,TreatyCatch!$BI291:$BJ291),"")</f>
        <v/>
      </c>
      <c r="H61" s="879" t="str">
        <f t="shared" si="21"/>
        <v/>
      </c>
      <c r="I61" s="766"/>
      <c r="J61" s="885" t="str">
        <f>IF($I61,$I61*TreatyCatch!BL291/SUM(TreatyCatch!$BL291:$BM291,TreatyCatch!$BO291:$BP291),"")</f>
        <v/>
      </c>
      <c r="K61" s="886" t="str">
        <f>IF($I61,$I61*TreatyCatch!BM291/SUM(TreatyCatch!$BL291:$BM291,TreatyCatch!$BO291:$BP291),"")</f>
        <v/>
      </c>
      <c r="L61" s="902" t="str">
        <f t="shared" si="22"/>
        <v/>
      </c>
      <c r="M61" s="861" t="str">
        <f>IF($I61,$I61*TreatyCatch!BO291/SUM(TreatyCatch!$BL291:$BM291,TreatyCatch!$BO291:$BP291),"")</f>
        <v/>
      </c>
      <c r="N61" s="862" t="str">
        <f>IF($I61,$I61*TreatyCatch!BP291/SUM(TreatyCatch!$BL291:$BM291,TreatyCatch!$BO291:$BP291),"")</f>
        <v/>
      </c>
      <c r="O61" s="841" t="str">
        <f t="shared" si="23"/>
        <v/>
      </c>
      <c r="P61" s="766"/>
      <c r="Q61" s="854" t="str">
        <f>IF($P61,$P61*TreatyCatch!BR291/SUM(TreatyCatch!$BR291:$BS291,TreatyCatch!$BU291:$BV291),"")</f>
        <v/>
      </c>
      <c r="R61" s="855" t="str">
        <f>IF($P61,$P61*TreatyCatch!BS291/SUM(TreatyCatch!$BR291:$BS291,TreatyCatch!$BU291:$BV291),"")</f>
        <v/>
      </c>
      <c r="S61" s="847" t="str">
        <f t="shared" si="13"/>
        <v/>
      </c>
      <c r="T61" s="895" t="str">
        <f>IF($P61,$P61*TreatyCatch!BU291/SUM(TreatyCatch!$BR291:$BS291,TreatyCatch!$BU291:$BV291),"")</f>
        <v/>
      </c>
      <c r="U61" s="896" t="str">
        <f>IF($P61,$P61*TreatyCatch!BV291/SUM(TreatyCatch!$BR291:$BS291,TreatyCatch!$BU291:$BV291),"")</f>
        <v/>
      </c>
      <c r="V61" s="879" t="str">
        <f t="shared" si="24"/>
        <v/>
      </c>
      <c r="W61" s="964"/>
      <c r="X61" s="885" t="str">
        <f>IF($W61,$W61*TreatyCatch!BX291/SUM(TreatyCatch!$BX291:$BY291,TreatyCatch!$CA291:$CB291),"")</f>
        <v/>
      </c>
      <c r="Y61" s="886" t="str">
        <f>IF($W61,$W61*TreatyCatch!BY291/SUM(TreatyCatch!$BX291:$BY291,TreatyCatch!$CA291:$CB291),"")</f>
        <v/>
      </c>
      <c r="Z61" s="902" t="str">
        <f t="shared" si="14"/>
        <v/>
      </c>
      <c r="AA61" s="861" t="str">
        <f>IF($W61,$W61*TreatyCatch!CA291/SUM(TreatyCatch!$BX291:$BY291,TreatyCatch!$CA291:$CB291),"")</f>
        <v/>
      </c>
      <c r="AB61" s="862" t="str">
        <f>IF($W61,$W61*TreatyCatch!CB291/SUM(TreatyCatch!$BX291:$BY291,TreatyCatch!$CA291:$CB291),"")</f>
        <v/>
      </c>
      <c r="AC61" s="841" t="str">
        <f t="shared" si="25"/>
        <v/>
      </c>
      <c r="AD61" s="964"/>
      <c r="AE61" s="1074" t="str">
        <f>IF($AD61,$AD61*TreatyCatch!CD291/SUM(TreatyCatch!$CD291:$CE291,TreatyCatch!$CG291:$CH291),"")</f>
        <v/>
      </c>
      <c r="AF61" s="1075" t="str">
        <f>IF($AD61,$AD61*TreatyCatch!CE291/SUM(TreatyCatch!$CD291:$CE291,TreatyCatch!$CG291:$CH291),"")</f>
        <v/>
      </c>
      <c r="AG61" s="1076" t="str">
        <f t="shared" si="11"/>
        <v/>
      </c>
      <c r="AH61" s="1081" t="str">
        <f>IF($AD61,$AD61*TreatyCatch!CG291/SUM(TreatyCatch!$CD291:CE291,TreatyCatch!$CG291:$CH291),"")</f>
        <v/>
      </c>
      <c r="AI61" s="1082" t="str">
        <f>IF($AD61,$AD61*TreatyCatch!CH291/SUM(TreatyCatch!$CD291:CF291,TreatyCatch!$CG291:$CH291),"")</f>
        <v/>
      </c>
      <c r="AJ61" s="1083" t="str">
        <f t="shared" si="27"/>
        <v/>
      </c>
      <c r="AK61" s="964"/>
      <c r="AL61" s="885"/>
      <c r="AM61" s="886"/>
      <c r="AN61" s="902"/>
      <c r="AO61" s="861"/>
      <c r="AP61" s="862"/>
      <c r="AQ61" s="841"/>
      <c r="AR61" s="766"/>
      <c r="AS61" s="854"/>
      <c r="AT61" s="855"/>
      <c r="AU61" s="847"/>
      <c r="AV61" s="895"/>
      <c r="AW61" s="896"/>
      <c r="AX61" s="879"/>
      <c r="AY61" s="766"/>
      <c r="AZ61" s="885"/>
      <c r="BA61" s="886"/>
      <c r="BB61" s="902"/>
      <c r="BC61" s="861"/>
      <c r="BD61" s="862"/>
      <c r="BE61" s="841"/>
      <c r="BF61" s="766"/>
      <c r="BG61" s="854"/>
      <c r="BH61" s="855"/>
      <c r="BI61" s="847"/>
      <c r="BJ61" s="895"/>
      <c r="BK61" s="896"/>
      <c r="BL61" s="879"/>
      <c r="BM61" s="766"/>
      <c r="BN61" s="885"/>
      <c r="BO61" s="886"/>
      <c r="BP61" s="902"/>
      <c r="BQ61" s="861"/>
      <c r="BR61" s="862"/>
      <c r="BS61" s="841"/>
      <c r="BT61" s="766"/>
      <c r="BU61" s="854"/>
      <c r="BV61" s="855"/>
      <c r="BW61" s="847"/>
      <c r="BX61" s="895"/>
      <c r="BY61" s="896"/>
      <c r="BZ61" s="879"/>
      <c r="CA61" s="766"/>
      <c r="CB61" s="885"/>
      <c r="CC61" s="886"/>
      <c r="CD61" s="902"/>
      <c r="CE61" s="861"/>
      <c r="CF61" s="862"/>
      <c r="CG61" s="841"/>
      <c r="CH61" s="766"/>
      <c r="CI61" s="854"/>
      <c r="CJ61" s="855"/>
      <c r="CK61" s="847"/>
      <c r="CL61" s="895"/>
      <c r="CM61" s="896"/>
      <c r="CN61" s="879"/>
    </row>
    <row r="62" spans="1:92" x14ac:dyDescent="0.25">
      <c r="W62" s="899"/>
      <c r="X62" s="1084"/>
      <c r="Y62" s="1084"/>
      <c r="Z62" s="1084"/>
      <c r="AA62" s="1084"/>
      <c r="AB62" s="1084"/>
      <c r="AC62" s="1084"/>
    </row>
    <row r="63" spans="1:92" x14ac:dyDescent="0.25">
      <c r="W63" s="899"/>
      <c r="X63" s="1084"/>
      <c r="Y63" s="1084"/>
      <c r="Z63" s="1084"/>
      <c r="AA63" s="1084"/>
      <c r="AB63" s="1084"/>
      <c r="AC63" s="1084"/>
    </row>
    <row r="64" spans="1:92" x14ac:dyDescent="0.25">
      <c r="W64" s="899"/>
      <c r="X64" s="1084"/>
      <c r="Y64" s="1084"/>
      <c r="Z64" s="1084"/>
      <c r="AA64" s="1084"/>
      <c r="AB64" s="1084"/>
      <c r="AC64" s="1084"/>
    </row>
    <row r="65" spans="1:92" x14ac:dyDescent="0.25">
      <c r="A65" s="756" t="s">
        <v>169</v>
      </c>
      <c r="W65" s="899"/>
      <c r="X65" s="1084"/>
      <c r="Y65" s="1084"/>
      <c r="Z65" s="1084"/>
      <c r="AA65" s="1084"/>
      <c r="AB65" s="1084"/>
      <c r="AC65" s="1084"/>
    </row>
    <row r="66" spans="1:92" x14ac:dyDescent="0.25">
      <c r="B66" s="769">
        <v>2012</v>
      </c>
      <c r="C66" s="770"/>
      <c r="D66" s="770"/>
      <c r="E66" s="770"/>
      <c r="F66" s="770"/>
      <c r="G66" s="772"/>
      <c r="H66" s="770"/>
      <c r="I66" s="771">
        <v>2013</v>
      </c>
      <c r="J66" s="772"/>
      <c r="K66" s="767"/>
      <c r="L66" s="767"/>
      <c r="M66" s="767"/>
      <c r="N66" s="767"/>
      <c r="O66" s="768"/>
      <c r="P66" s="771">
        <v>2014</v>
      </c>
      <c r="Q66" s="772"/>
      <c r="R66" s="767"/>
      <c r="S66" s="767"/>
      <c r="T66" s="767"/>
      <c r="U66" s="767"/>
      <c r="V66" s="768"/>
      <c r="W66" s="1040">
        <v>2015</v>
      </c>
      <c r="X66" s="1042"/>
      <c r="Y66" s="1043"/>
      <c r="Z66" s="1043"/>
      <c r="AA66" s="1043"/>
      <c r="AB66" s="1043"/>
      <c r="AC66" s="1044"/>
      <c r="AD66" s="1040">
        <v>2016</v>
      </c>
      <c r="AE66" s="1042"/>
      <c r="AF66" s="1043"/>
      <c r="AG66" s="1043"/>
      <c r="AH66" s="1043"/>
      <c r="AI66" s="1043"/>
      <c r="AJ66" s="1044"/>
      <c r="AK66" s="1040">
        <v>2017</v>
      </c>
      <c r="AL66" s="1042"/>
      <c r="AM66" s="1043"/>
      <c r="AN66" s="1043"/>
      <c r="AO66" s="1043"/>
      <c r="AP66" s="1043"/>
      <c r="AQ66" s="1044"/>
      <c r="AR66" s="771">
        <f>AR7</f>
        <v>2018</v>
      </c>
      <c r="AS66" s="772"/>
      <c r="AT66" s="767"/>
      <c r="AU66" s="767"/>
      <c r="AV66" s="767"/>
      <c r="AW66" s="767"/>
      <c r="AX66" s="768"/>
      <c r="AY66" s="771">
        <f>AY7</f>
        <v>2019</v>
      </c>
      <c r="AZ66" s="772"/>
      <c r="BA66" s="767"/>
      <c r="BB66" s="767"/>
      <c r="BC66" s="767"/>
      <c r="BD66" s="767"/>
      <c r="BE66" s="768"/>
      <c r="BF66" s="771">
        <f>BF7</f>
        <v>2020</v>
      </c>
      <c r="BG66" s="772"/>
      <c r="BH66" s="767"/>
      <c r="BI66" s="767"/>
      <c r="BJ66" s="767"/>
      <c r="BK66" s="767"/>
      <c r="BL66" s="768"/>
      <c r="BM66" s="771">
        <f>BM7</f>
        <v>2021</v>
      </c>
      <c r="BN66" s="772"/>
      <c r="BO66" s="767"/>
      <c r="BP66" s="767"/>
      <c r="BQ66" s="767"/>
      <c r="BR66" s="767"/>
      <c r="BS66" s="768"/>
      <c r="BT66" s="771">
        <f>BT7</f>
        <v>2022</v>
      </c>
      <c r="BU66" s="772"/>
      <c r="BV66" s="767"/>
      <c r="BW66" s="767"/>
      <c r="BX66" s="767"/>
      <c r="BY66" s="767"/>
      <c r="BZ66" s="768"/>
      <c r="CA66" s="771">
        <f>CA7</f>
        <v>2023</v>
      </c>
      <c r="CB66" s="772"/>
      <c r="CC66" s="767"/>
      <c r="CD66" s="767"/>
      <c r="CE66" s="767"/>
      <c r="CF66" s="767"/>
      <c r="CG66" s="768"/>
      <c r="CH66" s="771">
        <f>CH7</f>
        <v>2024</v>
      </c>
      <c r="CI66" s="772"/>
      <c r="CJ66" s="767"/>
      <c r="CK66" s="767"/>
      <c r="CL66" s="767"/>
      <c r="CM66" s="767"/>
      <c r="CN66" s="768"/>
    </row>
    <row r="67" spans="1:92" x14ac:dyDescent="0.25">
      <c r="A67" s="759" t="s">
        <v>265</v>
      </c>
      <c r="B67" s="764" t="s">
        <v>171</v>
      </c>
      <c r="C67" s="761" t="s">
        <v>257</v>
      </c>
      <c r="D67" s="761" t="s">
        <v>172</v>
      </c>
      <c r="E67" s="760" t="s">
        <v>261</v>
      </c>
      <c r="F67" s="761" t="s">
        <v>259</v>
      </c>
      <c r="G67" s="762" t="s">
        <v>173</v>
      </c>
      <c r="H67" s="774" t="s">
        <v>262</v>
      </c>
      <c r="I67" s="764" t="s">
        <v>171</v>
      </c>
      <c r="J67" s="759" t="s">
        <v>257</v>
      </c>
      <c r="K67" s="761" t="s">
        <v>172</v>
      </c>
      <c r="L67" s="760" t="s">
        <v>261</v>
      </c>
      <c r="M67" s="761" t="s">
        <v>259</v>
      </c>
      <c r="N67" s="762" t="s">
        <v>173</v>
      </c>
      <c r="O67" s="774" t="s">
        <v>262</v>
      </c>
      <c r="P67" s="764" t="s">
        <v>171</v>
      </c>
      <c r="Q67" s="759" t="s">
        <v>257</v>
      </c>
      <c r="R67" s="761" t="s">
        <v>172</v>
      </c>
      <c r="S67" s="760" t="s">
        <v>261</v>
      </c>
      <c r="T67" s="761" t="s">
        <v>259</v>
      </c>
      <c r="U67" s="762" t="s">
        <v>173</v>
      </c>
      <c r="V67" s="774" t="s">
        <v>262</v>
      </c>
      <c r="W67" s="1041" t="s">
        <v>171</v>
      </c>
      <c r="X67" s="1045" t="s">
        <v>257</v>
      </c>
      <c r="Y67" s="1046" t="s">
        <v>172</v>
      </c>
      <c r="Z67" s="1047" t="s">
        <v>261</v>
      </c>
      <c r="AA67" s="1046" t="s">
        <v>259</v>
      </c>
      <c r="AB67" s="1048" t="s">
        <v>173</v>
      </c>
      <c r="AC67" s="1049" t="s">
        <v>262</v>
      </c>
      <c r="AD67" s="1041" t="s">
        <v>171</v>
      </c>
      <c r="AE67" s="1045" t="s">
        <v>257</v>
      </c>
      <c r="AF67" s="1046" t="s">
        <v>172</v>
      </c>
      <c r="AG67" s="1047" t="s">
        <v>261</v>
      </c>
      <c r="AH67" s="1046" t="s">
        <v>259</v>
      </c>
      <c r="AI67" s="1048" t="s">
        <v>173</v>
      </c>
      <c r="AJ67" s="1049" t="s">
        <v>262</v>
      </c>
      <c r="AK67" s="1041" t="s">
        <v>171</v>
      </c>
      <c r="AL67" s="1045" t="s">
        <v>257</v>
      </c>
      <c r="AM67" s="1046" t="s">
        <v>172</v>
      </c>
      <c r="AN67" s="1047" t="s">
        <v>261</v>
      </c>
      <c r="AO67" s="1046" t="s">
        <v>259</v>
      </c>
      <c r="AP67" s="1048" t="s">
        <v>173</v>
      </c>
      <c r="AQ67" s="1049" t="s">
        <v>262</v>
      </c>
      <c r="AR67" s="764" t="s">
        <v>171</v>
      </c>
      <c r="AS67" s="759" t="s">
        <v>257</v>
      </c>
      <c r="AT67" s="761" t="s">
        <v>172</v>
      </c>
      <c r="AU67" s="760" t="s">
        <v>261</v>
      </c>
      <c r="AV67" s="761" t="s">
        <v>259</v>
      </c>
      <c r="AW67" s="762" t="s">
        <v>173</v>
      </c>
      <c r="AX67" s="774" t="s">
        <v>262</v>
      </c>
      <c r="AY67" s="764" t="s">
        <v>171</v>
      </c>
      <c r="AZ67" s="759" t="s">
        <v>257</v>
      </c>
      <c r="BA67" s="761" t="s">
        <v>172</v>
      </c>
      <c r="BB67" s="760" t="s">
        <v>261</v>
      </c>
      <c r="BC67" s="761" t="s">
        <v>259</v>
      </c>
      <c r="BD67" s="762" t="s">
        <v>173</v>
      </c>
      <c r="BE67" s="774" t="s">
        <v>262</v>
      </c>
      <c r="BF67" s="764" t="s">
        <v>171</v>
      </c>
      <c r="BG67" s="759" t="s">
        <v>257</v>
      </c>
      <c r="BH67" s="761" t="s">
        <v>172</v>
      </c>
      <c r="BI67" s="760" t="s">
        <v>261</v>
      </c>
      <c r="BJ67" s="761" t="s">
        <v>259</v>
      </c>
      <c r="BK67" s="762" t="s">
        <v>173</v>
      </c>
      <c r="BL67" s="774" t="s">
        <v>262</v>
      </c>
      <c r="BM67" s="764" t="s">
        <v>171</v>
      </c>
      <c r="BN67" s="759" t="s">
        <v>257</v>
      </c>
      <c r="BO67" s="761" t="s">
        <v>172</v>
      </c>
      <c r="BP67" s="760" t="s">
        <v>261</v>
      </c>
      <c r="BQ67" s="761" t="s">
        <v>259</v>
      </c>
      <c r="BR67" s="762" t="s">
        <v>173</v>
      </c>
      <c r="BS67" s="774" t="s">
        <v>262</v>
      </c>
      <c r="BT67" s="764" t="s">
        <v>171</v>
      </c>
      <c r="BU67" s="759" t="s">
        <v>257</v>
      </c>
      <c r="BV67" s="761" t="s">
        <v>172</v>
      </c>
      <c r="BW67" s="760" t="s">
        <v>261</v>
      </c>
      <c r="BX67" s="761" t="s">
        <v>259</v>
      </c>
      <c r="BY67" s="762" t="s">
        <v>173</v>
      </c>
      <c r="BZ67" s="774" t="s">
        <v>262</v>
      </c>
      <c r="CA67" s="764" t="s">
        <v>171</v>
      </c>
      <c r="CB67" s="759" t="s">
        <v>257</v>
      </c>
      <c r="CC67" s="761" t="s">
        <v>172</v>
      </c>
      <c r="CD67" s="760" t="s">
        <v>261</v>
      </c>
      <c r="CE67" s="761" t="s">
        <v>259</v>
      </c>
      <c r="CF67" s="762" t="s">
        <v>173</v>
      </c>
      <c r="CG67" s="774" t="s">
        <v>262</v>
      </c>
      <c r="CH67" s="764" t="s">
        <v>171</v>
      </c>
      <c r="CI67" s="759" t="s">
        <v>257</v>
      </c>
      <c r="CJ67" s="761" t="s">
        <v>172</v>
      </c>
      <c r="CK67" s="760" t="s">
        <v>261</v>
      </c>
      <c r="CL67" s="761" t="s">
        <v>259</v>
      </c>
      <c r="CM67" s="762" t="s">
        <v>173</v>
      </c>
      <c r="CN67" s="774" t="s">
        <v>262</v>
      </c>
    </row>
    <row r="68" spans="1:92" x14ac:dyDescent="0.25">
      <c r="A68" s="763">
        <v>1</v>
      </c>
      <c r="B68" s="765"/>
      <c r="C68" s="868" t="str">
        <f>IF($B68,$B68*TreatyCatch!BF239/SUM(TreatyCatch!$BF239:$BG239,TreatyCatch!$BI239:$BJ239),"")</f>
        <v/>
      </c>
      <c r="D68" s="868" t="str">
        <f>IF($B68,$B68*TreatyCatch!BG239/SUM(TreatyCatch!$BF239:$BG239,TreatyCatch!$BI239:$BJ239),"")</f>
        <v/>
      </c>
      <c r="E68" s="869" t="str">
        <f>IFERROR(C68+0.0661*D68,"")</f>
        <v/>
      </c>
      <c r="F68" s="842" t="str">
        <f>IF($B68,$B68*TreatyCatch!BI239/SUM(TreatyCatch!$BF239:$BG239,TreatyCatch!$BI239:$BJ239),"")</f>
        <v/>
      </c>
      <c r="G68" s="865" t="str">
        <f>IF($B68,$B68*TreatyCatch!BJ239/SUM(TreatyCatch!$BF239:$BG239,TreatyCatch!$BI239:$BJ239),"")</f>
        <v/>
      </c>
      <c r="H68" s="839" t="str">
        <f>IFERROR(F68+0.0661*G68,"")</f>
        <v/>
      </c>
      <c r="I68" s="773"/>
      <c r="J68" s="850" t="str">
        <f>IF($I68,$I68*TreatyCatch!BL239/SUM(TreatyCatch!$BL239:$BM239,TreatyCatch!$BO239:$BP239),"")</f>
        <v/>
      </c>
      <c r="K68" s="851" t="str">
        <f>IF($I68,$I68*TreatyCatch!BM239/SUM(TreatyCatch!$BL239:$BM239,TreatyCatch!$BO239:$BP239),"")</f>
        <v/>
      </c>
      <c r="L68" s="845" t="str">
        <f t="shared" ref="L68:L84" si="28">IFERROR(J68+N$5*K68,"")</f>
        <v/>
      </c>
      <c r="M68" s="891" t="str">
        <f>IF($I68,$I68*TreatyCatch!BO239/SUM(TreatyCatch!$BL239:$BM239,TreatyCatch!$BO239:$BP239),"")</f>
        <v/>
      </c>
      <c r="N68" s="892" t="str">
        <f>IF($I68,$I68*TreatyCatch!BP239/SUM(TreatyCatch!$BL239:$BM239,TreatyCatch!$BO239:$BP239),"")</f>
        <v/>
      </c>
      <c r="O68" s="875" t="str">
        <f t="shared" ref="O68:O93" si="29">IFERROR(M68+N$5*N68,"")</f>
        <v/>
      </c>
      <c r="P68" s="773"/>
      <c r="Q68" s="880" t="str">
        <f>IF($P68,$P68*TreatyCatch!BR239/SUM(TreatyCatch!$BR239:$BS239,TreatyCatch!$BU239:$BV239),"")</f>
        <v/>
      </c>
      <c r="R68" s="881" t="str">
        <f>IF($P68,$P68*TreatyCatch!BS239/SUM(TreatyCatch!$BR239:$BS239,TreatyCatch!$BU239:$BV239),"")</f>
        <v/>
      </c>
      <c r="S68" s="869" t="str">
        <f>IFERROR(Q68+U$5*R68,"")</f>
        <v/>
      </c>
      <c r="T68" s="863" t="str">
        <f>IF($P68,$P68*TreatyCatch!BU239/SUM(TreatyCatch!$BR239:$BS239,TreatyCatch!$BU239:$BV239),"")</f>
        <v/>
      </c>
      <c r="U68" s="864" t="str">
        <f>IF($P68,$P68*TreatyCatch!BV239/SUM(TreatyCatch!$BR239:$BS239,TreatyCatch!$BU239:$BV239),"")</f>
        <v/>
      </c>
      <c r="V68" s="839" t="str">
        <f>IFERROR(T68+U$5*U68,"")</f>
        <v/>
      </c>
      <c r="W68" s="969"/>
      <c r="X68" s="850" t="str">
        <f>IF($W68,$W68*TreatyCatch!BX239/SUM(TreatyCatch!$BX239:$BY239,TreatyCatch!$CA239:$CB239),"")</f>
        <v/>
      </c>
      <c r="Y68" s="851" t="str">
        <f>IF($W68,$W68*TreatyCatch!BY239/SUM(TreatyCatch!$BX239:$BY239,TreatyCatch!$CA239:$CB239),"")</f>
        <v/>
      </c>
      <c r="Z68" s="845" t="str">
        <f>IFERROR(X68+AB$5*Y68,"")</f>
        <v/>
      </c>
      <c r="AA68" s="891" t="str">
        <f>IF($W68,$W68*TreatyCatch!CA239/SUM(TreatyCatch!$BX239:$BY239,TreatyCatch!$CA239:$CB239),"")</f>
        <v/>
      </c>
      <c r="AB68" s="892" t="str">
        <f>IF($W68,$W68*TreatyCatch!CB239/SUM(TreatyCatch!$BX239:$BY239,TreatyCatch!$CA239:$CB239),"")</f>
        <v/>
      </c>
      <c r="AC68" s="875" t="str">
        <f>IFERROR(AA68+AB$5*AB68,"")</f>
        <v/>
      </c>
      <c r="AD68" s="969"/>
      <c r="AE68" s="1050" t="str">
        <f>IF($AD68,$AD68*TreatyCatch!CD298/SUM(TreatyCatch!$CD298:$CE298,TreatyCatch!$CG298:$CH298),"")</f>
        <v/>
      </c>
      <c r="AF68" s="1051" t="str">
        <f>IF($AD68,$AD68*TreatyCatch!CE298/SUM(TreatyCatch!$CD298:$CE298,TreatyCatch!$CG298:$CH298),"")</f>
        <v/>
      </c>
      <c r="AG68" s="1052" t="str">
        <f>IFERROR(AE68+AI$5*AF68,"")</f>
        <v/>
      </c>
      <c r="AH68" s="1053" t="str">
        <f>IF($AD68,$AD68*TreatyCatch!CG298/SUM(TreatyCatch!$CD298:CE298,TreatyCatch!$CG298:$CH298),"")</f>
        <v/>
      </c>
      <c r="AI68" s="1053" t="str">
        <f>IF($AD68,$AD68*TreatyCatch!CH298/SUM(TreatyCatch!$CD298:CF298,TreatyCatch!$CG298:$CH298),"")</f>
        <v/>
      </c>
      <c r="AJ68" s="1055" t="str">
        <f>IFERROR(AH68+AI$5*AI68,"")</f>
        <v/>
      </c>
      <c r="AK68" s="969"/>
      <c r="AL68" s="850"/>
      <c r="AM68" s="851"/>
      <c r="AN68" s="845"/>
      <c r="AO68" s="891"/>
      <c r="AP68" s="892"/>
      <c r="AQ68" s="875"/>
      <c r="AR68" s="773"/>
      <c r="AS68" s="880"/>
      <c r="AT68" s="881"/>
      <c r="AU68" s="869"/>
      <c r="AV68" s="863"/>
      <c r="AW68" s="864"/>
      <c r="AX68" s="839"/>
      <c r="AY68" s="773"/>
      <c r="AZ68" s="850"/>
      <c r="BA68" s="851"/>
      <c r="BB68" s="845"/>
      <c r="BC68" s="891"/>
      <c r="BD68" s="892"/>
      <c r="BE68" s="875"/>
      <c r="BF68" s="773"/>
      <c r="BG68" s="880"/>
      <c r="BH68" s="881"/>
      <c r="BI68" s="869"/>
      <c r="BJ68" s="863"/>
      <c r="BK68" s="864"/>
      <c r="BL68" s="839"/>
      <c r="BM68" s="773"/>
      <c r="BN68" s="850"/>
      <c r="BO68" s="851"/>
      <c r="BP68" s="845"/>
      <c r="BQ68" s="891"/>
      <c r="BR68" s="892"/>
      <c r="BS68" s="875"/>
      <c r="BT68" s="773"/>
      <c r="BU68" s="880"/>
      <c r="BV68" s="881"/>
      <c r="BW68" s="869"/>
      <c r="BX68" s="863"/>
      <c r="BY68" s="864"/>
      <c r="BZ68" s="839"/>
      <c r="CA68" s="773"/>
      <c r="CB68" s="850"/>
      <c r="CC68" s="851"/>
      <c r="CD68" s="845"/>
      <c r="CE68" s="891"/>
      <c r="CF68" s="892"/>
      <c r="CG68" s="875"/>
      <c r="CH68" s="773"/>
      <c r="CI68" s="880"/>
      <c r="CJ68" s="881"/>
      <c r="CK68" s="869"/>
      <c r="CL68" s="863"/>
      <c r="CM68" s="864"/>
      <c r="CN68" s="839"/>
    </row>
    <row r="69" spans="1:92" x14ac:dyDescent="0.25">
      <c r="A69" s="757">
        <v>2</v>
      </c>
      <c r="B69" s="765"/>
      <c r="C69" s="870" t="str">
        <f>IF($B69,$B69*TreatyCatch!BF240/SUM(TreatyCatch!$BF240:$BG240,TreatyCatch!$BI240:$BJ240),"")</f>
        <v/>
      </c>
      <c r="D69" s="870" t="str">
        <f>IF($B69,$B69*TreatyCatch!BG240/SUM(TreatyCatch!$BF240:$BG240,TreatyCatch!$BI240:$BJ240),"")</f>
        <v/>
      </c>
      <c r="E69" s="871" t="str">
        <f t="shared" ref="E69:E84" si="30">IFERROR(C69+0.0661*D69,"")</f>
        <v/>
      </c>
      <c r="F69" s="838" t="str">
        <f>IF($B69,$B69*TreatyCatch!BI240/SUM(TreatyCatch!$BF240:$BG240,TreatyCatch!$BI240:$BJ240),"")</f>
        <v/>
      </c>
      <c r="G69" s="866" t="str">
        <f>IF($B69,$B69*TreatyCatch!BJ240/SUM(TreatyCatch!$BF240:$BG240,TreatyCatch!$BI240:$BJ240),"")</f>
        <v/>
      </c>
      <c r="H69" s="840" t="str">
        <f t="shared" ref="H69:H93" si="31">IFERROR(F69+0.0661*G69,"")</f>
        <v/>
      </c>
      <c r="I69" s="765"/>
      <c r="J69" s="852" t="str">
        <f>IF($I69,$I69*TreatyCatch!BL240/SUM(TreatyCatch!$BL240:$BM240,TreatyCatch!$BO240:$BP240),"")</f>
        <v/>
      </c>
      <c r="K69" s="853" t="str">
        <f>IF($I69,$I69*TreatyCatch!BM240/SUM(TreatyCatch!$BL240:$BM240,TreatyCatch!$BO240:$BP240),"")</f>
        <v/>
      </c>
      <c r="L69" s="846" t="str">
        <f t="shared" si="28"/>
        <v/>
      </c>
      <c r="M69" s="893" t="str">
        <f>IF($I69,$I69*TreatyCatch!BO240/SUM(TreatyCatch!$BL240:$BM240,TreatyCatch!$BO240:$BP240),"")</f>
        <v/>
      </c>
      <c r="N69" s="894" t="str">
        <f>IF($I69,$I69*TreatyCatch!BP240/SUM(TreatyCatch!$BL240:$BM240,TreatyCatch!$BO240:$BP240),"")</f>
        <v/>
      </c>
      <c r="O69" s="877" t="str">
        <f t="shared" si="29"/>
        <v/>
      </c>
      <c r="P69" s="765"/>
      <c r="Q69" s="882" t="str">
        <f>IF($P69,$P69*TreatyCatch!BR240/SUM(TreatyCatch!$BR240:$BS240,TreatyCatch!$BU240:$BV240),"")</f>
        <v/>
      </c>
      <c r="R69" s="883" t="str">
        <f>IF($P69,$P69*TreatyCatch!BS240/SUM(TreatyCatch!$BR240:$BS240,TreatyCatch!$BU240:$BV240),"")</f>
        <v/>
      </c>
      <c r="S69" s="871" t="str">
        <f t="shared" ref="S69:S84" si="32">IFERROR(Q69+U$5*R69,"")</f>
        <v/>
      </c>
      <c r="T69" s="858" t="str">
        <f>IF($P69,$P69*TreatyCatch!BU240/SUM(TreatyCatch!$BR240:$BS240,TreatyCatch!$BU240:$BV240),"")</f>
        <v/>
      </c>
      <c r="U69" s="859" t="str">
        <f>IF($P69,$P69*TreatyCatch!BV240/SUM(TreatyCatch!$BR240:$BS240,TreatyCatch!$BU240:$BV240),"")</f>
        <v/>
      </c>
      <c r="V69" s="840" t="str">
        <f t="shared" ref="V69:V93" si="33">IFERROR(T69+U$5*U69,"")</f>
        <v/>
      </c>
      <c r="W69" s="958"/>
      <c r="X69" s="852" t="str">
        <f>IF($W69,$W69*TreatyCatch!BX240/SUM(TreatyCatch!$BX240:$BY240,TreatyCatch!$CA240:$CB240),"")</f>
        <v/>
      </c>
      <c r="Y69" s="853" t="str">
        <f>IF($W69,$W69*TreatyCatch!BY240/SUM(TreatyCatch!$BX240:$BY240,TreatyCatch!$CA240:$CB240),"")</f>
        <v/>
      </c>
      <c r="Z69" s="846" t="str">
        <f t="shared" ref="Z69:Z84" si="34">IFERROR(X69+AB$5*Y69,"")</f>
        <v/>
      </c>
      <c r="AA69" s="893" t="str">
        <f>IF($W69,$W69*TreatyCatch!CA240/SUM(TreatyCatch!$BX240:$BY240,TreatyCatch!$CA240:$CB240),"")</f>
        <v/>
      </c>
      <c r="AB69" s="894" t="str">
        <f>IF($W69,$W69*TreatyCatch!CB240/SUM(TreatyCatch!$BX240:$BY240,TreatyCatch!$CA240:$CB240),"")</f>
        <v/>
      </c>
      <c r="AC69" s="877" t="str">
        <f t="shared" ref="AC69:AC93" si="35">IFERROR(AA69+AB$5*AB69,"")</f>
        <v/>
      </c>
      <c r="AD69" s="958"/>
      <c r="AE69" s="1056" t="str">
        <f>IF($AD69,$AD69*TreatyCatch!CD299/SUM(TreatyCatch!$CD299:$CE299,TreatyCatch!$CG299:$CH299),"")</f>
        <v/>
      </c>
      <c r="AF69" s="1057" t="str">
        <f>IF($AD69,$AD69*TreatyCatch!CE299/SUM(TreatyCatch!$CD299:$CE299,TreatyCatch!$CG299:$CH299),"")</f>
        <v/>
      </c>
      <c r="AG69" s="1058" t="str">
        <f t="shared" ref="AG69:AG84" si="36">IFERROR(AE69+AI$5*AF69,"")</f>
        <v/>
      </c>
      <c r="AH69" s="1059" t="str">
        <f>IF($AD69,$AD69*TreatyCatch!CG299/SUM(TreatyCatch!$CD299:CE299,TreatyCatch!$CG299:$CH299),"")</f>
        <v/>
      </c>
      <c r="AI69" s="1060" t="str">
        <f>IF($AD69,$AD69*TreatyCatch!CH299/SUM(TreatyCatch!$CD299:CF299,TreatyCatch!$CG299:$CH299),"")</f>
        <v/>
      </c>
      <c r="AJ69" s="1061" t="str">
        <f t="shared" ref="AJ69:AJ93" si="37">IFERROR(AH69+AI$5*AI69,"")</f>
        <v/>
      </c>
      <c r="AK69" s="958"/>
      <c r="AL69" s="852"/>
      <c r="AM69" s="853"/>
      <c r="AN69" s="846"/>
      <c r="AO69" s="893"/>
      <c r="AP69" s="894"/>
      <c r="AQ69" s="877"/>
      <c r="AR69" s="765"/>
      <c r="AS69" s="882"/>
      <c r="AT69" s="883"/>
      <c r="AU69" s="871"/>
      <c r="AV69" s="858"/>
      <c r="AW69" s="859"/>
      <c r="AX69" s="840"/>
      <c r="AY69" s="765"/>
      <c r="AZ69" s="852"/>
      <c r="BA69" s="853"/>
      <c r="BB69" s="846"/>
      <c r="BC69" s="893"/>
      <c r="BD69" s="894"/>
      <c r="BE69" s="877"/>
      <c r="BF69" s="765"/>
      <c r="BG69" s="882"/>
      <c r="BH69" s="883"/>
      <c r="BI69" s="871"/>
      <c r="BJ69" s="858"/>
      <c r="BK69" s="859"/>
      <c r="BL69" s="840"/>
      <c r="BM69" s="765"/>
      <c r="BN69" s="852"/>
      <c r="BO69" s="853"/>
      <c r="BP69" s="846"/>
      <c r="BQ69" s="893"/>
      <c r="BR69" s="894"/>
      <c r="BS69" s="877"/>
      <c r="BT69" s="765"/>
      <c r="BU69" s="882"/>
      <c r="BV69" s="883"/>
      <c r="BW69" s="871"/>
      <c r="BX69" s="858"/>
      <c r="BY69" s="859"/>
      <c r="BZ69" s="840"/>
      <c r="CA69" s="765"/>
      <c r="CB69" s="852"/>
      <c r="CC69" s="853"/>
      <c r="CD69" s="846"/>
      <c r="CE69" s="893"/>
      <c r="CF69" s="894"/>
      <c r="CG69" s="877"/>
      <c r="CH69" s="765"/>
      <c r="CI69" s="882"/>
      <c r="CJ69" s="883"/>
      <c r="CK69" s="871"/>
      <c r="CL69" s="858"/>
      <c r="CM69" s="859"/>
      <c r="CN69" s="840"/>
    </row>
    <row r="70" spans="1:92" x14ac:dyDescent="0.25">
      <c r="A70" s="757">
        <v>3</v>
      </c>
      <c r="B70" s="765"/>
      <c r="C70" s="870" t="str">
        <f>IF($B70,$B70*TreatyCatch!BF241/SUM(TreatyCatch!$BF241:$BG241,TreatyCatch!$BI241:$BJ241),"")</f>
        <v/>
      </c>
      <c r="D70" s="870" t="str">
        <f>IF($B70,$B70*TreatyCatch!BG241/SUM(TreatyCatch!$BF241:$BG241,TreatyCatch!$BI241:$BJ241),"")</f>
        <v/>
      </c>
      <c r="E70" s="871" t="str">
        <f t="shared" si="30"/>
        <v/>
      </c>
      <c r="F70" s="838" t="str">
        <f>IF($B70,$B70*TreatyCatch!BI241/SUM(TreatyCatch!$BF241:$BG241,TreatyCatch!$BI241:$BJ241),"")</f>
        <v/>
      </c>
      <c r="G70" s="866" t="str">
        <f>IF($B70,$B70*TreatyCatch!BJ241/SUM(TreatyCatch!$BF241:$BG241,TreatyCatch!$BI241:$BJ241),"")</f>
        <v/>
      </c>
      <c r="H70" s="840" t="str">
        <f t="shared" si="31"/>
        <v/>
      </c>
      <c r="I70" s="765"/>
      <c r="J70" s="852" t="str">
        <f>IF($I70,$I70*TreatyCatch!BL241/SUM(TreatyCatch!$BL241:$BM241,TreatyCatch!$BO241:$BP241),"")</f>
        <v/>
      </c>
      <c r="K70" s="853" t="str">
        <f>IF($I70,$I70*TreatyCatch!BM241/SUM(TreatyCatch!$BL241:$BM241,TreatyCatch!$BO241:$BP241),"")</f>
        <v/>
      </c>
      <c r="L70" s="846" t="str">
        <f t="shared" si="28"/>
        <v/>
      </c>
      <c r="M70" s="893" t="str">
        <f>IF($I70,$I70*TreatyCatch!BO241/SUM(TreatyCatch!$BL241:$BM241,TreatyCatch!$BO241:$BP241),"")</f>
        <v/>
      </c>
      <c r="N70" s="894" t="str">
        <f>IF($I70,$I70*TreatyCatch!BP241/SUM(TreatyCatch!$BL241:$BM241,TreatyCatch!$BO241:$BP241),"")</f>
        <v/>
      </c>
      <c r="O70" s="877" t="str">
        <f t="shared" si="29"/>
        <v/>
      </c>
      <c r="P70" s="765"/>
      <c r="Q70" s="882" t="str">
        <f>IF($P70,$P70*TreatyCatch!BR241/SUM(TreatyCatch!$BR241:$BS241,TreatyCatch!$BU241:$BV241),"")</f>
        <v/>
      </c>
      <c r="R70" s="883" t="str">
        <f>IF($P70,$P70*TreatyCatch!BS241/SUM(TreatyCatch!$BR241:$BS241,TreatyCatch!$BU241:$BV241),"")</f>
        <v/>
      </c>
      <c r="S70" s="871" t="str">
        <f t="shared" si="32"/>
        <v/>
      </c>
      <c r="T70" s="858" t="str">
        <f>IF($P70,$P70*TreatyCatch!BU241/SUM(TreatyCatch!$BR241:$BS241,TreatyCatch!$BU241:$BV241),"")</f>
        <v/>
      </c>
      <c r="U70" s="859" t="str">
        <f>IF($P70,$P70*TreatyCatch!BV241/SUM(TreatyCatch!$BR241:$BS241,TreatyCatch!$BU241:$BV241),"")</f>
        <v/>
      </c>
      <c r="V70" s="840" t="str">
        <f t="shared" si="33"/>
        <v/>
      </c>
      <c r="W70" s="958"/>
      <c r="X70" s="852" t="str">
        <f>IF($W70,$W70*TreatyCatch!BX241/SUM(TreatyCatch!$BX241:$BY241,TreatyCatch!$CA241:$CB241),"")</f>
        <v/>
      </c>
      <c r="Y70" s="853" t="str">
        <f>IF($W70,$W70*TreatyCatch!BY241/SUM(TreatyCatch!$BX241:$BY241,TreatyCatch!$CA241:$CB241),"")</f>
        <v/>
      </c>
      <c r="Z70" s="846" t="str">
        <f t="shared" si="34"/>
        <v/>
      </c>
      <c r="AA70" s="893" t="str">
        <f>IF($W70,$W70*TreatyCatch!CA241/SUM(TreatyCatch!$BX241:$BY241,TreatyCatch!$CA241:$CB241),"")</f>
        <v/>
      </c>
      <c r="AB70" s="894" t="str">
        <f>IF($W70,$W70*TreatyCatch!CB241/SUM(TreatyCatch!$BX241:$BY241,TreatyCatch!$CA241:$CB241),"")</f>
        <v/>
      </c>
      <c r="AC70" s="877" t="str">
        <f t="shared" si="35"/>
        <v/>
      </c>
      <c r="AD70" s="958"/>
      <c r="AE70" s="1056" t="str">
        <f>IF($AD70,$AD70*TreatyCatch!CD300/SUM(TreatyCatch!$CD300:$CE300,TreatyCatch!$CG300:$CH300),"")</f>
        <v/>
      </c>
      <c r="AF70" s="1057" t="str">
        <f>IF($AD70,$AD70*TreatyCatch!CE300/SUM(TreatyCatch!$CD300:$CE300,TreatyCatch!$CG300:$CH300),"")</f>
        <v/>
      </c>
      <c r="AG70" s="1058" t="str">
        <f t="shared" si="36"/>
        <v/>
      </c>
      <c r="AH70" s="1059" t="str">
        <f>IF($AD70,$AD70*TreatyCatch!CG300/SUM(TreatyCatch!$CD300:CE300,TreatyCatch!$CG300:$CH300),"")</f>
        <v/>
      </c>
      <c r="AI70" s="1060" t="str">
        <f>IF($AD70,$AD70*TreatyCatch!CH300/SUM(TreatyCatch!$CD300:CF300,TreatyCatch!$CG300:$CH300),"")</f>
        <v/>
      </c>
      <c r="AJ70" s="1061" t="str">
        <f t="shared" si="37"/>
        <v/>
      </c>
      <c r="AK70" s="958"/>
      <c r="AL70" s="852"/>
      <c r="AM70" s="853"/>
      <c r="AN70" s="846"/>
      <c r="AO70" s="893"/>
      <c r="AP70" s="894"/>
      <c r="AQ70" s="877"/>
      <c r="AR70" s="765"/>
      <c r="AS70" s="882"/>
      <c r="AT70" s="883"/>
      <c r="AU70" s="871"/>
      <c r="AV70" s="858"/>
      <c r="AW70" s="859"/>
      <c r="AX70" s="840"/>
      <c r="AY70" s="765"/>
      <c r="AZ70" s="852"/>
      <c r="BA70" s="853"/>
      <c r="BB70" s="846"/>
      <c r="BC70" s="893"/>
      <c r="BD70" s="894"/>
      <c r="BE70" s="877"/>
      <c r="BF70" s="765"/>
      <c r="BG70" s="882"/>
      <c r="BH70" s="883"/>
      <c r="BI70" s="871"/>
      <c r="BJ70" s="858"/>
      <c r="BK70" s="859"/>
      <c r="BL70" s="840"/>
      <c r="BM70" s="765"/>
      <c r="BN70" s="852"/>
      <c r="BO70" s="853"/>
      <c r="BP70" s="846"/>
      <c r="BQ70" s="893"/>
      <c r="BR70" s="894"/>
      <c r="BS70" s="877"/>
      <c r="BT70" s="765"/>
      <c r="BU70" s="882"/>
      <c r="BV70" s="883"/>
      <c r="BW70" s="871"/>
      <c r="BX70" s="858"/>
      <c r="BY70" s="859"/>
      <c r="BZ70" s="840"/>
      <c r="CA70" s="765"/>
      <c r="CB70" s="852"/>
      <c r="CC70" s="853"/>
      <c r="CD70" s="846"/>
      <c r="CE70" s="893"/>
      <c r="CF70" s="894"/>
      <c r="CG70" s="877"/>
      <c r="CH70" s="765"/>
      <c r="CI70" s="882"/>
      <c r="CJ70" s="883"/>
      <c r="CK70" s="871"/>
      <c r="CL70" s="858"/>
      <c r="CM70" s="859"/>
      <c r="CN70" s="840"/>
    </row>
    <row r="71" spans="1:92" x14ac:dyDescent="0.25">
      <c r="A71" s="757">
        <v>4</v>
      </c>
      <c r="B71" s="765"/>
      <c r="C71" s="870" t="str">
        <f>IF($B71,$B71*TreatyCatch!BF242/SUM(TreatyCatch!$BF242:$BG242,TreatyCatch!$BI242:$BJ242),"")</f>
        <v/>
      </c>
      <c r="D71" s="870" t="str">
        <f>IF($B71,$B71*TreatyCatch!BG242/SUM(TreatyCatch!$BF242:$BG242,TreatyCatch!$BI242:$BJ242),"")</f>
        <v/>
      </c>
      <c r="E71" s="871" t="str">
        <f t="shared" si="30"/>
        <v/>
      </c>
      <c r="F71" s="838" t="str">
        <f>IF($B71,$B71*TreatyCatch!BI242/SUM(TreatyCatch!$BF242:$BG242,TreatyCatch!$BI242:$BJ242),"")</f>
        <v/>
      </c>
      <c r="G71" s="866" t="str">
        <f>IF($B71,$B71*TreatyCatch!BJ242/SUM(TreatyCatch!$BF242:$BG242,TreatyCatch!$BI242:$BJ242),"")</f>
        <v/>
      </c>
      <c r="H71" s="840" t="str">
        <f t="shared" si="31"/>
        <v/>
      </c>
      <c r="I71" s="765"/>
      <c r="J71" s="852" t="str">
        <f>IF($I71,$I71*TreatyCatch!BL242/SUM(TreatyCatch!$BL242:$BM242,TreatyCatch!$BO242:$BP242),"")</f>
        <v/>
      </c>
      <c r="K71" s="853" t="str">
        <f>IF($I71,$I71*TreatyCatch!BM242/SUM(TreatyCatch!$BL242:$BM242,TreatyCatch!$BO242:$BP242),"")</f>
        <v/>
      </c>
      <c r="L71" s="846" t="str">
        <f t="shared" si="28"/>
        <v/>
      </c>
      <c r="M71" s="893" t="str">
        <f>IF($I71,$I71*TreatyCatch!BO242/SUM(TreatyCatch!$BL242:$BM242,TreatyCatch!$BO242:$BP242),"")</f>
        <v/>
      </c>
      <c r="N71" s="894" t="str">
        <f>IF($I71,$I71*TreatyCatch!BP242/SUM(TreatyCatch!$BL242:$BM242,TreatyCatch!$BO242:$BP242),"")</f>
        <v/>
      </c>
      <c r="O71" s="877" t="str">
        <f t="shared" si="29"/>
        <v/>
      </c>
      <c r="P71" s="765"/>
      <c r="Q71" s="882" t="str">
        <f>IF($P71,$P71*TreatyCatch!BR242/SUM(TreatyCatch!$BR242:$BS242,TreatyCatch!$BU242:$BV242),"")</f>
        <v/>
      </c>
      <c r="R71" s="883" t="str">
        <f>IF($P71,$P71*TreatyCatch!BS242/SUM(TreatyCatch!$BR242:$BS242,TreatyCatch!$BU242:$BV242),"")</f>
        <v/>
      </c>
      <c r="S71" s="871" t="str">
        <f t="shared" si="32"/>
        <v/>
      </c>
      <c r="T71" s="858" t="str">
        <f>IF($P71,$P71*TreatyCatch!BU242/SUM(TreatyCatch!$BR242:$BS242,TreatyCatch!$BU242:$BV242),"")</f>
        <v/>
      </c>
      <c r="U71" s="859" t="str">
        <f>IF($P71,$P71*TreatyCatch!BV242/SUM(TreatyCatch!$BR242:$BS242,TreatyCatch!$BU242:$BV242),"")</f>
        <v/>
      </c>
      <c r="V71" s="840" t="str">
        <f t="shared" si="33"/>
        <v/>
      </c>
      <c r="W71" s="958"/>
      <c r="X71" s="852" t="str">
        <f>IF($W71,$W71*TreatyCatch!BX242/SUM(TreatyCatch!$BX242:$BY242,TreatyCatch!$CA242:$CB242),"")</f>
        <v/>
      </c>
      <c r="Y71" s="853" t="str">
        <f>IF($W71,$W71*TreatyCatch!BY242/SUM(TreatyCatch!$BX242:$BY242,TreatyCatch!$CA242:$CB242),"")</f>
        <v/>
      </c>
      <c r="Z71" s="846" t="str">
        <f t="shared" si="34"/>
        <v/>
      </c>
      <c r="AA71" s="893" t="str">
        <f>IF($W71,$W71*TreatyCatch!CA242/SUM(TreatyCatch!$BX242:$BY242,TreatyCatch!$CA242:$CB242),"")</f>
        <v/>
      </c>
      <c r="AB71" s="894" t="str">
        <f>IF($W71,$W71*TreatyCatch!CB242/SUM(TreatyCatch!$BX242:$BY242,TreatyCatch!$CA242:$CB242),"")</f>
        <v/>
      </c>
      <c r="AC71" s="877" t="str">
        <f t="shared" si="35"/>
        <v/>
      </c>
      <c r="AD71" s="958"/>
      <c r="AE71" s="1056" t="str">
        <f>IF($AD71,$AD71*TreatyCatch!CD301/SUM(TreatyCatch!$CD301:$CE301,TreatyCatch!$CG301:$CH301),"")</f>
        <v/>
      </c>
      <c r="AF71" s="1057" t="str">
        <f>IF($AD71,$AD71*TreatyCatch!CE301/SUM(TreatyCatch!$CD301:$CE301,TreatyCatch!$CG301:$CH301),"")</f>
        <v/>
      </c>
      <c r="AG71" s="1058" t="str">
        <f t="shared" si="36"/>
        <v/>
      </c>
      <c r="AH71" s="1059" t="str">
        <f>IF($AD71,$AD71*TreatyCatch!CG301/SUM(TreatyCatch!$CD301:CE301,TreatyCatch!$CG301:$CH301),"")</f>
        <v/>
      </c>
      <c r="AI71" s="1060" t="str">
        <f>IF($AD71,$AD71*TreatyCatch!CH301/SUM(TreatyCatch!$CD301:CF301,TreatyCatch!$CG301:$CH301),"")</f>
        <v/>
      </c>
      <c r="AJ71" s="1061" t="str">
        <f t="shared" si="37"/>
        <v/>
      </c>
      <c r="AK71" s="958"/>
      <c r="AL71" s="852"/>
      <c r="AM71" s="853"/>
      <c r="AN71" s="846"/>
      <c r="AO71" s="893"/>
      <c r="AP71" s="894"/>
      <c r="AQ71" s="877"/>
      <c r="AR71" s="765"/>
      <c r="AS71" s="882"/>
      <c r="AT71" s="883"/>
      <c r="AU71" s="871"/>
      <c r="AV71" s="858"/>
      <c r="AW71" s="859"/>
      <c r="AX71" s="840"/>
      <c r="AY71" s="765"/>
      <c r="AZ71" s="852"/>
      <c r="BA71" s="853"/>
      <c r="BB71" s="846"/>
      <c r="BC71" s="893"/>
      <c r="BD71" s="894"/>
      <c r="BE71" s="877"/>
      <c r="BF71" s="765"/>
      <c r="BG71" s="882"/>
      <c r="BH71" s="883"/>
      <c r="BI71" s="871"/>
      <c r="BJ71" s="858"/>
      <c r="BK71" s="859"/>
      <c r="BL71" s="840"/>
      <c r="BM71" s="765"/>
      <c r="BN71" s="852"/>
      <c r="BO71" s="853"/>
      <c r="BP71" s="846"/>
      <c r="BQ71" s="893"/>
      <c r="BR71" s="894"/>
      <c r="BS71" s="877"/>
      <c r="BT71" s="765"/>
      <c r="BU71" s="882"/>
      <c r="BV71" s="883"/>
      <c r="BW71" s="871"/>
      <c r="BX71" s="858"/>
      <c r="BY71" s="859"/>
      <c r="BZ71" s="840"/>
      <c r="CA71" s="765"/>
      <c r="CB71" s="852"/>
      <c r="CC71" s="853"/>
      <c r="CD71" s="846"/>
      <c r="CE71" s="893"/>
      <c r="CF71" s="894"/>
      <c r="CG71" s="877"/>
      <c r="CH71" s="765"/>
      <c r="CI71" s="882"/>
      <c r="CJ71" s="883"/>
      <c r="CK71" s="871"/>
      <c r="CL71" s="858"/>
      <c r="CM71" s="859"/>
      <c r="CN71" s="840"/>
    </row>
    <row r="72" spans="1:92" x14ac:dyDescent="0.25">
      <c r="A72" s="757">
        <v>5</v>
      </c>
      <c r="B72" s="765"/>
      <c r="C72" s="870" t="str">
        <f>IF($B72,$B72*TreatyCatch!BF243/SUM(TreatyCatch!$BF243:$BG243,TreatyCatch!$BI243:$BJ243),"")</f>
        <v/>
      </c>
      <c r="D72" s="870" t="str">
        <f>IF($B72,$B72*TreatyCatch!BG243/SUM(TreatyCatch!$BF243:$BG243,TreatyCatch!$BI243:$BJ243),"")</f>
        <v/>
      </c>
      <c r="E72" s="871" t="str">
        <f t="shared" si="30"/>
        <v/>
      </c>
      <c r="F72" s="838" t="str">
        <f>IF($B72,$B72*TreatyCatch!BI243/SUM(TreatyCatch!$BF243:$BG243,TreatyCatch!$BI243:$BJ243),"")</f>
        <v/>
      </c>
      <c r="G72" s="866" t="str">
        <f>IF($B72,$B72*TreatyCatch!BJ243/SUM(TreatyCatch!$BF243:$BG243,TreatyCatch!$BI243:$BJ243),"")</f>
        <v/>
      </c>
      <c r="H72" s="840" t="str">
        <f t="shared" si="31"/>
        <v/>
      </c>
      <c r="I72" s="765"/>
      <c r="J72" s="852" t="str">
        <f>IF($I72,$I72*TreatyCatch!BL243/SUM(TreatyCatch!$BL243:$BM243,TreatyCatch!$BO243:$BP243),"")</f>
        <v/>
      </c>
      <c r="K72" s="853" t="str">
        <f>IF($I72,$I72*TreatyCatch!BM243/SUM(TreatyCatch!$BL243:$BM243,TreatyCatch!$BO243:$BP243),"")</f>
        <v/>
      </c>
      <c r="L72" s="846" t="str">
        <f t="shared" si="28"/>
        <v/>
      </c>
      <c r="M72" s="893" t="str">
        <f>IF($I72,$I72*TreatyCatch!BO243/SUM(TreatyCatch!$BL243:$BM243,TreatyCatch!$BO243:$BP243),"")</f>
        <v/>
      </c>
      <c r="N72" s="894" t="str">
        <f>IF($I72,$I72*TreatyCatch!BP243/SUM(TreatyCatch!$BL243:$BM243,TreatyCatch!$BO243:$BP243),"")</f>
        <v/>
      </c>
      <c r="O72" s="877" t="str">
        <f t="shared" si="29"/>
        <v/>
      </c>
      <c r="P72" s="765"/>
      <c r="Q72" s="882" t="str">
        <f>IF($P72,$P72*TreatyCatch!BR243/SUM(TreatyCatch!$BR243:$BS243,TreatyCatch!$BU243:$BV243),"")</f>
        <v/>
      </c>
      <c r="R72" s="883" t="str">
        <f>IF($P72,$P72*TreatyCatch!BS243/SUM(TreatyCatch!$BR243:$BS243,TreatyCatch!$BU243:$BV243),"")</f>
        <v/>
      </c>
      <c r="S72" s="871" t="str">
        <f t="shared" si="32"/>
        <v/>
      </c>
      <c r="T72" s="858" t="str">
        <f>IF($P72,$P72*TreatyCatch!BU243/SUM(TreatyCatch!$BR243:$BS243,TreatyCatch!$BU243:$BV243),"")</f>
        <v/>
      </c>
      <c r="U72" s="859" t="str">
        <f>IF($P72,$P72*TreatyCatch!BV243/SUM(TreatyCatch!$BR243:$BS243,TreatyCatch!$BU243:$BV243),"")</f>
        <v/>
      </c>
      <c r="V72" s="840" t="str">
        <f t="shared" si="33"/>
        <v/>
      </c>
      <c r="W72" s="958"/>
      <c r="X72" s="852" t="str">
        <f>IF($W72,$W72*TreatyCatch!BX243/SUM(TreatyCatch!$BX243:$BY243,TreatyCatch!$CA243:$CB243),"")</f>
        <v/>
      </c>
      <c r="Y72" s="853" t="str">
        <f>IF($W72,$W72*TreatyCatch!BY243/SUM(TreatyCatch!$BX243:$BY243,TreatyCatch!$CA243:$CB243),"")</f>
        <v/>
      </c>
      <c r="Z72" s="846" t="str">
        <f t="shared" si="34"/>
        <v/>
      </c>
      <c r="AA72" s="893" t="str">
        <f>IF($W72,$W72*TreatyCatch!CA243/SUM(TreatyCatch!$BX243:$BY243,TreatyCatch!$CA243:$CB243),"")</f>
        <v/>
      </c>
      <c r="AB72" s="894" t="str">
        <f>IF($W72,$W72*TreatyCatch!CB243/SUM(TreatyCatch!$BX243:$BY243,TreatyCatch!$CA243:$CB243),"")</f>
        <v/>
      </c>
      <c r="AC72" s="877" t="str">
        <f t="shared" si="35"/>
        <v/>
      </c>
      <c r="AD72" s="958"/>
      <c r="AE72" s="1056" t="str">
        <f>IF($AD72,$AD72*TreatyCatch!CD302/SUM(TreatyCatch!$CD302:$CE302,TreatyCatch!$CG302:$CH302),"")</f>
        <v/>
      </c>
      <c r="AF72" s="1057" t="str">
        <f>IF($AD72,$AD72*TreatyCatch!CE302/SUM(TreatyCatch!$CD302:$CE302,TreatyCatch!$CG302:$CH302),"")</f>
        <v/>
      </c>
      <c r="AG72" s="1058" t="str">
        <f t="shared" si="36"/>
        <v/>
      </c>
      <c r="AH72" s="1059" t="str">
        <f>IF($AD72,$AD72*TreatyCatch!CG302/SUM(TreatyCatch!$CD302:CE302,TreatyCatch!$CG302:$CH302),"")</f>
        <v/>
      </c>
      <c r="AI72" s="1060" t="str">
        <f>IF($AD72,$AD72*TreatyCatch!CH302/SUM(TreatyCatch!$CD302:CF302,TreatyCatch!$CG302:$CH302),"")</f>
        <v/>
      </c>
      <c r="AJ72" s="1061" t="str">
        <f t="shared" si="37"/>
        <v/>
      </c>
      <c r="AK72" s="958"/>
      <c r="AL72" s="852"/>
      <c r="AM72" s="853"/>
      <c r="AN72" s="846"/>
      <c r="AO72" s="893"/>
      <c r="AP72" s="894"/>
      <c r="AQ72" s="877"/>
      <c r="AR72" s="765"/>
      <c r="AS72" s="882"/>
      <c r="AT72" s="883"/>
      <c r="AU72" s="871"/>
      <c r="AV72" s="858"/>
      <c r="AW72" s="859"/>
      <c r="AX72" s="840"/>
      <c r="AY72" s="765"/>
      <c r="AZ72" s="852"/>
      <c r="BA72" s="853"/>
      <c r="BB72" s="846"/>
      <c r="BC72" s="893"/>
      <c r="BD72" s="894"/>
      <c r="BE72" s="877"/>
      <c r="BF72" s="765"/>
      <c r="BG72" s="882"/>
      <c r="BH72" s="883"/>
      <c r="BI72" s="871"/>
      <c r="BJ72" s="858"/>
      <c r="BK72" s="859"/>
      <c r="BL72" s="840"/>
      <c r="BM72" s="765"/>
      <c r="BN72" s="852"/>
      <c r="BO72" s="853"/>
      <c r="BP72" s="846"/>
      <c r="BQ72" s="893"/>
      <c r="BR72" s="894"/>
      <c r="BS72" s="877"/>
      <c r="BT72" s="765"/>
      <c r="BU72" s="882"/>
      <c r="BV72" s="883"/>
      <c r="BW72" s="871"/>
      <c r="BX72" s="858"/>
      <c r="BY72" s="859"/>
      <c r="BZ72" s="840"/>
      <c r="CA72" s="765"/>
      <c r="CB72" s="852"/>
      <c r="CC72" s="853"/>
      <c r="CD72" s="846"/>
      <c r="CE72" s="893"/>
      <c r="CF72" s="894"/>
      <c r="CG72" s="877"/>
      <c r="CH72" s="765"/>
      <c r="CI72" s="882"/>
      <c r="CJ72" s="883"/>
      <c r="CK72" s="871"/>
      <c r="CL72" s="858"/>
      <c r="CM72" s="859"/>
      <c r="CN72" s="840"/>
    </row>
    <row r="73" spans="1:92" x14ac:dyDescent="0.25">
      <c r="A73" s="757">
        <v>6</v>
      </c>
      <c r="B73" s="765"/>
      <c r="C73" s="870" t="str">
        <f>IF($B73,$B73*TreatyCatch!BF244/SUM(TreatyCatch!$BF244:$BG244,TreatyCatch!$BI244:$BJ244),"")</f>
        <v/>
      </c>
      <c r="D73" s="870" t="str">
        <f>IF($B73,$B73*TreatyCatch!BG244/SUM(TreatyCatch!$BF244:$BG244,TreatyCatch!$BI244:$BJ244),"")</f>
        <v/>
      </c>
      <c r="E73" s="871" t="str">
        <f t="shared" si="30"/>
        <v/>
      </c>
      <c r="F73" s="838" t="str">
        <f>IF($B73,$B73*TreatyCatch!BI244/SUM(TreatyCatch!$BF244:$BG244,TreatyCatch!$BI244:$BJ244),"")</f>
        <v/>
      </c>
      <c r="G73" s="866" t="str">
        <f>IF($B73,$B73*TreatyCatch!BJ244/SUM(TreatyCatch!$BF244:$BG244,TreatyCatch!$BI244:$BJ244),"")</f>
        <v/>
      </c>
      <c r="H73" s="840" t="str">
        <f t="shared" si="31"/>
        <v/>
      </c>
      <c r="I73" s="765"/>
      <c r="J73" s="852" t="str">
        <f>IF($I73,$I73*TreatyCatch!BL244/SUM(TreatyCatch!$BL244:$BM244,TreatyCatch!$BO244:$BP244),"")</f>
        <v/>
      </c>
      <c r="K73" s="853" t="str">
        <f>IF($I73,$I73*TreatyCatch!BM244/SUM(TreatyCatch!$BL244:$BM244,TreatyCatch!$BO244:$BP244),"")</f>
        <v/>
      </c>
      <c r="L73" s="846" t="str">
        <f t="shared" si="28"/>
        <v/>
      </c>
      <c r="M73" s="893" t="str">
        <f>IF($I73,$I73*TreatyCatch!BO244/SUM(TreatyCatch!$BL244:$BM244,TreatyCatch!$BO244:$BP244),"")</f>
        <v/>
      </c>
      <c r="N73" s="894" t="str">
        <f>IF($I73,$I73*TreatyCatch!BP244/SUM(TreatyCatch!$BL244:$BM244,TreatyCatch!$BO244:$BP244),"")</f>
        <v/>
      </c>
      <c r="O73" s="877" t="str">
        <f t="shared" si="29"/>
        <v/>
      </c>
      <c r="P73" s="765"/>
      <c r="Q73" s="882" t="str">
        <f>IF($P73,$P73*TreatyCatch!BR244/SUM(TreatyCatch!$BR244:$BS244,TreatyCatch!$BU244:$BV244),"")</f>
        <v/>
      </c>
      <c r="R73" s="883" t="str">
        <f>IF($P73,$P73*TreatyCatch!BS244/SUM(TreatyCatch!$BR244:$BS244,TreatyCatch!$BU244:$BV244),"")</f>
        <v/>
      </c>
      <c r="S73" s="871" t="str">
        <f t="shared" si="32"/>
        <v/>
      </c>
      <c r="T73" s="858" t="str">
        <f>IF($P73,$P73*TreatyCatch!BU244/SUM(TreatyCatch!$BR244:$BS244,TreatyCatch!$BU244:$BV244),"")</f>
        <v/>
      </c>
      <c r="U73" s="859" t="str">
        <f>IF($P73,$P73*TreatyCatch!BV244/SUM(TreatyCatch!$BR244:$BS244,TreatyCatch!$BU244:$BV244),"")</f>
        <v/>
      </c>
      <c r="V73" s="840" t="str">
        <f t="shared" si="33"/>
        <v/>
      </c>
      <c r="W73" s="958"/>
      <c r="X73" s="852" t="str">
        <f>IF($W73,$W73*TreatyCatch!BX244/SUM(TreatyCatch!$BX244:$BY244,TreatyCatch!$CA244:$CB244),"")</f>
        <v/>
      </c>
      <c r="Y73" s="853" t="str">
        <f>IF($W73,$W73*TreatyCatch!BY244/SUM(TreatyCatch!$BX244:$BY244,TreatyCatch!$CA244:$CB244),"")</f>
        <v/>
      </c>
      <c r="Z73" s="846" t="str">
        <f t="shared" si="34"/>
        <v/>
      </c>
      <c r="AA73" s="893" t="str">
        <f>IF($W73,$W73*TreatyCatch!CA244/SUM(TreatyCatch!$BX244:$BY244,TreatyCatch!$CA244:$CB244),"")</f>
        <v/>
      </c>
      <c r="AB73" s="894" t="str">
        <f>IF($W73,$W73*TreatyCatch!CB244/SUM(TreatyCatch!$BX244:$BY244,TreatyCatch!$CA244:$CB244),"")</f>
        <v/>
      </c>
      <c r="AC73" s="877" t="str">
        <f t="shared" si="35"/>
        <v/>
      </c>
      <c r="AD73" s="958"/>
      <c r="AE73" s="1056" t="str">
        <f>IF($AD73,$AD73*TreatyCatch!CD303/SUM(TreatyCatch!$CD303:$CE303,TreatyCatch!$CG303:$CH303),"")</f>
        <v/>
      </c>
      <c r="AF73" s="1057" t="str">
        <f>IF($AD73,$AD73*TreatyCatch!CE303/SUM(TreatyCatch!$CD303:$CE303,TreatyCatch!$CG303:$CH303),"")</f>
        <v/>
      </c>
      <c r="AG73" s="1058" t="str">
        <f t="shared" si="36"/>
        <v/>
      </c>
      <c r="AH73" s="1059" t="str">
        <f>IF($AD73,$AD73*TreatyCatch!CG303/SUM(TreatyCatch!$CD303:CE303,TreatyCatch!$CG303:$CH303),"")</f>
        <v/>
      </c>
      <c r="AI73" s="1060" t="str">
        <f>IF($AD73,$AD73*TreatyCatch!CH303/SUM(TreatyCatch!$CD303:CF303,TreatyCatch!$CG303:$CH303),"")</f>
        <v/>
      </c>
      <c r="AJ73" s="1061" t="str">
        <f t="shared" si="37"/>
        <v/>
      </c>
      <c r="AK73" s="958"/>
      <c r="AL73" s="852"/>
      <c r="AM73" s="853"/>
      <c r="AN73" s="846"/>
      <c r="AO73" s="893"/>
      <c r="AP73" s="894"/>
      <c r="AQ73" s="877"/>
      <c r="AR73" s="765"/>
      <c r="AS73" s="882"/>
      <c r="AT73" s="883"/>
      <c r="AU73" s="871"/>
      <c r="AV73" s="858"/>
      <c r="AW73" s="859"/>
      <c r="AX73" s="840"/>
      <c r="AY73" s="765"/>
      <c r="AZ73" s="852"/>
      <c r="BA73" s="853"/>
      <c r="BB73" s="846"/>
      <c r="BC73" s="893"/>
      <c r="BD73" s="894"/>
      <c r="BE73" s="877"/>
      <c r="BF73" s="765"/>
      <c r="BG73" s="882"/>
      <c r="BH73" s="883"/>
      <c r="BI73" s="871"/>
      <c r="BJ73" s="858"/>
      <c r="BK73" s="859"/>
      <c r="BL73" s="840"/>
      <c r="BM73" s="765"/>
      <c r="BN73" s="852"/>
      <c r="BO73" s="853"/>
      <c r="BP73" s="846"/>
      <c r="BQ73" s="893"/>
      <c r="BR73" s="894"/>
      <c r="BS73" s="877"/>
      <c r="BT73" s="765"/>
      <c r="BU73" s="882"/>
      <c r="BV73" s="883"/>
      <c r="BW73" s="871"/>
      <c r="BX73" s="858"/>
      <c r="BY73" s="859"/>
      <c r="BZ73" s="840"/>
      <c r="CA73" s="765"/>
      <c r="CB73" s="852"/>
      <c r="CC73" s="853"/>
      <c r="CD73" s="846"/>
      <c r="CE73" s="893"/>
      <c r="CF73" s="894"/>
      <c r="CG73" s="877"/>
      <c r="CH73" s="765"/>
      <c r="CI73" s="882"/>
      <c r="CJ73" s="883"/>
      <c r="CK73" s="871"/>
      <c r="CL73" s="858"/>
      <c r="CM73" s="859"/>
      <c r="CN73" s="840"/>
    </row>
    <row r="74" spans="1:92" x14ac:dyDescent="0.25">
      <c r="A74" s="757">
        <v>7</v>
      </c>
      <c r="B74" s="765"/>
      <c r="C74" s="870" t="str">
        <f>IF($B74,$B74*TreatyCatch!BF245/SUM(TreatyCatch!$BF245:$BG245,TreatyCatch!$BI245:$BJ245),"")</f>
        <v/>
      </c>
      <c r="D74" s="870" t="str">
        <f>IF($B74,$B74*TreatyCatch!BG245/SUM(TreatyCatch!$BF245:$BG245,TreatyCatch!$BI245:$BJ245),"")</f>
        <v/>
      </c>
      <c r="E74" s="871" t="str">
        <f t="shared" si="30"/>
        <v/>
      </c>
      <c r="F74" s="838" t="str">
        <f>IF($B74,$B74*TreatyCatch!BI245/SUM(TreatyCatch!$BF245:$BG245,TreatyCatch!$BI245:$BJ245),"")</f>
        <v/>
      </c>
      <c r="G74" s="866" t="str">
        <f>IF($B74,$B74*TreatyCatch!BJ245/SUM(TreatyCatch!$BF245:$BG245,TreatyCatch!$BI245:$BJ245),"")</f>
        <v/>
      </c>
      <c r="H74" s="840" t="str">
        <f t="shared" si="31"/>
        <v/>
      </c>
      <c r="I74" s="765"/>
      <c r="J74" s="852" t="str">
        <f>IF($I74,$I74*TreatyCatch!BL245/SUM(TreatyCatch!$BL245:$BM245,TreatyCatch!$BO245:$BP245),"")</f>
        <v/>
      </c>
      <c r="K74" s="853" t="str">
        <f>IF($I74,$I74*TreatyCatch!BM245/SUM(TreatyCatch!$BL245:$BM245,TreatyCatch!$BO245:$BP245),"")</f>
        <v/>
      </c>
      <c r="L74" s="846" t="str">
        <f t="shared" si="28"/>
        <v/>
      </c>
      <c r="M74" s="893" t="str">
        <f>IF($I74,$I74*TreatyCatch!BO245/SUM(TreatyCatch!$BL245:$BM245,TreatyCatch!$BO245:$BP245),"")</f>
        <v/>
      </c>
      <c r="N74" s="894" t="str">
        <f>IF($I74,$I74*TreatyCatch!BP245/SUM(TreatyCatch!$BL245:$BM245,TreatyCatch!$BO245:$BP245),"")</f>
        <v/>
      </c>
      <c r="O74" s="877" t="str">
        <f t="shared" si="29"/>
        <v/>
      </c>
      <c r="P74" s="765"/>
      <c r="Q74" s="882" t="str">
        <f>IF($P74,$P74*TreatyCatch!BR245/SUM(TreatyCatch!$BR245:$BS245,TreatyCatch!$BU245:$BV245),"")</f>
        <v/>
      </c>
      <c r="R74" s="883" t="str">
        <f>IF($P74,$P74*TreatyCatch!BS245/SUM(TreatyCatch!$BR245:$BS245,TreatyCatch!$BU245:$BV245),"")</f>
        <v/>
      </c>
      <c r="S74" s="871" t="str">
        <f t="shared" si="32"/>
        <v/>
      </c>
      <c r="T74" s="858" t="str">
        <f>IF($P74,$P74*TreatyCatch!BU245/SUM(TreatyCatch!$BR245:$BS245,TreatyCatch!$BU245:$BV245),"")</f>
        <v/>
      </c>
      <c r="U74" s="859" t="str">
        <f>IF($P74,$P74*TreatyCatch!BV245/SUM(TreatyCatch!$BR245:$BS245,TreatyCatch!$BU245:$BV245),"")</f>
        <v/>
      </c>
      <c r="V74" s="840" t="str">
        <f t="shared" si="33"/>
        <v/>
      </c>
      <c r="W74" s="958"/>
      <c r="X74" s="852" t="str">
        <f>IF($W74,$W74*TreatyCatch!BX245/SUM(TreatyCatch!$BX245:$BY245,TreatyCatch!$CA245:$CB245),"")</f>
        <v/>
      </c>
      <c r="Y74" s="853" t="str">
        <f>IF($W74,$W74*TreatyCatch!BY245/SUM(TreatyCatch!$BX245:$BY245,TreatyCatch!$CA245:$CB245),"")</f>
        <v/>
      </c>
      <c r="Z74" s="846" t="str">
        <f t="shared" si="34"/>
        <v/>
      </c>
      <c r="AA74" s="893" t="str">
        <f>IF($W74,$W74*TreatyCatch!CA245/SUM(TreatyCatch!$BX245:$BY245,TreatyCatch!$CA245:$CB245),"")</f>
        <v/>
      </c>
      <c r="AB74" s="894" t="str">
        <f>IF($W74,$W74*TreatyCatch!CB245/SUM(TreatyCatch!$BX245:$BY245,TreatyCatch!$CA245:$CB245),"")</f>
        <v/>
      </c>
      <c r="AC74" s="877" t="str">
        <f t="shared" si="35"/>
        <v/>
      </c>
      <c r="AD74" s="958"/>
      <c r="AE74" s="1056" t="str">
        <f>IF($AD74,$AD74*TreatyCatch!CD304/SUM(TreatyCatch!$CD304:$CE304,TreatyCatch!$CG304:$CH304),"")</f>
        <v/>
      </c>
      <c r="AF74" s="1057" t="str">
        <f>IF($AD74,$AD74*TreatyCatch!CE304/SUM(TreatyCatch!$CD304:$CE304,TreatyCatch!$CG304:$CH304),"")</f>
        <v/>
      </c>
      <c r="AG74" s="1058" t="str">
        <f t="shared" si="36"/>
        <v/>
      </c>
      <c r="AH74" s="1059" t="str">
        <f>IF($AD74,$AD74*TreatyCatch!CG304/SUM(TreatyCatch!$CD304:CE304,TreatyCatch!$CG304:$CH304),"")</f>
        <v/>
      </c>
      <c r="AI74" s="1060" t="str">
        <f>IF($AD74,$AD74*TreatyCatch!CH304/SUM(TreatyCatch!$CD304:CF304,TreatyCatch!$CG304:$CH304),"")</f>
        <v/>
      </c>
      <c r="AJ74" s="1061" t="str">
        <f t="shared" si="37"/>
        <v/>
      </c>
      <c r="AK74" s="958"/>
      <c r="AL74" s="852"/>
      <c r="AM74" s="853"/>
      <c r="AN74" s="846"/>
      <c r="AO74" s="893"/>
      <c r="AP74" s="894"/>
      <c r="AQ74" s="877"/>
      <c r="AR74" s="765"/>
      <c r="AS74" s="882"/>
      <c r="AT74" s="883"/>
      <c r="AU74" s="871"/>
      <c r="AV74" s="858"/>
      <c r="AW74" s="859"/>
      <c r="AX74" s="840"/>
      <c r="AY74" s="765"/>
      <c r="AZ74" s="852"/>
      <c r="BA74" s="853"/>
      <c r="BB74" s="846"/>
      <c r="BC74" s="893"/>
      <c r="BD74" s="894"/>
      <c r="BE74" s="877"/>
      <c r="BF74" s="765"/>
      <c r="BG74" s="882"/>
      <c r="BH74" s="883"/>
      <c r="BI74" s="871"/>
      <c r="BJ74" s="858"/>
      <c r="BK74" s="859"/>
      <c r="BL74" s="840"/>
      <c r="BM74" s="765"/>
      <c r="BN74" s="852"/>
      <c r="BO74" s="853"/>
      <c r="BP74" s="846"/>
      <c r="BQ74" s="893"/>
      <c r="BR74" s="894"/>
      <c r="BS74" s="877"/>
      <c r="BT74" s="765"/>
      <c r="BU74" s="882"/>
      <c r="BV74" s="883"/>
      <c r="BW74" s="871"/>
      <c r="BX74" s="858"/>
      <c r="BY74" s="859"/>
      <c r="BZ74" s="840"/>
      <c r="CA74" s="765"/>
      <c r="CB74" s="852"/>
      <c r="CC74" s="853"/>
      <c r="CD74" s="846"/>
      <c r="CE74" s="893"/>
      <c r="CF74" s="894"/>
      <c r="CG74" s="877"/>
      <c r="CH74" s="765"/>
      <c r="CI74" s="882"/>
      <c r="CJ74" s="883"/>
      <c r="CK74" s="871"/>
      <c r="CL74" s="858"/>
      <c r="CM74" s="859"/>
      <c r="CN74" s="840"/>
    </row>
    <row r="75" spans="1:92" x14ac:dyDescent="0.25">
      <c r="A75" s="757">
        <v>8</v>
      </c>
      <c r="B75" s="765"/>
      <c r="C75" s="870" t="str">
        <f>IF($B75,$B75*TreatyCatch!BF246/SUM(TreatyCatch!$BF246:$BG246,TreatyCatch!$BI246:$BJ246),"")</f>
        <v/>
      </c>
      <c r="D75" s="870" t="str">
        <f>IF($B75,$B75*TreatyCatch!BG246/SUM(TreatyCatch!$BF246:$BG246,TreatyCatch!$BI246:$BJ246),"")</f>
        <v/>
      </c>
      <c r="E75" s="871" t="str">
        <f t="shared" si="30"/>
        <v/>
      </c>
      <c r="F75" s="838" t="str">
        <f>IF($B75,$B75*TreatyCatch!BI246/SUM(TreatyCatch!$BF246:$BG246,TreatyCatch!$BI246:$BJ246),"")</f>
        <v/>
      </c>
      <c r="G75" s="866" t="str">
        <f>IF($B75,$B75*TreatyCatch!BJ246/SUM(TreatyCatch!$BF246:$BG246,TreatyCatch!$BI246:$BJ246),"")</f>
        <v/>
      </c>
      <c r="H75" s="840" t="str">
        <f t="shared" si="31"/>
        <v/>
      </c>
      <c r="I75" s="765"/>
      <c r="J75" s="852" t="str">
        <f>IF($I75,$I75*TreatyCatch!BL246/SUM(TreatyCatch!$BL246:$BM246,TreatyCatch!$BO246:$BP246),"")</f>
        <v/>
      </c>
      <c r="K75" s="853" t="str">
        <f>IF($I75,$I75*TreatyCatch!BM246/SUM(TreatyCatch!$BL246:$BM246,TreatyCatch!$BO246:$BP246),"")</f>
        <v/>
      </c>
      <c r="L75" s="846" t="str">
        <f t="shared" si="28"/>
        <v/>
      </c>
      <c r="M75" s="893" t="str">
        <f>IF($I75,$I75*TreatyCatch!BO246/SUM(TreatyCatch!$BL246:$BM246,TreatyCatch!$BO246:$BP246),"")</f>
        <v/>
      </c>
      <c r="N75" s="894" t="str">
        <f>IF($I75,$I75*TreatyCatch!BP246/SUM(TreatyCatch!$BL246:$BM246,TreatyCatch!$BO246:$BP246),"")</f>
        <v/>
      </c>
      <c r="O75" s="877" t="str">
        <f t="shared" si="29"/>
        <v/>
      </c>
      <c r="P75" s="765"/>
      <c r="Q75" s="882" t="str">
        <f>IF($P75,$P75*TreatyCatch!BR246/SUM(TreatyCatch!$BR246:$BS246,TreatyCatch!$BU246:$BV246),"")</f>
        <v/>
      </c>
      <c r="R75" s="883" t="str">
        <f>IF($P75,$P75*TreatyCatch!BS246/SUM(TreatyCatch!$BR246:$BS246,TreatyCatch!$BU246:$BV246),"")</f>
        <v/>
      </c>
      <c r="S75" s="871" t="str">
        <f t="shared" si="32"/>
        <v/>
      </c>
      <c r="T75" s="858" t="str">
        <f>IF($P75,$P75*TreatyCatch!BU246/SUM(TreatyCatch!$BR246:$BS246,TreatyCatch!$BU246:$BV246),"")</f>
        <v/>
      </c>
      <c r="U75" s="859" t="str">
        <f>IF($P75,$P75*TreatyCatch!BV246/SUM(TreatyCatch!$BR246:$BS246,TreatyCatch!$BU246:$BV246),"")</f>
        <v/>
      </c>
      <c r="V75" s="840" t="str">
        <f t="shared" si="33"/>
        <v/>
      </c>
      <c r="W75" s="958"/>
      <c r="X75" s="852" t="str">
        <f>IF($W75,$W75*TreatyCatch!BX246/SUM(TreatyCatch!$BX246:$BY246,TreatyCatch!$CA246:$CB246),"")</f>
        <v/>
      </c>
      <c r="Y75" s="853" t="str">
        <f>IF($W75,$W75*TreatyCatch!BY246/SUM(TreatyCatch!$BX246:$BY246,TreatyCatch!$CA246:$CB246),"")</f>
        <v/>
      </c>
      <c r="Z75" s="846" t="str">
        <f t="shared" si="34"/>
        <v/>
      </c>
      <c r="AA75" s="893" t="str">
        <f>IF($W75,$W75*TreatyCatch!CA246/SUM(TreatyCatch!$BX246:$BY246,TreatyCatch!$CA246:$CB246),"")</f>
        <v/>
      </c>
      <c r="AB75" s="894" t="str">
        <f>IF($W75,$W75*TreatyCatch!CB246/SUM(TreatyCatch!$BX246:$BY246,TreatyCatch!$CA246:$CB246),"")</f>
        <v/>
      </c>
      <c r="AC75" s="877" t="str">
        <f t="shared" si="35"/>
        <v/>
      </c>
      <c r="AD75" s="958"/>
      <c r="AE75" s="1056" t="str">
        <f>IF($AD75,$AD75*TreatyCatch!CD305/SUM(TreatyCatch!$CD305:$CE305,TreatyCatch!$CG305:$CH305),"")</f>
        <v/>
      </c>
      <c r="AF75" s="1057" t="str">
        <f>IF($AD75,$AD75*TreatyCatch!CE305/SUM(TreatyCatch!$CD305:$CE305,TreatyCatch!$CG305:$CH305),"")</f>
        <v/>
      </c>
      <c r="AG75" s="1058" t="str">
        <f t="shared" si="36"/>
        <v/>
      </c>
      <c r="AH75" s="1059" t="str">
        <f>IF($AD75,$AD75*TreatyCatch!CG305/SUM(TreatyCatch!$CD305:CE305,TreatyCatch!$CG305:$CH305),"")</f>
        <v/>
      </c>
      <c r="AI75" s="1060" t="str">
        <f>IF($AD75,$AD75*TreatyCatch!CH305/SUM(TreatyCatch!$CD305:CF305,TreatyCatch!$CG305:$CH305),"")</f>
        <v/>
      </c>
      <c r="AJ75" s="1061" t="str">
        <f t="shared" si="37"/>
        <v/>
      </c>
      <c r="AK75" s="958"/>
      <c r="AL75" s="852"/>
      <c r="AM75" s="853"/>
      <c r="AN75" s="846"/>
      <c r="AO75" s="893"/>
      <c r="AP75" s="894"/>
      <c r="AQ75" s="877"/>
      <c r="AR75" s="765"/>
      <c r="AS75" s="882"/>
      <c r="AT75" s="883"/>
      <c r="AU75" s="871"/>
      <c r="AV75" s="858"/>
      <c r="AW75" s="859"/>
      <c r="AX75" s="840"/>
      <c r="AY75" s="765"/>
      <c r="AZ75" s="852"/>
      <c r="BA75" s="853"/>
      <c r="BB75" s="846"/>
      <c r="BC75" s="893"/>
      <c r="BD75" s="894"/>
      <c r="BE75" s="877"/>
      <c r="BF75" s="765"/>
      <c r="BG75" s="882"/>
      <c r="BH75" s="883"/>
      <c r="BI75" s="871"/>
      <c r="BJ75" s="858"/>
      <c r="BK75" s="859"/>
      <c r="BL75" s="840"/>
      <c r="BM75" s="765"/>
      <c r="BN75" s="852"/>
      <c r="BO75" s="853"/>
      <c r="BP75" s="846"/>
      <c r="BQ75" s="893"/>
      <c r="BR75" s="894"/>
      <c r="BS75" s="877"/>
      <c r="BT75" s="765"/>
      <c r="BU75" s="882"/>
      <c r="BV75" s="883"/>
      <c r="BW75" s="871"/>
      <c r="BX75" s="858"/>
      <c r="BY75" s="859"/>
      <c r="BZ75" s="840"/>
      <c r="CA75" s="765"/>
      <c r="CB75" s="852"/>
      <c r="CC75" s="853"/>
      <c r="CD75" s="846"/>
      <c r="CE75" s="893"/>
      <c r="CF75" s="894"/>
      <c r="CG75" s="877"/>
      <c r="CH75" s="765"/>
      <c r="CI75" s="882"/>
      <c r="CJ75" s="883"/>
      <c r="CK75" s="871"/>
      <c r="CL75" s="858"/>
      <c r="CM75" s="859"/>
      <c r="CN75" s="840"/>
    </row>
    <row r="76" spans="1:92" x14ac:dyDescent="0.25">
      <c r="A76" s="757">
        <v>9</v>
      </c>
      <c r="B76" s="765"/>
      <c r="C76" s="870" t="str">
        <f>IF($B76,$B76*TreatyCatch!BF247/SUM(TreatyCatch!$BF247:$BG247,TreatyCatch!$BI247:$BJ247),"")</f>
        <v/>
      </c>
      <c r="D76" s="870" t="str">
        <f>IF($B76,$B76*TreatyCatch!BG247/SUM(TreatyCatch!$BF247:$BG247,TreatyCatch!$BI247:$BJ247),"")</f>
        <v/>
      </c>
      <c r="E76" s="871" t="str">
        <f t="shared" si="30"/>
        <v/>
      </c>
      <c r="F76" s="838" t="str">
        <f>IF($B76,$B76*TreatyCatch!BI247/SUM(TreatyCatch!$BF247:$BG247,TreatyCatch!$BI247:$BJ247),"")</f>
        <v/>
      </c>
      <c r="G76" s="866" t="str">
        <f>IF($B76,$B76*TreatyCatch!BJ247/SUM(TreatyCatch!$BF247:$BG247,TreatyCatch!$BI247:$BJ247),"")</f>
        <v/>
      </c>
      <c r="H76" s="840" t="str">
        <f t="shared" si="31"/>
        <v/>
      </c>
      <c r="I76" s="765"/>
      <c r="J76" s="852" t="str">
        <f>IF($I76,$I76*TreatyCatch!BL247/SUM(TreatyCatch!$BL247:$BM247,TreatyCatch!$BO247:$BP247),"")</f>
        <v/>
      </c>
      <c r="K76" s="853" t="str">
        <f>IF($I76,$I76*TreatyCatch!BM247/SUM(TreatyCatch!$BL247:$BM247,TreatyCatch!$BO247:$BP247),"")</f>
        <v/>
      </c>
      <c r="L76" s="846" t="str">
        <f t="shared" si="28"/>
        <v/>
      </c>
      <c r="M76" s="893" t="str">
        <f>IF($I76,$I76*TreatyCatch!BO247/SUM(TreatyCatch!$BL247:$BM247,TreatyCatch!$BO247:$BP247),"")</f>
        <v/>
      </c>
      <c r="N76" s="894" t="str">
        <f>IF($I76,$I76*TreatyCatch!BP247/SUM(TreatyCatch!$BL247:$BM247,TreatyCatch!$BO247:$BP247),"")</f>
        <v/>
      </c>
      <c r="O76" s="877" t="str">
        <f t="shared" si="29"/>
        <v/>
      </c>
      <c r="P76" s="765"/>
      <c r="Q76" s="882" t="str">
        <f>IF($P76,$P76*TreatyCatch!BR247/SUM(TreatyCatch!$BR247:$BS247,TreatyCatch!$BU247:$BV247),"")</f>
        <v/>
      </c>
      <c r="R76" s="883" t="str">
        <f>IF($P76,$P76*TreatyCatch!BS247/SUM(TreatyCatch!$BR247:$BS247,TreatyCatch!$BU247:$BV247),"")</f>
        <v/>
      </c>
      <c r="S76" s="871" t="str">
        <f t="shared" si="32"/>
        <v/>
      </c>
      <c r="T76" s="858" t="str">
        <f>IF($P76,$P76*TreatyCatch!BU247/SUM(TreatyCatch!$BR247:$BS247,TreatyCatch!$BU247:$BV247),"")</f>
        <v/>
      </c>
      <c r="U76" s="859" t="str">
        <f>IF($P76,$P76*TreatyCatch!BV247/SUM(TreatyCatch!$BR247:$BS247,TreatyCatch!$BU247:$BV247),"")</f>
        <v/>
      </c>
      <c r="V76" s="840" t="str">
        <f t="shared" si="33"/>
        <v/>
      </c>
      <c r="W76" s="958"/>
      <c r="X76" s="852" t="str">
        <f>IF($W76,$W76*TreatyCatch!BX247/SUM(TreatyCatch!$BX247:$BY247,TreatyCatch!$CA247:$CB247),"")</f>
        <v/>
      </c>
      <c r="Y76" s="853" t="str">
        <f>IF($W76,$W76*TreatyCatch!BY247/SUM(TreatyCatch!$BX247:$BY247,TreatyCatch!$CA247:$CB247),"")</f>
        <v/>
      </c>
      <c r="Z76" s="846" t="str">
        <f t="shared" si="34"/>
        <v/>
      </c>
      <c r="AA76" s="893" t="str">
        <f>IF($W76,$W76*TreatyCatch!CA247/SUM(TreatyCatch!$BX247:$BY247,TreatyCatch!$CA247:$CB247),"")</f>
        <v/>
      </c>
      <c r="AB76" s="894" t="str">
        <f>IF($W76,$W76*TreatyCatch!CB247/SUM(TreatyCatch!$BX247:$BY247,TreatyCatch!$CA247:$CB247),"")</f>
        <v/>
      </c>
      <c r="AC76" s="877" t="str">
        <f t="shared" si="35"/>
        <v/>
      </c>
      <c r="AD76" s="958"/>
      <c r="AE76" s="1056" t="str">
        <f>IF($AD76,$AD76*TreatyCatch!CD306/SUM(TreatyCatch!$CD306:$CE306,TreatyCatch!$CG306:$CH306),"")</f>
        <v/>
      </c>
      <c r="AF76" s="1057" t="str">
        <f>IF($AD76,$AD76*TreatyCatch!CE306/SUM(TreatyCatch!$CD306:$CE306,TreatyCatch!$CG306:$CH306),"")</f>
        <v/>
      </c>
      <c r="AG76" s="1058" t="str">
        <f t="shared" si="36"/>
        <v/>
      </c>
      <c r="AH76" s="1059" t="str">
        <f>IF($AD76,$AD76*TreatyCatch!CG306/SUM(TreatyCatch!$CD306:CE306,TreatyCatch!$CG306:$CH306),"")</f>
        <v/>
      </c>
      <c r="AI76" s="1060" t="str">
        <f>IF($AD76,$AD76*TreatyCatch!CH306/SUM(TreatyCatch!$CD306:CF306,TreatyCatch!$CG306:$CH306),"")</f>
        <v/>
      </c>
      <c r="AJ76" s="1061" t="str">
        <f t="shared" si="37"/>
        <v/>
      </c>
      <c r="AK76" s="958"/>
      <c r="AL76" s="852"/>
      <c r="AM76" s="853"/>
      <c r="AN76" s="846"/>
      <c r="AO76" s="893"/>
      <c r="AP76" s="894"/>
      <c r="AQ76" s="877"/>
      <c r="AR76" s="765"/>
      <c r="AS76" s="882"/>
      <c r="AT76" s="883"/>
      <c r="AU76" s="871"/>
      <c r="AV76" s="858"/>
      <c r="AW76" s="859"/>
      <c r="AX76" s="840"/>
      <c r="AY76" s="765"/>
      <c r="AZ76" s="852"/>
      <c r="BA76" s="853"/>
      <c r="BB76" s="846"/>
      <c r="BC76" s="893"/>
      <c r="BD76" s="894"/>
      <c r="BE76" s="877"/>
      <c r="BF76" s="765"/>
      <c r="BG76" s="882"/>
      <c r="BH76" s="883"/>
      <c r="BI76" s="871"/>
      <c r="BJ76" s="858"/>
      <c r="BK76" s="859"/>
      <c r="BL76" s="840"/>
      <c r="BM76" s="765"/>
      <c r="BN76" s="852"/>
      <c r="BO76" s="853"/>
      <c r="BP76" s="846"/>
      <c r="BQ76" s="893"/>
      <c r="BR76" s="894"/>
      <c r="BS76" s="877"/>
      <c r="BT76" s="765"/>
      <c r="BU76" s="882"/>
      <c r="BV76" s="883"/>
      <c r="BW76" s="871"/>
      <c r="BX76" s="858"/>
      <c r="BY76" s="859"/>
      <c r="BZ76" s="840"/>
      <c r="CA76" s="765"/>
      <c r="CB76" s="852"/>
      <c r="CC76" s="853"/>
      <c r="CD76" s="846"/>
      <c r="CE76" s="893"/>
      <c r="CF76" s="894"/>
      <c r="CG76" s="877"/>
      <c r="CH76" s="765"/>
      <c r="CI76" s="882"/>
      <c r="CJ76" s="883"/>
      <c r="CK76" s="871"/>
      <c r="CL76" s="858"/>
      <c r="CM76" s="859"/>
      <c r="CN76" s="840"/>
    </row>
    <row r="77" spans="1:92" x14ac:dyDescent="0.25">
      <c r="A77" s="757">
        <v>10</v>
      </c>
      <c r="B77" s="765"/>
      <c r="C77" s="870" t="str">
        <f>IF($B77,$B77*TreatyCatch!BF248/SUM(TreatyCatch!$BF248:$BG248,TreatyCatch!$BI248:$BJ248),"")</f>
        <v/>
      </c>
      <c r="D77" s="870" t="str">
        <f>IF($B77,$B77*TreatyCatch!BG248/SUM(TreatyCatch!$BF248:$BG248,TreatyCatch!$BI248:$BJ248),"")</f>
        <v/>
      </c>
      <c r="E77" s="871" t="str">
        <f t="shared" si="30"/>
        <v/>
      </c>
      <c r="F77" s="838" t="str">
        <f>IF($B77,$B77*TreatyCatch!BI248/SUM(TreatyCatch!$BF248:$BG248,TreatyCatch!$BI248:$BJ248),"")</f>
        <v/>
      </c>
      <c r="G77" s="866" t="str">
        <f>IF($B77,$B77*TreatyCatch!BJ248/SUM(TreatyCatch!$BF248:$BG248,TreatyCatch!$BI248:$BJ248),"")</f>
        <v/>
      </c>
      <c r="H77" s="840" t="str">
        <f t="shared" si="31"/>
        <v/>
      </c>
      <c r="I77" s="765"/>
      <c r="J77" s="852" t="str">
        <f>IF($I77,$I77*TreatyCatch!BL248/SUM(TreatyCatch!$BL248:$BM248,TreatyCatch!$BO248:$BP248),"")</f>
        <v/>
      </c>
      <c r="K77" s="853" t="str">
        <f>IF($I77,$I77*TreatyCatch!BM248/SUM(TreatyCatch!$BL248:$BM248,TreatyCatch!$BO248:$BP248),"")</f>
        <v/>
      </c>
      <c r="L77" s="846" t="str">
        <f t="shared" si="28"/>
        <v/>
      </c>
      <c r="M77" s="893" t="str">
        <f>IF($I77,$I77*TreatyCatch!BO248/SUM(TreatyCatch!$BL248:$BM248,TreatyCatch!$BO248:$BP248),"")</f>
        <v/>
      </c>
      <c r="N77" s="894" t="str">
        <f>IF($I77,$I77*TreatyCatch!BP248/SUM(TreatyCatch!$BL248:$BM248,TreatyCatch!$BO248:$BP248),"")</f>
        <v/>
      </c>
      <c r="O77" s="877" t="str">
        <f t="shared" si="29"/>
        <v/>
      </c>
      <c r="P77" s="765"/>
      <c r="Q77" s="882" t="str">
        <f>IF($P77,$P77*TreatyCatch!BR248/SUM(TreatyCatch!$BR248:$BS248,TreatyCatch!$BU248:$BV248),"")</f>
        <v/>
      </c>
      <c r="R77" s="883" t="str">
        <f>IF($P77,$P77*TreatyCatch!BS248/SUM(TreatyCatch!$BR248:$BS248,TreatyCatch!$BU248:$BV248),"")</f>
        <v/>
      </c>
      <c r="S77" s="871" t="str">
        <f t="shared" si="32"/>
        <v/>
      </c>
      <c r="T77" s="858" t="str">
        <f>IF($P77,$P77*TreatyCatch!BU248/SUM(TreatyCatch!$BR248:$BS248,TreatyCatch!$BU248:$BV248),"")</f>
        <v/>
      </c>
      <c r="U77" s="859" t="str">
        <f>IF($P77,$P77*TreatyCatch!BV248/SUM(TreatyCatch!$BR248:$BS248,TreatyCatch!$BU248:$BV248),"")</f>
        <v/>
      </c>
      <c r="V77" s="840" t="str">
        <f t="shared" si="33"/>
        <v/>
      </c>
      <c r="W77" s="958"/>
      <c r="X77" s="852" t="str">
        <f>IF($W77,$W77*TreatyCatch!BX248/SUM(TreatyCatch!$BX248:$BY248,TreatyCatch!$CA248:$CB248),"")</f>
        <v/>
      </c>
      <c r="Y77" s="853" t="str">
        <f>IF($W77,$W77*TreatyCatch!BY248/SUM(TreatyCatch!$BX248:$BY248,TreatyCatch!$CA248:$CB248),"")</f>
        <v/>
      </c>
      <c r="Z77" s="846" t="str">
        <f t="shared" si="34"/>
        <v/>
      </c>
      <c r="AA77" s="893" t="str">
        <f>IF($W77,$W77*TreatyCatch!CA248/SUM(TreatyCatch!$BX248:$BY248,TreatyCatch!$CA248:$CB248),"")</f>
        <v/>
      </c>
      <c r="AB77" s="894" t="str">
        <f>IF($W77,$W77*TreatyCatch!CB248/SUM(TreatyCatch!$BX248:$BY248,TreatyCatch!$CA248:$CB248),"")</f>
        <v/>
      </c>
      <c r="AC77" s="877" t="str">
        <f t="shared" si="35"/>
        <v/>
      </c>
      <c r="AD77" s="958"/>
      <c r="AE77" s="1056" t="str">
        <f>IF($AD77,$AD77*TreatyCatch!CD307/SUM(TreatyCatch!$CD307:$CE307,TreatyCatch!$CG307:$CH307),"")</f>
        <v/>
      </c>
      <c r="AF77" s="1057" t="str">
        <f>IF($AD77,$AD77*TreatyCatch!CE307/SUM(TreatyCatch!$CD307:$CE307,TreatyCatch!$CG307:$CH307),"")</f>
        <v/>
      </c>
      <c r="AG77" s="1058" t="str">
        <f t="shared" si="36"/>
        <v/>
      </c>
      <c r="AH77" s="1059" t="str">
        <f>IF($AD77,$AD77*TreatyCatch!CG307/SUM(TreatyCatch!$CD307:CE307,TreatyCatch!$CG307:$CH307),"")</f>
        <v/>
      </c>
      <c r="AI77" s="1060" t="str">
        <f>IF($AD77,$AD77*TreatyCatch!CH307/SUM(TreatyCatch!$CD307:CF307,TreatyCatch!$CG307:$CH307),"")</f>
        <v/>
      </c>
      <c r="AJ77" s="1061" t="str">
        <f t="shared" si="37"/>
        <v/>
      </c>
      <c r="AK77" s="958"/>
      <c r="AL77" s="852"/>
      <c r="AM77" s="853"/>
      <c r="AN77" s="846"/>
      <c r="AO77" s="893"/>
      <c r="AP77" s="894"/>
      <c r="AQ77" s="877"/>
      <c r="AR77" s="765"/>
      <c r="AS77" s="882"/>
      <c r="AT77" s="883"/>
      <c r="AU77" s="871"/>
      <c r="AV77" s="858"/>
      <c r="AW77" s="859"/>
      <c r="AX77" s="840"/>
      <c r="AY77" s="765"/>
      <c r="AZ77" s="852"/>
      <c r="BA77" s="853"/>
      <c r="BB77" s="846"/>
      <c r="BC77" s="893"/>
      <c r="BD77" s="894"/>
      <c r="BE77" s="877"/>
      <c r="BF77" s="765"/>
      <c r="BG77" s="882"/>
      <c r="BH77" s="883"/>
      <c r="BI77" s="871"/>
      <c r="BJ77" s="858"/>
      <c r="BK77" s="859"/>
      <c r="BL77" s="840"/>
      <c r="BM77" s="765"/>
      <c r="BN77" s="852"/>
      <c r="BO77" s="853"/>
      <c r="BP77" s="846"/>
      <c r="BQ77" s="893"/>
      <c r="BR77" s="894"/>
      <c r="BS77" s="877"/>
      <c r="BT77" s="765"/>
      <c r="BU77" s="882"/>
      <c r="BV77" s="883"/>
      <c r="BW77" s="871"/>
      <c r="BX77" s="858"/>
      <c r="BY77" s="859"/>
      <c r="BZ77" s="840"/>
      <c r="CA77" s="765"/>
      <c r="CB77" s="852"/>
      <c r="CC77" s="853"/>
      <c r="CD77" s="846"/>
      <c r="CE77" s="893"/>
      <c r="CF77" s="894"/>
      <c r="CG77" s="877"/>
      <c r="CH77" s="765"/>
      <c r="CI77" s="882"/>
      <c r="CJ77" s="883"/>
      <c r="CK77" s="871"/>
      <c r="CL77" s="858"/>
      <c r="CM77" s="859"/>
      <c r="CN77" s="840"/>
    </row>
    <row r="78" spans="1:92" x14ac:dyDescent="0.25">
      <c r="A78" s="757">
        <v>11</v>
      </c>
      <c r="B78" s="765"/>
      <c r="C78" s="870" t="str">
        <f>IF($B78,$B78*TreatyCatch!BF249/SUM(TreatyCatch!$BF249:$BG249,TreatyCatch!$BI249:$BJ249),"")</f>
        <v/>
      </c>
      <c r="D78" s="870" t="str">
        <f>IF($B78,$B78*TreatyCatch!BG249/SUM(TreatyCatch!$BF249:$BG249,TreatyCatch!$BI249:$BJ249),"")</f>
        <v/>
      </c>
      <c r="E78" s="871" t="str">
        <f t="shared" si="30"/>
        <v/>
      </c>
      <c r="F78" s="838" t="str">
        <f>IF($B78,$B78*TreatyCatch!BI249/SUM(TreatyCatch!$BF249:$BG249,TreatyCatch!$BI249:$BJ249),"")</f>
        <v/>
      </c>
      <c r="G78" s="866" t="str">
        <f>IF($B78,$B78*TreatyCatch!BJ249/SUM(TreatyCatch!$BF249:$BG249,TreatyCatch!$BI249:$BJ249),"")</f>
        <v/>
      </c>
      <c r="H78" s="840" t="str">
        <f t="shared" si="31"/>
        <v/>
      </c>
      <c r="I78" s="765"/>
      <c r="J78" s="852" t="str">
        <f>IF($I78,$I78*TreatyCatch!BL249/SUM(TreatyCatch!$BL249:$BM249,TreatyCatch!$BO249:$BP249),"")</f>
        <v/>
      </c>
      <c r="K78" s="853" t="str">
        <f>IF($I78,$I78*TreatyCatch!BM249/SUM(TreatyCatch!$BL249:$BM249,TreatyCatch!$BO249:$BP249),"")</f>
        <v/>
      </c>
      <c r="L78" s="846" t="str">
        <f t="shared" si="28"/>
        <v/>
      </c>
      <c r="M78" s="893" t="str">
        <f>IF($I78,$I78*TreatyCatch!BO249/SUM(TreatyCatch!$BL249:$BM249,TreatyCatch!$BO249:$BP249),"")</f>
        <v/>
      </c>
      <c r="N78" s="894" t="str">
        <f>IF($I78,$I78*TreatyCatch!BP249/SUM(TreatyCatch!$BL249:$BM249,TreatyCatch!$BO249:$BP249),"")</f>
        <v/>
      </c>
      <c r="O78" s="877" t="str">
        <f t="shared" si="29"/>
        <v/>
      </c>
      <c r="P78" s="765"/>
      <c r="Q78" s="882" t="str">
        <f>IF($P78,$P78*TreatyCatch!BR249/SUM(TreatyCatch!$BR249:$BS249,TreatyCatch!$BU249:$BV249),"")</f>
        <v/>
      </c>
      <c r="R78" s="883" t="str">
        <f>IF($P78,$P78*TreatyCatch!BS249/SUM(TreatyCatch!$BR249:$BS249,TreatyCatch!$BU249:$BV249),"")</f>
        <v/>
      </c>
      <c r="S78" s="871" t="str">
        <f t="shared" si="32"/>
        <v/>
      </c>
      <c r="T78" s="858" t="str">
        <f>IF($P78,$P78*TreatyCatch!BU249/SUM(TreatyCatch!$BR249:$BS249,TreatyCatch!$BU249:$BV249),"")</f>
        <v/>
      </c>
      <c r="U78" s="859" t="str">
        <f>IF($P78,$P78*TreatyCatch!BV249/SUM(TreatyCatch!$BR249:$BS249,TreatyCatch!$BU249:$BV249),"")</f>
        <v/>
      </c>
      <c r="V78" s="840" t="str">
        <f t="shared" si="33"/>
        <v/>
      </c>
      <c r="W78" s="958"/>
      <c r="X78" s="852" t="str">
        <f>IF($W78,$W78*TreatyCatch!BX249/SUM(TreatyCatch!$BX249:$BY249,TreatyCatch!$CA249:$CB249),"")</f>
        <v/>
      </c>
      <c r="Y78" s="853" t="str">
        <f>IF($W78,$W78*TreatyCatch!BY249/SUM(TreatyCatch!$BX249:$BY249,TreatyCatch!$CA249:$CB249),"")</f>
        <v/>
      </c>
      <c r="Z78" s="846" t="str">
        <f t="shared" si="34"/>
        <v/>
      </c>
      <c r="AA78" s="893" t="str">
        <f>IF($W78,$W78*TreatyCatch!CA249/SUM(TreatyCatch!$BX249:$BY249,TreatyCatch!$CA249:$CB249),"")</f>
        <v/>
      </c>
      <c r="AB78" s="894" t="str">
        <f>IF($W78,$W78*TreatyCatch!CB249/SUM(TreatyCatch!$BX249:$BY249,TreatyCatch!$CA249:$CB249),"")</f>
        <v/>
      </c>
      <c r="AC78" s="877" t="str">
        <f t="shared" si="35"/>
        <v/>
      </c>
      <c r="AD78" s="958"/>
      <c r="AE78" s="1056" t="str">
        <f>IF($AD78,$AD78*TreatyCatch!CD308/SUM(TreatyCatch!$CD308:$CE308,TreatyCatch!$CG308:$CH308),"")</f>
        <v/>
      </c>
      <c r="AF78" s="1057" t="str">
        <f>IF($AD78,$AD78*TreatyCatch!CE308/SUM(TreatyCatch!$CD308:$CE308,TreatyCatch!$CG308:$CH308),"")</f>
        <v/>
      </c>
      <c r="AG78" s="1058" t="str">
        <f t="shared" si="36"/>
        <v/>
      </c>
      <c r="AH78" s="1059" t="str">
        <f>IF($AD78,$AD78*TreatyCatch!CG308/SUM(TreatyCatch!$CD308:CE308,TreatyCatch!$CG308:$CH308),"")</f>
        <v/>
      </c>
      <c r="AI78" s="1060" t="str">
        <f>IF($AD78,$AD78*TreatyCatch!CH308/SUM(TreatyCatch!$CD308:CF308,TreatyCatch!$CG308:$CH308),"")</f>
        <v/>
      </c>
      <c r="AJ78" s="1061" t="str">
        <f t="shared" si="37"/>
        <v/>
      </c>
      <c r="AK78" s="958"/>
      <c r="AL78" s="852"/>
      <c r="AM78" s="853"/>
      <c r="AN78" s="846"/>
      <c r="AO78" s="893"/>
      <c r="AP78" s="894"/>
      <c r="AQ78" s="877"/>
      <c r="AR78" s="765"/>
      <c r="AS78" s="882"/>
      <c r="AT78" s="883"/>
      <c r="AU78" s="871"/>
      <c r="AV78" s="858"/>
      <c r="AW78" s="859"/>
      <c r="AX78" s="840"/>
      <c r="AY78" s="765"/>
      <c r="AZ78" s="852"/>
      <c r="BA78" s="853"/>
      <c r="BB78" s="846"/>
      <c r="BC78" s="893"/>
      <c r="BD78" s="894"/>
      <c r="BE78" s="877"/>
      <c r="BF78" s="765"/>
      <c r="BG78" s="882"/>
      <c r="BH78" s="883"/>
      <c r="BI78" s="871"/>
      <c r="BJ78" s="858"/>
      <c r="BK78" s="859"/>
      <c r="BL78" s="840"/>
      <c r="BM78" s="765"/>
      <c r="BN78" s="852"/>
      <c r="BO78" s="853"/>
      <c r="BP78" s="846"/>
      <c r="BQ78" s="893"/>
      <c r="BR78" s="894"/>
      <c r="BS78" s="877"/>
      <c r="BT78" s="765"/>
      <c r="BU78" s="882"/>
      <c r="BV78" s="883"/>
      <c r="BW78" s="871"/>
      <c r="BX78" s="858"/>
      <c r="BY78" s="859"/>
      <c r="BZ78" s="840"/>
      <c r="CA78" s="765"/>
      <c r="CB78" s="852"/>
      <c r="CC78" s="853"/>
      <c r="CD78" s="846"/>
      <c r="CE78" s="893"/>
      <c r="CF78" s="894"/>
      <c r="CG78" s="877"/>
      <c r="CH78" s="765"/>
      <c r="CI78" s="882"/>
      <c r="CJ78" s="883"/>
      <c r="CK78" s="871"/>
      <c r="CL78" s="858"/>
      <c r="CM78" s="859"/>
      <c r="CN78" s="840"/>
    </row>
    <row r="79" spans="1:92" x14ac:dyDescent="0.25">
      <c r="A79" s="757">
        <v>12</v>
      </c>
      <c r="B79" s="765"/>
      <c r="C79" s="870" t="str">
        <f>IF($B79,$B79*TreatyCatch!BF250/SUM(TreatyCatch!$BF250:$BG250,TreatyCatch!$BI250:$BJ250),"")</f>
        <v/>
      </c>
      <c r="D79" s="870" t="str">
        <f>IF($B79,$B79*TreatyCatch!BG250/SUM(TreatyCatch!$BF250:$BG250,TreatyCatch!$BI250:$BJ250),"")</f>
        <v/>
      </c>
      <c r="E79" s="871" t="str">
        <f t="shared" si="30"/>
        <v/>
      </c>
      <c r="F79" s="838" t="str">
        <f>IF($B79,$B79*TreatyCatch!BI250/SUM(TreatyCatch!$BF250:$BG250,TreatyCatch!$BI250:$BJ250),"")</f>
        <v/>
      </c>
      <c r="G79" s="866" t="str">
        <f>IF($B79,$B79*TreatyCatch!BJ250/SUM(TreatyCatch!$BF250:$BG250,TreatyCatch!$BI250:$BJ250),"")</f>
        <v/>
      </c>
      <c r="H79" s="840" t="str">
        <f t="shared" si="31"/>
        <v/>
      </c>
      <c r="I79" s="765"/>
      <c r="J79" s="852" t="str">
        <f>IF($I79,$I79*TreatyCatch!BL250/SUM(TreatyCatch!$BL250:$BM250,TreatyCatch!$BO250:$BP250),"")</f>
        <v/>
      </c>
      <c r="K79" s="853" t="str">
        <f>IF($I79,$I79*TreatyCatch!BM250/SUM(TreatyCatch!$BL250:$BM250,TreatyCatch!$BO250:$BP250),"")</f>
        <v/>
      </c>
      <c r="L79" s="846" t="str">
        <f t="shared" si="28"/>
        <v/>
      </c>
      <c r="M79" s="893" t="str">
        <f>IF($I79,$I79*TreatyCatch!BO250/SUM(TreatyCatch!$BL250:$BM250,TreatyCatch!$BO250:$BP250),"")</f>
        <v/>
      </c>
      <c r="N79" s="894" t="str">
        <f>IF($I79,$I79*TreatyCatch!BP250/SUM(TreatyCatch!$BL250:$BM250,TreatyCatch!$BO250:$BP250),"")</f>
        <v/>
      </c>
      <c r="O79" s="877" t="str">
        <f t="shared" si="29"/>
        <v/>
      </c>
      <c r="P79" s="765"/>
      <c r="Q79" s="882" t="str">
        <f>IF($P79,$P79*TreatyCatch!BR250/SUM(TreatyCatch!$BR250:$BS250,TreatyCatch!$BU250:$BV250),"")</f>
        <v/>
      </c>
      <c r="R79" s="883" t="str">
        <f>IF($P79,$P79*TreatyCatch!BS250/SUM(TreatyCatch!$BR250:$BS250,TreatyCatch!$BU250:$BV250),"")</f>
        <v/>
      </c>
      <c r="S79" s="871" t="str">
        <f t="shared" si="32"/>
        <v/>
      </c>
      <c r="T79" s="858" t="str">
        <f>IF($P79,$P79*TreatyCatch!BU250/SUM(TreatyCatch!$BR250:$BS250,TreatyCatch!$BU250:$BV250),"")</f>
        <v/>
      </c>
      <c r="U79" s="859" t="str">
        <f>IF($P79,$P79*TreatyCatch!BV250/SUM(TreatyCatch!$BR250:$BS250,TreatyCatch!$BU250:$BV250),"")</f>
        <v/>
      </c>
      <c r="V79" s="840" t="str">
        <f t="shared" si="33"/>
        <v/>
      </c>
      <c r="W79" s="958"/>
      <c r="X79" s="852" t="str">
        <f>IF($W79,$W79*TreatyCatch!BX250/SUM(TreatyCatch!$BX250:$BY250,TreatyCatch!$CA250:$CB250),"")</f>
        <v/>
      </c>
      <c r="Y79" s="853" t="str">
        <f>IF($W79,$W79*TreatyCatch!BY250/SUM(TreatyCatch!$BX250:$BY250,TreatyCatch!$CA250:$CB250),"")</f>
        <v/>
      </c>
      <c r="Z79" s="846" t="str">
        <f t="shared" si="34"/>
        <v/>
      </c>
      <c r="AA79" s="893" t="str">
        <f>IF($W79,$W79*TreatyCatch!CA250/SUM(TreatyCatch!$BX250:$BY250,TreatyCatch!$CA250:$CB250),"")</f>
        <v/>
      </c>
      <c r="AB79" s="894" t="str">
        <f>IF($W79,$W79*TreatyCatch!CB250/SUM(TreatyCatch!$BX250:$BY250,TreatyCatch!$CA250:$CB250),"")</f>
        <v/>
      </c>
      <c r="AC79" s="877" t="str">
        <f t="shared" si="35"/>
        <v/>
      </c>
      <c r="AD79" s="958"/>
      <c r="AE79" s="1056" t="str">
        <f>IF($AD79,$AD79*TreatyCatch!CD309/SUM(TreatyCatch!$CD309:$CE309,TreatyCatch!$CG309:$CH309),"")</f>
        <v/>
      </c>
      <c r="AF79" s="1057" t="str">
        <f>IF($AD79,$AD79*TreatyCatch!CE309/SUM(TreatyCatch!$CD309:$CE309,TreatyCatch!$CG309:$CH309),"")</f>
        <v/>
      </c>
      <c r="AG79" s="1058" t="str">
        <f t="shared" si="36"/>
        <v/>
      </c>
      <c r="AH79" s="1059" t="str">
        <f>IF($AD79,$AD79*TreatyCatch!CG309/SUM(TreatyCatch!$CD309:CE309,TreatyCatch!$CG309:$CH309),"")</f>
        <v/>
      </c>
      <c r="AI79" s="1060" t="str">
        <f>IF($AD79,$AD79*TreatyCatch!CH309/SUM(TreatyCatch!$CD309:CF309,TreatyCatch!$CG309:$CH309),"")</f>
        <v/>
      </c>
      <c r="AJ79" s="1061" t="str">
        <f t="shared" si="37"/>
        <v/>
      </c>
      <c r="AK79" s="958"/>
      <c r="AL79" s="852"/>
      <c r="AM79" s="853"/>
      <c r="AN79" s="846"/>
      <c r="AO79" s="893"/>
      <c r="AP79" s="894"/>
      <c r="AQ79" s="877"/>
      <c r="AR79" s="765"/>
      <c r="AS79" s="882"/>
      <c r="AT79" s="883"/>
      <c r="AU79" s="871"/>
      <c r="AV79" s="858"/>
      <c r="AW79" s="859"/>
      <c r="AX79" s="840"/>
      <c r="AY79" s="765"/>
      <c r="AZ79" s="852"/>
      <c r="BA79" s="853"/>
      <c r="BB79" s="846"/>
      <c r="BC79" s="893"/>
      <c r="BD79" s="894"/>
      <c r="BE79" s="877"/>
      <c r="BF79" s="765"/>
      <c r="BG79" s="882"/>
      <c r="BH79" s="883"/>
      <c r="BI79" s="871"/>
      <c r="BJ79" s="858"/>
      <c r="BK79" s="859"/>
      <c r="BL79" s="840"/>
      <c r="BM79" s="765"/>
      <c r="BN79" s="852"/>
      <c r="BO79" s="853"/>
      <c r="BP79" s="846"/>
      <c r="BQ79" s="893"/>
      <c r="BR79" s="894"/>
      <c r="BS79" s="877"/>
      <c r="BT79" s="765"/>
      <c r="BU79" s="882"/>
      <c r="BV79" s="883"/>
      <c r="BW79" s="871"/>
      <c r="BX79" s="858"/>
      <c r="BY79" s="859"/>
      <c r="BZ79" s="840"/>
      <c r="CA79" s="765"/>
      <c r="CB79" s="852"/>
      <c r="CC79" s="853"/>
      <c r="CD79" s="846"/>
      <c r="CE79" s="893"/>
      <c r="CF79" s="894"/>
      <c r="CG79" s="877"/>
      <c r="CH79" s="765"/>
      <c r="CI79" s="882"/>
      <c r="CJ79" s="883"/>
      <c r="CK79" s="871"/>
      <c r="CL79" s="858"/>
      <c r="CM79" s="859"/>
      <c r="CN79" s="840"/>
    </row>
    <row r="80" spans="1:92" x14ac:dyDescent="0.25">
      <c r="A80" s="757">
        <v>13</v>
      </c>
      <c r="B80" s="765"/>
      <c r="C80" s="870" t="str">
        <f>IF($B80,$B80*TreatyCatch!BF251/SUM(TreatyCatch!$BF251:$BG251,TreatyCatch!$BI251:$BJ251),"")</f>
        <v/>
      </c>
      <c r="D80" s="870" t="str">
        <f>IF($B80,$B80*TreatyCatch!BG251/SUM(TreatyCatch!$BF251:$BG251,TreatyCatch!$BI251:$BJ251),"")</f>
        <v/>
      </c>
      <c r="E80" s="871" t="str">
        <f t="shared" si="30"/>
        <v/>
      </c>
      <c r="F80" s="838" t="str">
        <f>IF($B80,$B80*TreatyCatch!BI251/SUM(TreatyCatch!$BF251:$BG251,TreatyCatch!$BI251:$BJ251),"")</f>
        <v/>
      </c>
      <c r="G80" s="866" t="str">
        <f>IF($B80,$B80*TreatyCatch!BJ251/SUM(TreatyCatch!$BF251:$BG251,TreatyCatch!$BI251:$BJ251),"")</f>
        <v/>
      </c>
      <c r="H80" s="840" t="str">
        <f t="shared" si="31"/>
        <v/>
      </c>
      <c r="I80" s="765"/>
      <c r="J80" s="852" t="str">
        <f>IF($I80,$I80*TreatyCatch!BL251/SUM(TreatyCatch!$BL251:$BM251,TreatyCatch!$BO251:$BP251),"")</f>
        <v/>
      </c>
      <c r="K80" s="853" t="str">
        <f>IF($I80,$I80*TreatyCatch!BM251/SUM(TreatyCatch!$BL251:$BM251,TreatyCatch!$BO251:$BP251),"")</f>
        <v/>
      </c>
      <c r="L80" s="846" t="str">
        <f t="shared" si="28"/>
        <v/>
      </c>
      <c r="M80" s="893" t="str">
        <f>IF($I80,$I80*TreatyCatch!BO251/SUM(TreatyCatch!$BL251:$BM251,TreatyCatch!$BO251:$BP251),"")</f>
        <v/>
      </c>
      <c r="N80" s="894" t="str">
        <f>IF($I80,$I80*TreatyCatch!BP251/SUM(TreatyCatch!$BL251:$BM251,TreatyCatch!$BO251:$BP251),"")</f>
        <v/>
      </c>
      <c r="O80" s="877" t="str">
        <f t="shared" si="29"/>
        <v/>
      </c>
      <c r="P80" s="765"/>
      <c r="Q80" s="882" t="str">
        <f>IF($P80,$P80*TreatyCatch!BR251/SUM(TreatyCatch!$BR251:$BS251,TreatyCatch!$BU251:$BV251),"")</f>
        <v/>
      </c>
      <c r="R80" s="883" t="str">
        <f>IF($P80,$P80*TreatyCatch!BS251/SUM(TreatyCatch!$BR251:$BS251,TreatyCatch!$BU251:$BV251),"")</f>
        <v/>
      </c>
      <c r="S80" s="871" t="str">
        <f t="shared" si="32"/>
        <v/>
      </c>
      <c r="T80" s="858" t="str">
        <f>IF($P80,$P80*TreatyCatch!BU251/SUM(TreatyCatch!$BR251:$BS251,TreatyCatch!$BU251:$BV251),"")</f>
        <v/>
      </c>
      <c r="U80" s="859" t="str">
        <f>IF($P80,$P80*TreatyCatch!BV251/SUM(TreatyCatch!$BR251:$BS251,TreatyCatch!$BU251:$BV251),"")</f>
        <v/>
      </c>
      <c r="V80" s="840" t="str">
        <f t="shared" si="33"/>
        <v/>
      </c>
      <c r="W80" s="958"/>
      <c r="X80" s="852" t="str">
        <f>IF($W80,$W80*TreatyCatch!BX251/SUM(TreatyCatch!$BX251:$BY251,TreatyCatch!$CA251:$CB251),"")</f>
        <v/>
      </c>
      <c r="Y80" s="853" t="str">
        <f>IF($W80,$W80*TreatyCatch!BY251/SUM(TreatyCatch!$BX251:$BY251,TreatyCatch!$CA251:$CB251),"")</f>
        <v/>
      </c>
      <c r="Z80" s="846" t="str">
        <f t="shared" si="34"/>
        <v/>
      </c>
      <c r="AA80" s="893" t="str">
        <f>IF($W80,$W80*TreatyCatch!CA251/SUM(TreatyCatch!$BX251:$BY251,TreatyCatch!$CA251:$CB251),"")</f>
        <v/>
      </c>
      <c r="AB80" s="894" t="str">
        <f>IF($W80,$W80*TreatyCatch!CB251/SUM(TreatyCatch!$BX251:$BY251,TreatyCatch!$CA251:$CB251),"")</f>
        <v/>
      </c>
      <c r="AC80" s="877" t="str">
        <f t="shared" si="35"/>
        <v/>
      </c>
      <c r="AD80" s="958"/>
      <c r="AE80" s="1056" t="str">
        <f>IF($AD80,$AD80*TreatyCatch!CD310/SUM(TreatyCatch!$CD310:$CE310,TreatyCatch!$CG310:$CH310),"")</f>
        <v/>
      </c>
      <c r="AF80" s="1057" t="str">
        <f>IF($AD80,$AD80*TreatyCatch!CE310/SUM(TreatyCatch!$CD310:$CE310,TreatyCatch!$CG310:$CH310),"")</f>
        <v/>
      </c>
      <c r="AG80" s="1058" t="str">
        <f t="shared" si="36"/>
        <v/>
      </c>
      <c r="AH80" s="1059" t="str">
        <f>IF($AD80,$AD80*TreatyCatch!CG310/SUM(TreatyCatch!$CD310:CE310,TreatyCatch!$CG310:$CH310),"")</f>
        <v/>
      </c>
      <c r="AI80" s="1060" t="str">
        <f>IF($AD80,$AD80*TreatyCatch!CH310/SUM(TreatyCatch!$CD310:CF310,TreatyCatch!$CG310:$CH310),"")</f>
        <v/>
      </c>
      <c r="AJ80" s="1061" t="str">
        <f t="shared" si="37"/>
        <v/>
      </c>
      <c r="AK80" s="958"/>
      <c r="AL80" s="852"/>
      <c r="AM80" s="853"/>
      <c r="AN80" s="846"/>
      <c r="AO80" s="893"/>
      <c r="AP80" s="894"/>
      <c r="AQ80" s="877"/>
      <c r="AR80" s="765"/>
      <c r="AS80" s="882"/>
      <c r="AT80" s="883"/>
      <c r="AU80" s="871"/>
      <c r="AV80" s="858"/>
      <c r="AW80" s="859"/>
      <c r="AX80" s="840"/>
      <c r="AY80" s="765"/>
      <c r="AZ80" s="852"/>
      <c r="BA80" s="853"/>
      <c r="BB80" s="846"/>
      <c r="BC80" s="893"/>
      <c r="BD80" s="894"/>
      <c r="BE80" s="877"/>
      <c r="BF80" s="765"/>
      <c r="BG80" s="882"/>
      <c r="BH80" s="883"/>
      <c r="BI80" s="871"/>
      <c r="BJ80" s="858"/>
      <c r="BK80" s="859"/>
      <c r="BL80" s="840"/>
      <c r="BM80" s="765"/>
      <c r="BN80" s="852"/>
      <c r="BO80" s="853"/>
      <c r="BP80" s="846"/>
      <c r="BQ80" s="893"/>
      <c r="BR80" s="894"/>
      <c r="BS80" s="877"/>
      <c r="BT80" s="765"/>
      <c r="BU80" s="882"/>
      <c r="BV80" s="883"/>
      <c r="BW80" s="871"/>
      <c r="BX80" s="858"/>
      <c r="BY80" s="859"/>
      <c r="BZ80" s="840"/>
      <c r="CA80" s="765"/>
      <c r="CB80" s="852"/>
      <c r="CC80" s="853"/>
      <c r="CD80" s="846"/>
      <c r="CE80" s="893"/>
      <c r="CF80" s="894"/>
      <c r="CG80" s="877"/>
      <c r="CH80" s="765"/>
      <c r="CI80" s="882"/>
      <c r="CJ80" s="883"/>
      <c r="CK80" s="871"/>
      <c r="CL80" s="858"/>
      <c r="CM80" s="859"/>
      <c r="CN80" s="840"/>
    </row>
    <row r="81" spans="1:92" x14ac:dyDescent="0.25">
      <c r="A81" s="757">
        <v>14</v>
      </c>
      <c r="B81" s="765"/>
      <c r="C81" s="870" t="str">
        <f>IF($B81,$B81*TreatyCatch!BF252/SUM(TreatyCatch!$BF252:$BG252,TreatyCatch!$BI252:$BJ252),"")</f>
        <v/>
      </c>
      <c r="D81" s="870" t="str">
        <f>IF($B81,$B81*TreatyCatch!BG252/SUM(TreatyCatch!$BF252:$BG252,TreatyCatch!$BI252:$BJ252),"")</f>
        <v/>
      </c>
      <c r="E81" s="871" t="str">
        <f t="shared" si="30"/>
        <v/>
      </c>
      <c r="F81" s="838" t="str">
        <f>IF($B81,$B81*TreatyCatch!BI252/SUM(TreatyCatch!$BF252:$BG252,TreatyCatch!$BI252:$BJ252),"")</f>
        <v/>
      </c>
      <c r="G81" s="866" t="str">
        <f>IF($B81,$B81*TreatyCatch!BJ252/SUM(TreatyCatch!$BF252:$BG252,TreatyCatch!$BI252:$BJ252),"")</f>
        <v/>
      </c>
      <c r="H81" s="840" t="str">
        <f t="shared" si="31"/>
        <v/>
      </c>
      <c r="I81" s="765"/>
      <c r="J81" s="852" t="str">
        <f>IF($I81,$I81*TreatyCatch!BL252/SUM(TreatyCatch!$BL252:$BM252,TreatyCatch!$BO252:$BP252),"")</f>
        <v/>
      </c>
      <c r="K81" s="853" t="str">
        <f>IF($I81,$I81*TreatyCatch!BM252/SUM(TreatyCatch!$BL252:$BM252,TreatyCatch!$BO252:$BP252),"")</f>
        <v/>
      </c>
      <c r="L81" s="846" t="str">
        <f t="shared" si="28"/>
        <v/>
      </c>
      <c r="M81" s="893" t="str">
        <f>IF($I81,$I81*TreatyCatch!BO252/SUM(TreatyCatch!$BL252:$BM252,TreatyCatch!$BO252:$BP252),"")</f>
        <v/>
      </c>
      <c r="N81" s="894" t="str">
        <f>IF($I81,$I81*TreatyCatch!BP252/SUM(TreatyCatch!$BL252:$BM252,TreatyCatch!$BO252:$BP252),"")</f>
        <v/>
      </c>
      <c r="O81" s="877" t="str">
        <f t="shared" si="29"/>
        <v/>
      </c>
      <c r="P81" s="765"/>
      <c r="Q81" s="882" t="str">
        <f>IF($P81,$P81*TreatyCatch!BR252/SUM(TreatyCatch!$BR252:$BS252,TreatyCatch!$BU252:$BV252),"")</f>
        <v/>
      </c>
      <c r="R81" s="883" t="str">
        <f>IF($P81,$P81*TreatyCatch!BS252/SUM(TreatyCatch!$BR252:$BS252,TreatyCatch!$BU252:$BV252),"")</f>
        <v/>
      </c>
      <c r="S81" s="871" t="str">
        <f t="shared" si="32"/>
        <v/>
      </c>
      <c r="T81" s="858" t="str">
        <f>IF($P81,$P81*TreatyCatch!BU252/SUM(TreatyCatch!$BR252:$BS252,TreatyCatch!$BU252:$BV252),"")</f>
        <v/>
      </c>
      <c r="U81" s="859" t="str">
        <f>IF($P81,$P81*TreatyCatch!BV252/SUM(TreatyCatch!$BR252:$BS252,TreatyCatch!$BU252:$BV252),"")</f>
        <v/>
      </c>
      <c r="V81" s="840" t="str">
        <f t="shared" si="33"/>
        <v/>
      </c>
      <c r="W81" s="958"/>
      <c r="X81" s="852" t="str">
        <f>IF($W81,$W81*TreatyCatch!BX252/SUM(TreatyCatch!$BX252:$BY252,TreatyCatch!$CA252:$CB252),"")</f>
        <v/>
      </c>
      <c r="Y81" s="853" t="str">
        <f>IF($W81,$W81*TreatyCatch!BY252/SUM(TreatyCatch!$BX252:$BY252,TreatyCatch!$CA252:$CB252),"")</f>
        <v/>
      </c>
      <c r="Z81" s="846" t="str">
        <f t="shared" si="34"/>
        <v/>
      </c>
      <c r="AA81" s="893" t="str">
        <f>IF($W81,$W81*TreatyCatch!CA252/SUM(TreatyCatch!$BX252:$BY252,TreatyCatch!$CA252:$CB252),"")</f>
        <v/>
      </c>
      <c r="AB81" s="894" t="str">
        <f>IF($W81,$W81*TreatyCatch!CB252/SUM(TreatyCatch!$BX252:$BY252,TreatyCatch!$CA252:$CB252),"")</f>
        <v/>
      </c>
      <c r="AC81" s="877" t="str">
        <f t="shared" si="35"/>
        <v/>
      </c>
      <c r="AD81" s="958"/>
      <c r="AE81" s="1056" t="str">
        <f>IF($AD81,$AD81*TreatyCatch!CD311/SUM(TreatyCatch!$CD311:$CE311,TreatyCatch!$CG311:$CH311),"")</f>
        <v/>
      </c>
      <c r="AF81" s="1057" t="str">
        <f>IF($AD81,$AD81*TreatyCatch!CE311/SUM(TreatyCatch!$CD311:$CE311,TreatyCatch!$CG311:$CH311),"")</f>
        <v/>
      </c>
      <c r="AG81" s="1058" t="str">
        <f t="shared" si="36"/>
        <v/>
      </c>
      <c r="AH81" s="1059" t="str">
        <f>IF($AD81,$AD81*TreatyCatch!CG311/SUM(TreatyCatch!$CD311:CE311,TreatyCatch!$CG311:$CH311),"")</f>
        <v/>
      </c>
      <c r="AI81" s="1060" t="str">
        <f>IF($AD81,$AD81*TreatyCatch!CH311/SUM(TreatyCatch!$CD311:CF311,TreatyCatch!$CG311:$CH311),"")</f>
        <v/>
      </c>
      <c r="AJ81" s="1061" t="str">
        <f t="shared" si="37"/>
        <v/>
      </c>
      <c r="AK81" s="958"/>
      <c r="AL81" s="852"/>
      <c r="AM81" s="853"/>
      <c r="AN81" s="846"/>
      <c r="AO81" s="893"/>
      <c r="AP81" s="894"/>
      <c r="AQ81" s="877"/>
      <c r="AR81" s="765"/>
      <c r="AS81" s="882"/>
      <c r="AT81" s="883"/>
      <c r="AU81" s="871"/>
      <c r="AV81" s="858"/>
      <c r="AW81" s="859"/>
      <c r="AX81" s="840"/>
      <c r="AY81" s="1657">
        <f>SUM(AZ81:BA81,BC81:BD81)</f>
        <v>3</v>
      </c>
      <c r="AZ81" s="852">
        <v>0</v>
      </c>
      <c r="BA81" s="853">
        <v>0</v>
      </c>
      <c r="BB81" s="1073">
        <f>IFERROR(AZ81+BD$5*BA81,"")</f>
        <v>0</v>
      </c>
      <c r="BC81" s="893">
        <v>3</v>
      </c>
      <c r="BD81" s="894">
        <v>0</v>
      </c>
      <c r="BE81" s="1080">
        <f>IFERROR(BC81+BD$5*BD81,"")</f>
        <v>3</v>
      </c>
      <c r="BF81" s="765"/>
      <c r="BG81" s="882"/>
      <c r="BH81" s="883"/>
      <c r="BI81" s="871"/>
      <c r="BJ81" s="858"/>
      <c r="BK81" s="859"/>
      <c r="BL81" s="840"/>
      <c r="BM81" s="1657"/>
      <c r="BN81" s="852"/>
      <c r="BO81" s="853"/>
      <c r="BP81" s="1073"/>
      <c r="BQ81" s="893"/>
      <c r="BR81" s="894"/>
      <c r="BS81" s="1080"/>
      <c r="BT81" s="765"/>
      <c r="BU81" s="882"/>
      <c r="BV81" s="883"/>
      <c r="BW81" s="871"/>
      <c r="BX81" s="858"/>
      <c r="BY81" s="859"/>
      <c r="BZ81" s="840"/>
      <c r="CA81" s="1657"/>
      <c r="CB81" s="852"/>
      <c r="CC81" s="853"/>
      <c r="CD81" s="1073"/>
      <c r="CE81" s="893"/>
      <c r="CF81" s="894"/>
      <c r="CG81" s="1080"/>
      <c r="CH81" s="765"/>
      <c r="CI81" s="882"/>
      <c r="CJ81" s="883"/>
      <c r="CK81" s="871"/>
      <c r="CL81" s="858"/>
      <c r="CM81" s="859"/>
      <c r="CN81" s="840"/>
    </row>
    <row r="82" spans="1:92" x14ac:dyDescent="0.25">
      <c r="A82" s="757">
        <v>15</v>
      </c>
      <c r="B82" s="765"/>
      <c r="C82" s="870" t="str">
        <f>IF($B82,$B82*TreatyCatch!BF253/SUM(TreatyCatch!$BF253:$BG253,TreatyCatch!$BI253:$BJ253),"")</f>
        <v/>
      </c>
      <c r="D82" s="870" t="str">
        <f>IF($B82,$B82*TreatyCatch!BG253/SUM(TreatyCatch!$BF253:$BG253,TreatyCatch!$BI253:$BJ253),"")</f>
        <v/>
      </c>
      <c r="E82" s="871" t="str">
        <f t="shared" si="30"/>
        <v/>
      </c>
      <c r="F82" s="838" t="str">
        <f>IF($B82,$B82*TreatyCatch!BI253/SUM(TreatyCatch!$BF253:$BG253,TreatyCatch!$BI253:$BJ253),"")</f>
        <v/>
      </c>
      <c r="G82" s="866" t="str">
        <f>IF($B82,$B82*TreatyCatch!BJ253/SUM(TreatyCatch!$BF253:$BG253,TreatyCatch!$BI253:$BJ253),"")</f>
        <v/>
      </c>
      <c r="H82" s="840" t="str">
        <f t="shared" si="31"/>
        <v/>
      </c>
      <c r="I82" s="765"/>
      <c r="J82" s="852" t="str">
        <f>IF($I82,$I82*TreatyCatch!BL253/SUM(TreatyCatch!$BL253:$BM253,TreatyCatch!$BO253:$BP253),"")</f>
        <v/>
      </c>
      <c r="K82" s="853" t="str">
        <f>IF($I82,$I82*TreatyCatch!BM253/SUM(TreatyCatch!$BL253:$BM253,TreatyCatch!$BO253:$BP253),"")</f>
        <v/>
      </c>
      <c r="L82" s="846" t="str">
        <f t="shared" si="28"/>
        <v/>
      </c>
      <c r="M82" s="893" t="str">
        <f>IF($I82,$I82*TreatyCatch!BO253/SUM(TreatyCatch!$BL253:$BM253,TreatyCatch!$BO253:$BP253),"")</f>
        <v/>
      </c>
      <c r="N82" s="894" t="str">
        <f>IF($I82,$I82*TreatyCatch!BP253/SUM(TreatyCatch!$BL253:$BM253,TreatyCatch!$BO253:$BP253),"")</f>
        <v/>
      </c>
      <c r="O82" s="877" t="str">
        <f t="shared" si="29"/>
        <v/>
      </c>
      <c r="P82" s="765"/>
      <c r="Q82" s="882" t="str">
        <f>IF($P82,$P82*TreatyCatch!BR253/SUM(TreatyCatch!$BR253:$BS253,TreatyCatch!$BU253:$BV253),"")</f>
        <v/>
      </c>
      <c r="R82" s="883" t="str">
        <f>IF($P82,$P82*TreatyCatch!BS253/SUM(TreatyCatch!$BR253:$BS253,TreatyCatch!$BU253:$BV253),"")</f>
        <v/>
      </c>
      <c r="S82" s="871" t="str">
        <f t="shared" si="32"/>
        <v/>
      </c>
      <c r="T82" s="858" t="str">
        <f>IF($P82,$P82*TreatyCatch!BU253/SUM(TreatyCatch!$BR253:$BS253,TreatyCatch!$BU253:$BV253),"")</f>
        <v/>
      </c>
      <c r="U82" s="859" t="str">
        <f>IF($P82,$P82*TreatyCatch!BV253/SUM(TreatyCatch!$BR253:$BS253,TreatyCatch!$BU253:$BV253),"")</f>
        <v/>
      </c>
      <c r="V82" s="840" t="str">
        <f t="shared" si="33"/>
        <v/>
      </c>
      <c r="W82" s="958"/>
      <c r="X82" s="852" t="str">
        <f>IF($W82,$W82*TreatyCatch!BX253/SUM(TreatyCatch!$BX253:$BY253,TreatyCatch!$CA253:$CB253),"")</f>
        <v/>
      </c>
      <c r="Y82" s="853" t="str">
        <f>IF($W82,$W82*TreatyCatch!BY253/SUM(TreatyCatch!$BX253:$BY253,TreatyCatch!$CA253:$CB253),"")</f>
        <v/>
      </c>
      <c r="Z82" s="846" t="str">
        <f t="shared" si="34"/>
        <v/>
      </c>
      <c r="AA82" s="893" t="str">
        <f>IF($W82,$W82*TreatyCatch!CA253/SUM(TreatyCatch!$BX253:$BY253,TreatyCatch!$CA253:$CB253),"")</f>
        <v/>
      </c>
      <c r="AB82" s="894" t="str">
        <f>IF($W82,$W82*TreatyCatch!CB253/SUM(TreatyCatch!$BX253:$BY253,TreatyCatch!$CA253:$CB253),"")</f>
        <v/>
      </c>
      <c r="AC82" s="957" t="str">
        <f t="shared" si="35"/>
        <v/>
      </c>
      <c r="AD82" s="958"/>
      <c r="AE82" s="1056" t="str">
        <f>IF($AD82,$AD82*TreatyCatch!CD312/SUM(TreatyCatch!$CD312:$CE312,TreatyCatch!$CG312:$CH312),"")</f>
        <v/>
      </c>
      <c r="AF82" s="1057" t="str">
        <f>IF($AD82,$AD82*TreatyCatch!CE312/SUM(TreatyCatch!$CD312:$CE312,TreatyCatch!$CG312:$CH312),"")</f>
        <v/>
      </c>
      <c r="AG82" s="1058" t="str">
        <f t="shared" si="36"/>
        <v/>
      </c>
      <c r="AH82" s="1059" t="str">
        <f>IF($AD82,$AD82*TreatyCatch!CG312/SUM(TreatyCatch!$CD312:CE312,TreatyCatch!$CG312:$CH312),"")</f>
        <v/>
      </c>
      <c r="AI82" s="1060" t="str">
        <f>IF($AD82,$AD82*TreatyCatch!CH312/SUM(TreatyCatch!$CD312:CF312,TreatyCatch!$CG312:$CH312),"")</f>
        <v/>
      </c>
      <c r="AJ82" s="1061" t="str">
        <f t="shared" si="37"/>
        <v/>
      </c>
      <c r="AK82" s="958"/>
      <c r="AL82" s="852"/>
      <c r="AM82" s="853"/>
      <c r="AN82" s="846"/>
      <c r="AO82" s="893"/>
      <c r="AP82" s="894"/>
      <c r="AQ82" s="957"/>
      <c r="AR82" s="765"/>
      <c r="AS82" s="882"/>
      <c r="AT82" s="883"/>
      <c r="AU82" s="871"/>
      <c r="AV82" s="858"/>
      <c r="AW82" s="859"/>
      <c r="AX82" s="840"/>
      <c r="AY82" s="765"/>
      <c r="AZ82" s="852"/>
      <c r="BA82" s="853"/>
      <c r="BB82" s="846"/>
      <c r="BC82" s="893"/>
      <c r="BD82" s="894"/>
      <c r="BE82" s="957"/>
      <c r="BF82" s="765"/>
      <c r="BG82" s="882"/>
      <c r="BH82" s="883"/>
      <c r="BI82" s="871"/>
      <c r="BJ82" s="858"/>
      <c r="BK82" s="859"/>
      <c r="BL82" s="840"/>
      <c r="BM82" s="765"/>
      <c r="BN82" s="852"/>
      <c r="BO82" s="853"/>
      <c r="BP82" s="846"/>
      <c r="BQ82" s="893"/>
      <c r="BR82" s="894"/>
      <c r="BS82" s="957"/>
      <c r="BT82" s="765"/>
      <c r="BU82" s="882"/>
      <c r="BV82" s="883"/>
      <c r="BW82" s="871"/>
      <c r="BX82" s="858"/>
      <c r="BY82" s="859"/>
      <c r="BZ82" s="840"/>
      <c r="CA82" s="765"/>
      <c r="CB82" s="852"/>
      <c r="CC82" s="853"/>
      <c r="CD82" s="846"/>
      <c r="CE82" s="893"/>
      <c r="CF82" s="894"/>
      <c r="CG82" s="957"/>
      <c r="CH82" s="765"/>
      <c r="CI82" s="882"/>
      <c r="CJ82" s="883"/>
      <c r="CK82" s="871"/>
      <c r="CL82" s="858"/>
      <c r="CM82" s="859"/>
      <c r="CN82" s="840"/>
    </row>
    <row r="83" spans="1:92" x14ac:dyDescent="0.25">
      <c r="A83" s="757">
        <v>16</v>
      </c>
      <c r="B83" s="765"/>
      <c r="C83" s="870" t="str">
        <f>IF($B83,$B83*TreatyCatch!BF254/SUM(TreatyCatch!$BF254:$BG254,TreatyCatch!$BI254:$BJ254),"")</f>
        <v/>
      </c>
      <c r="D83" s="870" t="str">
        <f>IF($B83,$B83*TreatyCatch!BG254/SUM(TreatyCatch!$BF254:$BG254,TreatyCatch!$BI254:$BJ254),"")</f>
        <v/>
      </c>
      <c r="E83" s="871" t="str">
        <f t="shared" si="30"/>
        <v/>
      </c>
      <c r="F83" s="838" t="str">
        <f>IF($B83,$B83*TreatyCatch!BI254/SUM(TreatyCatch!$BF254:$BG254,TreatyCatch!$BI254:$BJ254),"")</f>
        <v/>
      </c>
      <c r="G83" s="866" t="str">
        <f>IF($B83,$B83*TreatyCatch!BJ254/SUM(TreatyCatch!$BF254:$BG254,TreatyCatch!$BI254:$BJ254),"")</f>
        <v/>
      </c>
      <c r="H83" s="840" t="str">
        <f t="shared" si="31"/>
        <v/>
      </c>
      <c r="I83" s="765"/>
      <c r="J83" s="852" t="str">
        <f>IF($I83,$I83*TreatyCatch!BL254/SUM(TreatyCatch!$BL254:$BM254,TreatyCatch!$BO254:$BP254),"")</f>
        <v/>
      </c>
      <c r="K83" s="853" t="str">
        <f>IF($I83,$I83*TreatyCatch!BM254/SUM(TreatyCatch!$BL254:$BM254,TreatyCatch!$BO254:$BP254),"")</f>
        <v/>
      </c>
      <c r="L83" s="846" t="str">
        <f t="shared" si="28"/>
        <v/>
      </c>
      <c r="M83" s="893" t="str">
        <f>IF($I83,$I83*TreatyCatch!BO254/SUM(TreatyCatch!$BL254:$BM254,TreatyCatch!$BO254:$BP254),"")</f>
        <v/>
      </c>
      <c r="N83" s="894" t="str">
        <f>IF($I83,$I83*TreatyCatch!BP254/SUM(TreatyCatch!$BL254:$BM254,TreatyCatch!$BO254:$BP254),"")</f>
        <v/>
      </c>
      <c r="O83" s="877" t="str">
        <f t="shared" si="29"/>
        <v/>
      </c>
      <c r="P83" s="765"/>
      <c r="Q83" s="882" t="str">
        <f>IF($P83,$P83*TreatyCatch!BR254/SUM(TreatyCatch!$BR254:$BS254,TreatyCatch!$BU254:$BV254),"")</f>
        <v/>
      </c>
      <c r="R83" s="883" t="str">
        <f>IF($P83,$P83*TreatyCatch!BS254/SUM(TreatyCatch!$BR254:$BS254,TreatyCatch!$BU254:$BV254),"")</f>
        <v/>
      </c>
      <c r="S83" s="871" t="str">
        <f t="shared" si="32"/>
        <v/>
      </c>
      <c r="T83" s="858" t="str">
        <f>IF($P83,$P83*TreatyCatch!BU254/SUM(TreatyCatch!$BR254:$BS254,TreatyCatch!$BU254:$BV254),"")</f>
        <v/>
      </c>
      <c r="U83" s="859" t="str">
        <f>IF($P83,$P83*TreatyCatch!BV254/SUM(TreatyCatch!$BR254:$BS254,TreatyCatch!$BU254:$BV254),"")</f>
        <v/>
      </c>
      <c r="V83" s="840" t="str">
        <f t="shared" si="33"/>
        <v/>
      </c>
      <c r="W83" s="958"/>
      <c r="X83" s="852" t="str">
        <f>IF($W83,$W83*TreatyCatch!BX254/SUM(TreatyCatch!$BX254:$BY254,TreatyCatch!$CA254:$CB254),"")</f>
        <v/>
      </c>
      <c r="Y83" s="853" t="str">
        <f>IF($W83,$W83*TreatyCatch!BY254/SUM(TreatyCatch!$BX254:$BY254,TreatyCatch!$CA254:$CB254),"")</f>
        <v/>
      </c>
      <c r="Z83" s="846" t="str">
        <f t="shared" si="34"/>
        <v/>
      </c>
      <c r="AA83" s="893" t="str">
        <f>IF($W83,$W83*TreatyCatch!CA254/SUM(TreatyCatch!$BX254:$BY254,TreatyCatch!$CA254:$CB254),"")</f>
        <v/>
      </c>
      <c r="AB83" s="894" t="str">
        <f>IF($W83,$W83*TreatyCatch!CB254/SUM(TreatyCatch!$BX254:$BY254,TreatyCatch!$CA254:$CB254),"")</f>
        <v/>
      </c>
      <c r="AC83" s="957" t="str">
        <f t="shared" si="35"/>
        <v/>
      </c>
      <c r="AD83" s="958"/>
      <c r="AE83" s="1056" t="str">
        <f>IF($AD83,$AD83*TreatyCatch!CD313/SUM(TreatyCatch!$CD313:$CE313,TreatyCatch!$CG313:$CH313),"")</f>
        <v/>
      </c>
      <c r="AF83" s="1057" t="str">
        <f>IF($AD83,$AD83*TreatyCatch!CE313/SUM(TreatyCatch!$CD313:$CE313,TreatyCatch!$CG313:$CH313),"")</f>
        <v/>
      </c>
      <c r="AG83" s="1058" t="str">
        <f t="shared" si="36"/>
        <v/>
      </c>
      <c r="AH83" s="1059" t="str">
        <f>IF($AD83,$AD83*TreatyCatch!CG313/SUM(TreatyCatch!$CD313:CE313,TreatyCatch!$CG313:$CH313),"")</f>
        <v/>
      </c>
      <c r="AI83" s="1060" t="str">
        <f>IF($AD83,$AD83*TreatyCatch!CH313/SUM(TreatyCatch!$CD313:CF313,TreatyCatch!$CG313:$CH313),"")</f>
        <v/>
      </c>
      <c r="AJ83" s="1061" t="str">
        <f t="shared" si="37"/>
        <v/>
      </c>
      <c r="AK83" s="958"/>
      <c r="AL83" s="852"/>
      <c r="AM83" s="853"/>
      <c r="AN83" s="846"/>
      <c r="AO83" s="893"/>
      <c r="AP83" s="894"/>
      <c r="AQ83" s="957"/>
      <c r="AR83" s="765"/>
      <c r="AS83" s="882"/>
      <c r="AT83" s="883"/>
      <c r="AU83" s="871"/>
      <c r="AV83" s="858"/>
      <c r="AW83" s="859"/>
      <c r="AX83" s="840"/>
      <c r="AY83" s="1657">
        <f>SUM(AZ83:BA83,BC83:BD83)</f>
        <v>3</v>
      </c>
      <c r="AZ83" s="852">
        <v>0</v>
      </c>
      <c r="BA83" s="853">
        <v>0</v>
      </c>
      <c r="BB83" s="1073">
        <f>IFERROR(AZ83+BD$5*BA83,"")</f>
        <v>0</v>
      </c>
      <c r="BC83" s="893">
        <v>3</v>
      </c>
      <c r="BD83" s="894">
        <v>0</v>
      </c>
      <c r="BE83" s="1080">
        <f>IFERROR(BC83+BD$5*BD83,"")</f>
        <v>3</v>
      </c>
      <c r="BF83" s="765"/>
      <c r="BG83" s="882"/>
      <c r="BH83" s="883"/>
      <c r="BI83" s="871"/>
      <c r="BJ83" s="858"/>
      <c r="BK83" s="859"/>
      <c r="BL83" s="840"/>
      <c r="BM83" s="1657"/>
      <c r="BN83" s="852"/>
      <c r="BO83" s="853"/>
      <c r="BP83" s="1073"/>
      <c r="BQ83" s="893"/>
      <c r="BR83" s="894"/>
      <c r="BS83" s="1080"/>
      <c r="BT83" s="765"/>
      <c r="BU83" s="882"/>
      <c r="BV83" s="883"/>
      <c r="BW83" s="871"/>
      <c r="BX83" s="858"/>
      <c r="BY83" s="859"/>
      <c r="BZ83" s="840"/>
      <c r="CA83" s="1657"/>
      <c r="CB83" s="852"/>
      <c r="CC83" s="853"/>
      <c r="CD83" s="1073"/>
      <c r="CE83" s="893"/>
      <c r="CF83" s="894"/>
      <c r="CG83" s="1080"/>
      <c r="CH83" s="765"/>
      <c r="CI83" s="882"/>
      <c r="CJ83" s="883"/>
      <c r="CK83" s="871"/>
      <c r="CL83" s="858"/>
      <c r="CM83" s="859"/>
      <c r="CN83" s="840"/>
    </row>
    <row r="84" spans="1:92" x14ac:dyDescent="0.25">
      <c r="A84" s="758">
        <v>17</v>
      </c>
      <c r="B84" s="766"/>
      <c r="C84" s="872" t="str">
        <f>IF($B84,$B84*TreatyCatch!BF255/SUM(TreatyCatch!$BF255:$BG255,TreatyCatch!$BI255:$BJ255),"")</f>
        <v/>
      </c>
      <c r="D84" s="872" t="str">
        <f>IF($B84,$B84*TreatyCatch!BG255/SUM(TreatyCatch!$BF255:$BG255,TreatyCatch!$BI255:$BJ255),"")</f>
        <v/>
      </c>
      <c r="E84" s="873" t="str">
        <f t="shared" si="30"/>
        <v/>
      </c>
      <c r="F84" s="843" t="str">
        <f>IF($B84,$B84*TreatyCatch!BI255/SUM(TreatyCatch!$BF255:$BG255,TreatyCatch!$BI255:$BJ255),"")</f>
        <v/>
      </c>
      <c r="G84" s="867" t="str">
        <f>IF($B84,$B84*TreatyCatch!BJ255/SUM(TreatyCatch!$BF255:$BG255,TreatyCatch!$BI255:$BJ255),"")</f>
        <v/>
      </c>
      <c r="H84" s="841" t="str">
        <f t="shared" si="31"/>
        <v/>
      </c>
      <c r="I84" s="766"/>
      <c r="J84" s="854" t="str">
        <f>IF($I84,$I84*TreatyCatch!BL255/SUM(TreatyCatch!$BL255:$BM255,TreatyCatch!$BO255:$BP255),"")</f>
        <v/>
      </c>
      <c r="K84" s="855" t="str">
        <f>IF($I84,$I84*TreatyCatch!BM255/SUM(TreatyCatch!$BL255:$BM255,TreatyCatch!$BO255:$BP255),"")</f>
        <v/>
      </c>
      <c r="L84" s="847" t="str">
        <f t="shared" si="28"/>
        <v/>
      </c>
      <c r="M84" s="895" t="str">
        <f>IF($I84,$I84*TreatyCatch!BO255/SUM(TreatyCatch!$BL255:$BM255,TreatyCatch!$BO255:$BP255),"")</f>
        <v/>
      </c>
      <c r="N84" s="896" t="str">
        <f>IF($I84,$I84*TreatyCatch!BP255/SUM(TreatyCatch!$BL255:$BM255,TreatyCatch!$BO255:$BP255),"")</f>
        <v/>
      </c>
      <c r="O84" s="879" t="str">
        <f t="shared" si="29"/>
        <v/>
      </c>
      <c r="P84" s="766"/>
      <c r="Q84" s="885" t="str">
        <f>IF($P84,$P84*TreatyCatch!BR255/SUM(TreatyCatch!$BR255:$BS255,TreatyCatch!$BU255:$BV255),"")</f>
        <v/>
      </c>
      <c r="R84" s="886" t="str">
        <f>IF($P84,$P84*TreatyCatch!BS255/SUM(TreatyCatch!$BR255:$BS255,TreatyCatch!$BU255:$BV255),"")</f>
        <v/>
      </c>
      <c r="S84" s="873" t="str">
        <f t="shared" si="32"/>
        <v/>
      </c>
      <c r="T84" s="861" t="str">
        <f>IF($P84,$P84*TreatyCatch!BU255/SUM(TreatyCatch!$BR255:$BS255,TreatyCatch!$BU255:$BV255),"")</f>
        <v/>
      </c>
      <c r="U84" s="862" t="str">
        <f>IF($P84,$P84*TreatyCatch!BV255/SUM(TreatyCatch!$BR255:$BS255,TreatyCatch!$BU255:$BV255),"")</f>
        <v/>
      </c>
      <c r="V84" s="841" t="str">
        <f t="shared" si="33"/>
        <v/>
      </c>
      <c r="W84" s="964"/>
      <c r="X84" s="854" t="str">
        <f>IF($W84,$W84*TreatyCatch!BX255/SUM(TreatyCatch!$BX255:$BY255,TreatyCatch!$CA255:$CB255),"")</f>
        <v/>
      </c>
      <c r="Y84" s="855" t="str">
        <f>IF($W84,$W84*TreatyCatch!BY255/SUM(TreatyCatch!$BX255:$BY255,TreatyCatch!$CA255:$CB255),"")</f>
        <v/>
      </c>
      <c r="Z84" s="847" t="str">
        <f t="shared" si="34"/>
        <v/>
      </c>
      <c r="AA84" s="895" t="str">
        <f>IF($W84,$W84*TreatyCatch!CA255/SUM(TreatyCatch!$BX255:$BY255,TreatyCatch!$CA255:$CB255),"")</f>
        <v/>
      </c>
      <c r="AB84" s="896" t="str">
        <f>IF($W84,$W84*TreatyCatch!CB255/SUM(TreatyCatch!$BX255:$BY255,TreatyCatch!$CA255:$CB255),"")</f>
        <v/>
      </c>
      <c r="AC84" s="963" t="str">
        <f t="shared" si="35"/>
        <v/>
      </c>
      <c r="AD84" s="964"/>
      <c r="AE84" s="1062" t="str">
        <f>IF($AD84,$AD84*TreatyCatch!CD314/SUM(TreatyCatch!$CD314:$CE314,TreatyCatch!$CG314:$CH314),"")</f>
        <v/>
      </c>
      <c r="AF84" s="1063" t="str">
        <f>IF($AD84,$AD84*TreatyCatch!CE314/SUM(TreatyCatch!$CD314:$CE314,TreatyCatch!$CG314:$CH314),"")</f>
        <v/>
      </c>
      <c r="AG84" s="1064" t="str">
        <f t="shared" si="36"/>
        <v/>
      </c>
      <c r="AH84" s="1065" t="str">
        <f>IF($AD84,$AD84*TreatyCatch!CG314/SUM(TreatyCatch!$CD314:CE314,TreatyCatch!$CG314:$CH314),"")</f>
        <v/>
      </c>
      <c r="AI84" s="1066" t="str">
        <f>IF($AD84,$AD84*TreatyCatch!CH314/SUM(TreatyCatch!$CD314:CF314,TreatyCatch!$CG314:$CH314),"")</f>
        <v/>
      </c>
      <c r="AJ84" s="1067" t="str">
        <f t="shared" si="37"/>
        <v/>
      </c>
      <c r="AK84" s="964"/>
      <c r="AL84" s="854"/>
      <c r="AM84" s="855"/>
      <c r="AN84" s="847"/>
      <c r="AO84" s="895"/>
      <c r="AP84" s="896"/>
      <c r="AQ84" s="963"/>
      <c r="AR84" s="766"/>
      <c r="AS84" s="885"/>
      <c r="AT84" s="886"/>
      <c r="AU84" s="873"/>
      <c r="AV84" s="861"/>
      <c r="AW84" s="862"/>
      <c r="AX84" s="841"/>
      <c r="AY84" s="766"/>
      <c r="AZ84" s="854"/>
      <c r="BA84" s="855"/>
      <c r="BB84" s="847"/>
      <c r="BC84" s="895"/>
      <c r="BD84" s="896"/>
      <c r="BE84" s="963"/>
      <c r="BF84" s="766"/>
      <c r="BG84" s="885"/>
      <c r="BH84" s="886"/>
      <c r="BI84" s="873"/>
      <c r="BJ84" s="861"/>
      <c r="BK84" s="862"/>
      <c r="BL84" s="841"/>
      <c r="BM84" s="766"/>
      <c r="BN84" s="854"/>
      <c r="BO84" s="855"/>
      <c r="BP84" s="847"/>
      <c r="BQ84" s="895"/>
      <c r="BR84" s="896"/>
      <c r="BS84" s="963"/>
      <c r="BT84" s="766"/>
      <c r="BU84" s="885"/>
      <c r="BV84" s="886"/>
      <c r="BW84" s="873"/>
      <c r="BX84" s="861"/>
      <c r="BY84" s="862"/>
      <c r="BZ84" s="841"/>
      <c r="CA84" s="766"/>
      <c r="CB84" s="854"/>
      <c r="CC84" s="855"/>
      <c r="CD84" s="847"/>
      <c r="CE84" s="895"/>
      <c r="CF84" s="896"/>
      <c r="CG84" s="963"/>
      <c r="CH84" s="766"/>
      <c r="CI84" s="885"/>
      <c r="CJ84" s="886"/>
      <c r="CK84" s="873"/>
      <c r="CL84" s="861"/>
      <c r="CM84" s="862"/>
      <c r="CN84" s="841"/>
    </row>
    <row r="85" spans="1:92" x14ac:dyDescent="0.25">
      <c r="A85" s="757">
        <v>18</v>
      </c>
      <c r="B85" s="765"/>
      <c r="C85" s="898" t="str">
        <f>IF($B85,$B85*TreatyCatch!BF256/SUM(TreatyCatch!$BF256:$BG256,TreatyCatch!$BI256:$BJ256),"")</f>
        <v/>
      </c>
      <c r="D85" s="844" t="str">
        <f>IF($B85,$B85*TreatyCatch!BG256/SUM(TreatyCatch!$BF256:$BG256,TreatyCatch!$BI256:$BJ256),"")</f>
        <v/>
      </c>
      <c r="E85" s="846" t="str">
        <f>IFERROR(C85+N$5*D85,"")</f>
        <v/>
      </c>
      <c r="F85" s="838" t="str">
        <f>IF($B85,$B85*TreatyCatch!BI256/SUM(TreatyCatch!$BF256:$BG256,TreatyCatch!$BI256:$BJ256),"")</f>
        <v/>
      </c>
      <c r="G85" s="866" t="str">
        <f>IF($B85,$B85*TreatyCatch!BJ256/SUM(TreatyCatch!$BF256:$BG256,TreatyCatch!$BI256:$BJ256),"")</f>
        <v/>
      </c>
      <c r="H85" s="840" t="str">
        <f t="shared" si="31"/>
        <v/>
      </c>
      <c r="I85" s="765"/>
      <c r="J85" s="882" t="str">
        <f>IF($I85,$I85*TreatyCatch!BL256/SUM(TreatyCatch!$BL256:$BM256,TreatyCatch!$BO256:$BP256),"")</f>
        <v/>
      </c>
      <c r="K85" s="883" t="str">
        <f>IF($I85,$I85*TreatyCatch!BM256/SUM(TreatyCatch!$BL256:$BM256,TreatyCatch!$BO256:$BP256),"")</f>
        <v/>
      </c>
      <c r="L85" s="901" t="str">
        <f>IFERROR(J85+U$5*K85,"")</f>
        <v/>
      </c>
      <c r="M85" s="893" t="str">
        <f>IF($I85,$I85*TreatyCatch!BO256/SUM(TreatyCatch!$BL256:$BM256,TreatyCatch!$BO256:$BP256),"")</f>
        <v/>
      </c>
      <c r="N85" s="894" t="str">
        <f>IF($I85,$I85*TreatyCatch!BP256/SUM(TreatyCatch!$BL256:$BM256,TreatyCatch!$BO256:$BP256),"")</f>
        <v/>
      </c>
      <c r="O85" s="877" t="str">
        <f t="shared" si="29"/>
        <v/>
      </c>
      <c r="P85" s="765"/>
      <c r="Q85" s="852" t="str">
        <f>IF($P85,$P85*TreatyCatch!BR256/SUM(TreatyCatch!$BR256:$BS256,TreatyCatch!$BU256:$BV256),"")</f>
        <v/>
      </c>
      <c r="R85" s="853" t="str">
        <f>IF($P85,$P85*TreatyCatch!BS256/SUM(TreatyCatch!$BR256:$BS256,TreatyCatch!$BU256:$BV256),"")</f>
        <v/>
      </c>
      <c r="S85" s="846" t="str">
        <f>IFERROR(Q85+AB$5*R85,"")</f>
        <v/>
      </c>
      <c r="T85" s="858" t="str">
        <f>IF($P85,$P85*TreatyCatch!BU256/SUM(TreatyCatch!$BR256:$BS256,TreatyCatch!$BU256:$BV256),"")</f>
        <v/>
      </c>
      <c r="U85" s="859" t="str">
        <f>IF($P85,$P85*TreatyCatch!BV256/SUM(TreatyCatch!$BR256:$BS256,TreatyCatch!$BU256:$BV256),"")</f>
        <v/>
      </c>
      <c r="V85" s="840" t="str">
        <f t="shared" si="33"/>
        <v/>
      </c>
      <c r="W85" s="958"/>
      <c r="X85" s="880" t="str">
        <f>IF($W85,$W85*TreatyCatch!BX256/SUM(TreatyCatch!$BX256:$BY256,TreatyCatch!$CA256:$CB256),"")</f>
        <v/>
      </c>
      <c r="Y85" s="881" t="str">
        <f>IF($W85,$W85*TreatyCatch!BY256/SUM(TreatyCatch!$BX256:$BY256,TreatyCatch!$CA256:$CB256),"")</f>
        <v/>
      </c>
      <c r="Z85" s="900" t="str">
        <f>IFERROR(X85+AI$5*Y85,"")</f>
        <v/>
      </c>
      <c r="AA85" s="891" t="str">
        <f>IF($W85,$W85*TreatyCatch!CA256/SUM(TreatyCatch!$BX256:$BY256,TreatyCatch!$CA256:$CB256),"")</f>
        <v/>
      </c>
      <c r="AB85" s="892" t="str">
        <f>IF($W85,$W85*TreatyCatch!CB256/SUM(TreatyCatch!$BX256:$BY256,TreatyCatch!$CA256:$CB256),"")</f>
        <v/>
      </c>
      <c r="AC85" s="956" t="str">
        <f t="shared" si="35"/>
        <v/>
      </c>
      <c r="AD85" s="958"/>
      <c r="AE85" s="1068" t="str">
        <f>IF($AD85,$AD85*TreatyCatch!CD315/SUM(TreatyCatch!$CD315:$CE315,TreatyCatch!$CG315:$CH315),"")</f>
        <v/>
      </c>
      <c r="AF85" s="1069" t="str">
        <f>IF($AD85,$AD85*TreatyCatch!CE315/SUM(TreatyCatch!$CD315:$CE315,TreatyCatch!$CG315:$CH315),"")</f>
        <v/>
      </c>
      <c r="AG85" s="1070" t="str">
        <f>IFERROR(AE85+AP$5*AF85,"")</f>
        <v/>
      </c>
      <c r="AH85" s="1059" t="str">
        <f>IF($AD85,$AD85*TreatyCatch!CG315/SUM(TreatyCatch!$CD315:CE315,TreatyCatch!$CG315:$CH315),"")</f>
        <v/>
      </c>
      <c r="AI85" s="1060" t="str">
        <f>IF($AD85,$AD85*TreatyCatch!CH315/SUM(TreatyCatch!$CD315:CF315,TreatyCatch!$CG315:$CH315),"")</f>
        <v/>
      </c>
      <c r="AJ85" s="1061" t="str">
        <f t="shared" si="37"/>
        <v/>
      </c>
      <c r="AK85" s="969"/>
      <c r="AL85" s="880"/>
      <c r="AM85" s="881"/>
      <c r="AN85" s="900"/>
      <c r="AO85" s="891"/>
      <c r="AP85" s="892"/>
      <c r="AQ85" s="956"/>
      <c r="AR85" s="765"/>
      <c r="AS85" s="852"/>
      <c r="AT85" s="853"/>
      <c r="AU85" s="846"/>
      <c r="AV85" s="858"/>
      <c r="AW85" s="859"/>
      <c r="AX85" s="840"/>
      <c r="AY85" s="765"/>
      <c r="AZ85" s="880"/>
      <c r="BA85" s="881"/>
      <c r="BB85" s="900"/>
      <c r="BC85" s="891"/>
      <c r="BD85" s="892"/>
      <c r="BE85" s="956"/>
      <c r="BF85" s="1657">
        <f>SUM(BG85:BH85,BJ85:BK85)</f>
        <v>7</v>
      </c>
      <c r="BG85" s="852">
        <v>0</v>
      </c>
      <c r="BH85" s="853">
        <v>0</v>
      </c>
      <c r="BI85" s="846">
        <f t="shared" ref="BI85:BI87" si="38">IFERROR(BG85+BR$5*BH85,"")</f>
        <v>0</v>
      </c>
      <c r="BJ85" s="858">
        <v>3</v>
      </c>
      <c r="BK85" s="859">
        <v>4</v>
      </c>
      <c r="BL85" s="840">
        <f>IFERROR(BJ85+BK$5*BK85,"")</f>
        <v>3.3416000000000001</v>
      </c>
      <c r="BM85" s="1687">
        <f>SUM(BN85:BO86,BQ85:BR85)</f>
        <v>23</v>
      </c>
      <c r="BN85" s="880">
        <v>0</v>
      </c>
      <c r="BO85" s="881">
        <v>0</v>
      </c>
      <c r="BP85" s="901">
        <f>BN85+BO85*BY$5</f>
        <v>0</v>
      </c>
      <c r="BQ85" s="891">
        <v>21.6</v>
      </c>
      <c r="BR85" s="892">
        <v>1.4</v>
      </c>
      <c r="BS85" s="957">
        <f>BQ85+BR85*BR$5</f>
        <v>21.719560000000001</v>
      </c>
      <c r="BT85" s="1687">
        <f>SUM(BU85:BV86,BX85:BY85)</f>
        <v>45</v>
      </c>
      <c r="BU85" s="852">
        <v>0</v>
      </c>
      <c r="BV85" s="853">
        <v>0</v>
      </c>
      <c r="BW85" s="952">
        <f>BU85+BV85*CF$5</f>
        <v>0</v>
      </c>
      <c r="BX85" s="858">
        <v>40.9</v>
      </c>
      <c r="BY85" s="859">
        <v>4.0999999999999996</v>
      </c>
      <c r="BZ85" s="840">
        <f>BX85+BY85*BY$5</f>
        <v>41.232099999999996</v>
      </c>
      <c r="CA85" s="1687">
        <f>SUM(CB85:CC86,CE85:CF85)</f>
        <v>25</v>
      </c>
      <c r="CB85" s="880">
        <v>0</v>
      </c>
      <c r="CC85" s="881">
        <v>0</v>
      </c>
      <c r="CD85" s="900">
        <f>CB85+CC85*CM$5</f>
        <v>0</v>
      </c>
      <c r="CE85" s="891">
        <v>10.869565217391305</v>
      </c>
      <c r="CF85" s="892">
        <v>14.130434782608695</v>
      </c>
      <c r="CG85" s="956">
        <f>CE85+CF85*CF$5</f>
        <v>12.093260869565217</v>
      </c>
      <c r="CH85" s="1687"/>
      <c r="CI85" s="852"/>
      <c r="CJ85" s="853"/>
      <c r="CK85" s="952"/>
      <c r="CL85" s="858"/>
      <c r="CM85" s="859"/>
      <c r="CN85" s="840"/>
    </row>
    <row r="86" spans="1:92" x14ac:dyDescent="0.25">
      <c r="A86" s="757">
        <v>19</v>
      </c>
      <c r="B86" s="765">
        <v>16</v>
      </c>
      <c r="C86" s="844">
        <f>IF($B86,$B86*TreatyCatch!BF257/SUM(TreatyCatch!$BF257:$BG257,TreatyCatch!$BI257:$BJ257),"")</f>
        <v>0</v>
      </c>
      <c r="D86" s="844">
        <f>IF($B86,$B86*TreatyCatch!BG257/SUM(TreatyCatch!$BF257:$BG257,TreatyCatch!$BI257:$BJ257),"")</f>
        <v>0</v>
      </c>
      <c r="E86" s="846">
        <f t="shared" ref="E86:E120" si="39">IFERROR(C86+N$5*D86,"")</f>
        <v>0</v>
      </c>
      <c r="F86" s="838">
        <f>IF($B86,$B86*TreatyCatch!BI257/SUM(TreatyCatch!$BF257:$BG257,TreatyCatch!$BI257:$BJ257),"")</f>
        <v>11</v>
      </c>
      <c r="G86" s="866">
        <f>IF($B86,$B86*TreatyCatch!BJ257/SUM(TreatyCatch!$BF257:$BG257,TreatyCatch!$BI257:$BJ257),"")</f>
        <v>5</v>
      </c>
      <c r="H86" s="840">
        <f t="shared" si="31"/>
        <v>11.330500000000001</v>
      </c>
      <c r="I86" s="765">
        <v>12</v>
      </c>
      <c r="J86" s="882">
        <f>IF($I86,$I86*TreatyCatch!BL257/SUM(TreatyCatch!$BL257:$BM257,TreatyCatch!$BO257:$BP257),"")</f>
        <v>0</v>
      </c>
      <c r="K86" s="883">
        <f>IF($I86,$I86*TreatyCatch!BM257/SUM(TreatyCatch!$BL257:$BM257,TreatyCatch!$BO257:$BP257),"")</f>
        <v>0</v>
      </c>
      <c r="L86" s="901">
        <f t="shared" ref="L86:L120" si="40">IFERROR(J86+U$5*K86,"")</f>
        <v>0</v>
      </c>
      <c r="M86" s="893">
        <f>IF($I86,$I86*TreatyCatch!BO257/SUM(TreatyCatch!$BL257:$BM257,TreatyCatch!$BO257:$BP257),"")</f>
        <v>4.9733124018838293</v>
      </c>
      <c r="N86" s="894">
        <f>IF($I86,$I86*TreatyCatch!BP257/SUM(TreatyCatch!$BL257:$BM257,TreatyCatch!$BO257:$BP257),"")</f>
        <v>7.0266875981161698</v>
      </c>
      <c r="O86" s="877">
        <f t="shared" si="29"/>
        <v>5.5811208791208777</v>
      </c>
      <c r="P86" s="765">
        <v>11</v>
      </c>
      <c r="Q86" s="852">
        <f>IF($P86,$P86*TreatyCatch!BR257/SUM(TreatyCatch!$BR257:$BS257,TreatyCatch!$BU257:$BV257),"")</f>
        <v>0</v>
      </c>
      <c r="R86" s="853">
        <f>IF($P86,$P86*TreatyCatch!BS257/SUM(TreatyCatch!$BR257:$BS257,TreatyCatch!$BU257:$BV257),"")</f>
        <v>0</v>
      </c>
      <c r="S86" s="952">
        <f t="shared" ref="S86:S120" si="41">IFERROR(Q86+AB$5*R86,"")</f>
        <v>0</v>
      </c>
      <c r="T86" s="858">
        <f>IF($P86,$P86*TreatyCatch!BU257/SUM(TreatyCatch!$BR257:$BS257,TreatyCatch!$BU257:$BV257),"")</f>
        <v>8.5555555555555554</v>
      </c>
      <c r="U86" s="859">
        <f>IF($P86,$P86*TreatyCatch!BV257/SUM(TreatyCatch!$BR257:$BS257,TreatyCatch!$BU257:$BV257),"")</f>
        <v>2.4444444444444442</v>
      </c>
      <c r="V86" s="840">
        <f t="shared" si="33"/>
        <v>8.7706666666666671</v>
      </c>
      <c r="W86" s="958">
        <v>10</v>
      </c>
      <c r="X86" s="882">
        <v>0</v>
      </c>
      <c r="Y86" s="883">
        <v>0</v>
      </c>
      <c r="Z86" s="901">
        <f t="shared" ref="Z86:Z120" si="42">IFERROR(X86+AI$5*Y86,"")</f>
        <v>0</v>
      </c>
      <c r="AA86" s="893">
        <v>6</v>
      </c>
      <c r="AB86" s="894">
        <v>4</v>
      </c>
      <c r="AC86" s="957">
        <f t="shared" si="35"/>
        <v>6.3472</v>
      </c>
      <c r="AD86" s="958">
        <v>1</v>
      </c>
      <c r="AE86" s="1090">
        <v>0</v>
      </c>
      <c r="AF86" s="1091">
        <v>0</v>
      </c>
      <c r="AG86" s="1073">
        <f t="shared" ref="AG86:AG120" si="43">IFERROR(AE86+AP$5*AF86,"")</f>
        <v>0</v>
      </c>
      <c r="AH86" s="1091">
        <v>1</v>
      </c>
      <c r="AI86" s="1092">
        <v>0</v>
      </c>
      <c r="AJ86" s="1061">
        <f t="shared" si="37"/>
        <v>1</v>
      </c>
      <c r="AK86" s="958">
        <v>5</v>
      </c>
      <c r="AL86" s="1496">
        <v>0</v>
      </c>
      <c r="AM86" s="1497">
        <v>0</v>
      </c>
      <c r="AN86" s="1058">
        <f t="shared" ref="AN86:AN88" si="44">IFERROR(AL86+AW$5*AM86,"")</f>
        <v>0</v>
      </c>
      <c r="AO86" s="1497">
        <v>0</v>
      </c>
      <c r="AP86" s="1498">
        <v>5</v>
      </c>
      <c r="AQ86" s="1080">
        <f t="shared" ref="AQ86:AQ88" si="45">IFERROR(AO86+AP$5*AP86,"")</f>
        <v>0.439</v>
      </c>
      <c r="AR86" s="765"/>
      <c r="AS86" s="852"/>
      <c r="AT86" s="853"/>
      <c r="AU86" s="952"/>
      <c r="AV86" s="858"/>
      <c r="AW86" s="859"/>
      <c r="AX86" s="840"/>
      <c r="AY86" s="1657">
        <f>SUM(AZ86:BA86,BC86:BD86)</f>
        <v>6</v>
      </c>
      <c r="AZ86" s="882">
        <v>0</v>
      </c>
      <c r="BA86" s="883">
        <v>0</v>
      </c>
      <c r="BB86" s="1058">
        <f t="shared" ref="BB86:BB89" si="46">IFERROR(AZ86+BK$5*BA86,"")</f>
        <v>0</v>
      </c>
      <c r="BC86" s="893">
        <v>5</v>
      </c>
      <c r="BD86" s="894">
        <v>1</v>
      </c>
      <c r="BE86" s="1080">
        <f>IFERROR(BC86+BD$5*BD86,"")</f>
        <v>5.0894000000000004</v>
      </c>
      <c r="BF86" s="765"/>
      <c r="BG86" s="852"/>
      <c r="BH86" s="853"/>
      <c r="BI86" s="952"/>
      <c r="BJ86" s="858"/>
      <c r="BK86" s="859"/>
      <c r="BL86" s="840"/>
      <c r="BM86" s="1657"/>
      <c r="BN86" s="882"/>
      <c r="BO86" s="883"/>
      <c r="BP86" s="1058"/>
      <c r="BQ86" s="893"/>
      <c r="BR86" s="894"/>
      <c r="BS86" s="1080"/>
      <c r="BT86" s="1687">
        <f>SUM(BU86:BV87,BX86:BY86)</f>
        <v>48</v>
      </c>
      <c r="BU86" s="852">
        <v>0</v>
      </c>
      <c r="BV86" s="853">
        <v>0</v>
      </c>
      <c r="BW86" s="952">
        <f>BU86+BV86*CF$5</f>
        <v>0</v>
      </c>
      <c r="BX86" s="858">
        <v>36</v>
      </c>
      <c r="BY86" s="859">
        <v>12</v>
      </c>
      <c r="BZ86" s="840">
        <f>BX86+BY86*BY$5</f>
        <v>36.972000000000001</v>
      </c>
      <c r="CA86" s="1687">
        <f>SUM(CB86:CC87,CE86:CF86)</f>
        <v>32</v>
      </c>
      <c r="CB86" s="882">
        <v>0</v>
      </c>
      <c r="CC86" s="883">
        <v>0</v>
      </c>
      <c r="CD86" s="1058">
        <f>CB86+CC86*CM$5</f>
        <v>0</v>
      </c>
      <c r="CE86" s="893">
        <v>24.727272727272727</v>
      </c>
      <c r="CF86" s="894">
        <v>7.2727272727272734</v>
      </c>
      <c r="CG86" s="1080">
        <f>CE86+CF86*CF$5</f>
        <v>25.357090909090907</v>
      </c>
      <c r="CH86" s="1687"/>
      <c r="CI86" s="852"/>
      <c r="CJ86" s="853"/>
      <c r="CK86" s="952"/>
      <c r="CL86" s="858"/>
      <c r="CM86" s="859"/>
      <c r="CN86" s="840"/>
    </row>
    <row r="87" spans="1:92" x14ac:dyDescent="0.25">
      <c r="A87" s="757">
        <v>20</v>
      </c>
      <c r="B87" s="765"/>
      <c r="C87" s="844" t="str">
        <f>IF($B87,$B87*TreatyCatch!BF258/SUM(TreatyCatch!$BF258:$BG258,TreatyCatch!$BI258:$BJ258),"")</f>
        <v/>
      </c>
      <c r="D87" s="844" t="str">
        <f>IF($B87,$B87*TreatyCatch!BG258/SUM(TreatyCatch!$BF258:$BG258,TreatyCatch!$BI258:$BJ258),"")</f>
        <v/>
      </c>
      <c r="E87" s="846" t="str">
        <f t="shared" si="39"/>
        <v/>
      </c>
      <c r="F87" s="838" t="str">
        <f>IF($B87,$B87*TreatyCatch!BI258/SUM(TreatyCatch!$BF258:$BG258,TreatyCatch!$BI258:$BJ258),"")</f>
        <v/>
      </c>
      <c r="G87" s="866" t="str">
        <f>IF($B87,$B87*TreatyCatch!BJ258/SUM(TreatyCatch!$BF258:$BG258,TreatyCatch!$BI258:$BJ258),"")</f>
        <v/>
      </c>
      <c r="H87" s="840" t="str">
        <f t="shared" si="31"/>
        <v/>
      </c>
      <c r="I87" s="765"/>
      <c r="J87" s="882" t="str">
        <f>IF($I87,$I87*TreatyCatch!BL258/SUM(TreatyCatch!$BL258:$BM258,TreatyCatch!$BO258:$BP258),"")</f>
        <v/>
      </c>
      <c r="K87" s="883" t="str">
        <f>IF($I87,$I87*TreatyCatch!BM258/SUM(TreatyCatch!$BL258:$BM258,TreatyCatch!$BO258:$BP258),"")</f>
        <v/>
      </c>
      <c r="L87" s="901" t="str">
        <f t="shared" si="40"/>
        <v/>
      </c>
      <c r="M87" s="893" t="str">
        <f>IF($I87,$I87*TreatyCatch!BO258/SUM(TreatyCatch!$BL258:$BM258,TreatyCatch!$BO258:$BP258),"")</f>
        <v/>
      </c>
      <c r="N87" s="894" t="str">
        <f>IF($I87,$I87*TreatyCatch!BP258/SUM(TreatyCatch!$BL258:$BM258,TreatyCatch!$BO258:$BP258),"")</f>
        <v/>
      </c>
      <c r="O87" s="877" t="str">
        <f t="shared" si="29"/>
        <v/>
      </c>
      <c r="P87" s="765">
        <v>10</v>
      </c>
      <c r="Q87" s="852">
        <f>IF($P87,$P87*TreatyCatch!BR258/SUM(TreatyCatch!$BR258:$BS258,TreatyCatch!$BU258:$BV258),"")</f>
        <v>0</v>
      </c>
      <c r="R87" s="853">
        <f>IF($P87,$P87*TreatyCatch!BS258/SUM(TreatyCatch!$BR258:$BS258,TreatyCatch!$BU258:$BV258),"")</f>
        <v>0</v>
      </c>
      <c r="S87" s="952">
        <f t="shared" si="41"/>
        <v>0</v>
      </c>
      <c r="T87" s="858">
        <f>IF($P87,$P87*TreatyCatch!BU258/SUM(TreatyCatch!$BR258:$BS258,TreatyCatch!$BU258:$BV258),"")</f>
        <v>3.8095238095238093</v>
      </c>
      <c r="U87" s="859">
        <f>IF($P87,$P87*TreatyCatch!BV258/SUM(TreatyCatch!$BR258:$BS258,TreatyCatch!$BU258:$BV258),"")</f>
        <v>6.1904761904761907</v>
      </c>
      <c r="V87" s="840">
        <f t="shared" si="33"/>
        <v>4.3542857142857141</v>
      </c>
      <c r="W87" s="958">
        <v>1</v>
      </c>
      <c r="X87" s="882">
        <v>0</v>
      </c>
      <c r="Y87" s="883">
        <v>0</v>
      </c>
      <c r="Z87" s="901">
        <f t="shared" si="42"/>
        <v>0</v>
      </c>
      <c r="AA87" s="893">
        <v>0</v>
      </c>
      <c r="AB87" s="894">
        <v>1</v>
      </c>
      <c r="AC87" s="957">
        <f t="shared" si="35"/>
        <v>8.6800000000000002E-2</v>
      </c>
      <c r="AD87" s="958">
        <v>2</v>
      </c>
      <c r="AE87" s="1090">
        <v>0</v>
      </c>
      <c r="AF87" s="1091">
        <v>0</v>
      </c>
      <c r="AG87" s="1073">
        <f t="shared" si="43"/>
        <v>0</v>
      </c>
      <c r="AH87" s="1091">
        <v>1</v>
      </c>
      <c r="AI87" s="1092">
        <v>1</v>
      </c>
      <c r="AJ87" s="1061">
        <f t="shared" si="37"/>
        <v>1.0885</v>
      </c>
      <c r="AK87" s="958">
        <v>5</v>
      </c>
      <c r="AL87" s="1496">
        <v>0</v>
      </c>
      <c r="AM87" s="1497">
        <v>0</v>
      </c>
      <c r="AN87" s="1058">
        <f t="shared" si="44"/>
        <v>0</v>
      </c>
      <c r="AO87" s="1497">
        <v>2</v>
      </c>
      <c r="AP87" s="1498">
        <v>3</v>
      </c>
      <c r="AQ87" s="1080">
        <f t="shared" si="45"/>
        <v>2.2633999999999999</v>
      </c>
      <c r="AR87" s="765">
        <v>3</v>
      </c>
      <c r="AS87" s="852">
        <v>1</v>
      </c>
      <c r="AT87" s="853">
        <v>0</v>
      </c>
      <c r="AU87" s="1073">
        <f t="shared" ref="AU87" si="47">IFERROR(AS87+BD$5*AT87,"")</f>
        <v>1</v>
      </c>
      <c r="AV87" s="858">
        <v>1</v>
      </c>
      <c r="AW87" s="859">
        <v>1</v>
      </c>
      <c r="AX87" s="1061">
        <f t="shared" ref="AX87" si="48">IFERROR(AV87+AW$5*AW87,"")</f>
        <v>1.0868</v>
      </c>
      <c r="AY87" s="1657">
        <f>SUM(AZ87:BA87,BC87:BD87)</f>
        <v>1</v>
      </c>
      <c r="AZ87" s="882">
        <v>0</v>
      </c>
      <c r="BA87" s="883">
        <v>0</v>
      </c>
      <c r="BB87" s="1058">
        <f t="shared" si="46"/>
        <v>0</v>
      </c>
      <c r="BC87" s="893">
        <v>0</v>
      </c>
      <c r="BD87" s="894">
        <v>1</v>
      </c>
      <c r="BE87" s="1080">
        <f>IFERROR(BC87+BD$5*BD87,"")</f>
        <v>8.9399999999999993E-2</v>
      </c>
      <c r="BF87" s="1657">
        <f>SUM(BG87:BH87,BJ87:BK87)</f>
        <v>4</v>
      </c>
      <c r="BG87" s="852">
        <v>0</v>
      </c>
      <c r="BH87" s="853">
        <v>0</v>
      </c>
      <c r="BI87" s="846">
        <f t="shared" si="38"/>
        <v>0</v>
      </c>
      <c r="BJ87" s="858">
        <v>3</v>
      </c>
      <c r="BK87" s="859">
        <v>1</v>
      </c>
      <c r="BL87" s="840">
        <f>IFERROR(BJ87+BK$5*BK87,"")</f>
        <v>3.0853999999999999</v>
      </c>
      <c r="BM87" s="1657"/>
      <c r="BN87" s="882"/>
      <c r="BO87" s="883"/>
      <c r="BP87" s="1058"/>
      <c r="BQ87" s="893"/>
      <c r="BR87" s="894"/>
      <c r="BS87" s="1080"/>
      <c r="BT87" s="1687">
        <f>SUM(BU87:BV88,BX87:BY87)</f>
        <v>12</v>
      </c>
      <c r="BU87" s="852">
        <v>0</v>
      </c>
      <c r="BV87" s="853">
        <v>0</v>
      </c>
      <c r="BW87" s="952">
        <f>BU87+BV87*CF$5</f>
        <v>0</v>
      </c>
      <c r="BX87" s="858">
        <v>10.8</v>
      </c>
      <c r="BY87" s="859">
        <v>1.2</v>
      </c>
      <c r="BZ87" s="840">
        <f>BX87+BY87*BY$5</f>
        <v>10.897200000000002</v>
      </c>
      <c r="CA87" s="1687">
        <f>SUM(CB87:CC88,CE87:CF87)</f>
        <v>29</v>
      </c>
      <c r="CB87" s="882">
        <v>0</v>
      </c>
      <c r="CC87" s="883">
        <v>0</v>
      </c>
      <c r="CD87" s="1058">
        <f>CB87+CC87*CM$5</f>
        <v>0</v>
      </c>
      <c r="CE87" s="893">
        <v>12</v>
      </c>
      <c r="CF87" s="894">
        <v>17</v>
      </c>
      <c r="CG87" s="1080">
        <f>CE87+CF87*CF$5</f>
        <v>13.472200000000001</v>
      </c>
      <c r="CH87" s="1687"/>
      <c r="CI87" s="852"/>
      <c r="CJ87" s="853"/>
      <c r="CK87" s="952"/>
      <c r="CL87" s="858"/>
      <c r="CM87" s="859"/>
      <c r="CN87" s="840"/>
    </row>
    <row r="88" spans="1:92" x14ac:dyDescent="0.25">
      <c r="A88" s="757">
        <v>21</v>
      </c>
      <c r="B88" s="765">
        <v>21</v>
      </c>
      <c r="C88" s="844">
        <f>IF($B88,$B88*TreatyCatch!BF259/SUM(TreatyCatch!$BF259:$BG259,TreatyCatch!$BI259:$BJ259),"")</f>
        <v>0</v>
      </c>
      <c r="D88" s="844">
        <f>IF($B88,$B88*TreatyCatch!BG259/SUM(TreatyCatch!$BF259:$BG259,TreatyCatch!$BI259:$BJ259),"")</f>
        <v>0</v>
      </c>
      <c r="E88" s="846">
        <f t="shared" si="39"/>
        <v>0</v>
      </c>
      <c r="F88" s="838">
        <f>IF($B88,$B88*TreatyCatch!BI259/SUM(TreatyCatch!$BF259:$BG259,TreatyCatch!$BI259:$BJ259),"")</f>
        <v>2.625</v>
      </c>
      <c r="G88" s="866">
        <f>IF($B88,$B88*TreatyCatch!BJ259/SUM(TreatyCatch!$BF259:$BG259,TreatyCatch!$BI259:$BJ259),"")</f>
        <v>18.375</v>
      </c>
      <c r="H88" s="840">
        <f t="shared" si="31"/>
        <v>3.8395875000000004</v>
      </c>
      <c r="I88" s="765">
        <v>11</v>
      </c>
      <c r="J88" s="882">
        <f>IF($I88,$I88*TreatyCatch!BL259/SUM(TreatyCatch!$BL259:$BM259,TreatyCatch!$BO259:$BP259),"")</f>
        <v>0.22448979591836735</v>
      </c>
      <c r="K88" s="883">
        <f>IF($I88,$I88*TreatyCatch!BM259/SUM(TreatyCatch!$BL259:$BM259,TreatyCatch!$BO259:$BP259),"")</f>
        <v>0</v>
      </c>
      <c r="L88" s="901">
        <f t="shared" si="40"/>
        <v>0.22448979591836735</v>
      </c>
      <c r="M88" s="893">
        <f>IF($I88,$I88*TreatyCatch!BO259/SUM(TreatyCatch!$BL259:$BM259,TreatyCatch!$BO259:$BP259),"")</f>
        <v>3.1428571428571432</v>
      </c>
      <c r="N88" s="894">
        <f>IF($I88,$I88*TreatyCatch!BP259/SUM(TreatyCatch!$BL259:$BM259,TreatyCatch!$BO259:$BP259),"")</f>
        <v>7.6326530612244889</v>
      </c>
      <c r="O88" s="877">
        <f t="shared" si="29"/>
        <v>3.8030816326530612</v>
      </c>
      <c r="P88" s="765">
        <v>9</v>
      </c>
      <c r="Q88" s="852">
        <f>IF($P88,$P88*TreatyCatch!BR259/SUM(TreatyCatch!$BR259:$BS259,TreatyCatch!$BU259:$BV259),"")</f>
        <v>0</v>
      </c>
      <c r="R88" s="853">
        <f>IF($P88,$P88*TreatyCatch!BS259/SUM(TreatyCatch!$BR259:$BS259,TreatyCatch!$BU259:$BV259),"")</f>
        <v>0</v>
      </c>
      <c r="S88" s="952">
        <f t="shared" si="41"/>
        <v>0</v>
      </c>
      <c r="T88" s="858">
        <f>IF($P88,$P88*TreatyCatch!BU259/SUM(TreatyCatch!$BR259:$BS259,TreatyCatch!$BU259:$BV259),"")</f>
        <v>3.7173913043478262</v>
      </c>
      <c r="U88" s="859">
        <f>IF($P88,$P88*TreatyCatch!BV259/SUM(TreatyCatch!$BR259:$BS259,TreatyCatch!$BU259:$BV259),"")</f>
        <v>5.2826086956521747</v>
      </c>
      <c r="V88" s="840">
        <f t="shared" si="33"/>
        <v>4.1822608695652175</v>
      </c>
      <c r="W88" s="958">
        <v>2</v>
      </c>
      <c r="X88" s="882">
        <v>0</v>
      </c>
      <c r="Y88" s="883">
        <v>0</v>
      </c>
      <c r="Z88" s="901">
        <f t="shared" si="42"/>
        <v>0</v>
      </c>
      <c r="AA88" s="893">
        <v>0</v>
      </c>
      <c r="AB88" s="894">
        <v>2</v>
      </c>
      <c r="AC88" s="957">
        <f t="shared" si="35"/>
        <v>0.1736</v>
      </c>
      <c r="AD88" s="958">
        <v>2</v>
      </c>
      <c r="AE88" s="1090">
        <v>0</v>
      </c>
      <c r="AF88" s="1091">
        <v>0</v>
      </c>
      <c r="AG88" s="1073">
        <f t="shared" si="43"/>
        <v>0</v>
      </c>
      <c r="AH88" s="1091">
        <v>1</v>
      </c>
      <c r="AI88" s="1092">
        <v>1</v>
      </c>
      <c r="AJ88" s="1061">
        <f t="shared" si="37"/>
        <v>1.0885</v>
      </c>
      <c r="AK88" s="958">
        <v>1</v>
      </c>
      <c r="AL88" s="1496">
        <v>0</v>
      </c>
      <c r="AM88" s="1497">
        <v>0</v>
      </c>
      <c r="AN88" s="1058">
        <f t="shared" si="44"/>
        <v>0</v>
      </c>
      <c r="AO88" s="1497">
        <v>0.4</v>
      </c>
      <c r="AP88" s="1498">
        <v>0.6</v>
      </c>
      <c r="AQ88" s="1080">
        <f t="shared" si="45"/>
        <v>0.45268000000000003</v>
      </c>
      <c r="AR88" s="765"/>
      <c r="AS88" s="852"/>
      <c r="AT88" s="853"/>
      <c r="AU88" s="952"/>
      <c r="AV88" s="858"/>
      <c r="AW88" s="859"/>
      <c r="AX88" s="840"/>
      <c r="AY88" s="1657">
        <f>SUM(AZ88:BA88,BC88:BD88)</f>
        <v>4</v>
      </c>
      <c r="AZ88" s="882">
        <v>0</v>
      </c>
      <c r="BA88" s="883">
        <v>0</v>
      </c>
      <c r="BB88" s="1058">
        <f t="shared" si="46"/>
        <v>0</v>
      </c>
      <c r="BC88" s="893">
        <v>0</v>
      </c>
      <c r="BD88" s="894">
        <v>4</v>
      </c>
      <c r="BE88" s="1080">
        <f>IFERROR(BC88+BD$5*BD88,"")</f>
        <v>0.35759999999999997</v>
      </c>
      <c r="BF88" s="765"/>
      <c r="BG88" s="852"/>
      <c r="BH88" s="853"/>
      <c r="BI88" s="952"/>
      <c r="BJ88" s="858"/>
      <c r="BK88" s="859"/>
      <c r="BL88" s="840"/>
      <c r="BM88" s="1687">
        <f>SUM(BN88:BO89,BQ88:BR88)</f>
        <v>8</v>
      </c>
      <c r="BN88" s="882">
        <v>0</v>
      </c>
      <c r="BO88" s="883">
        <v>0</v>
      </c>
      <c r="BP88" s="901">
        <f>BN88+BO88*BY$5</f>
        <v>0</v>
      </c>
      <c r="BQ88" s="893">
        <v>1</v>
      </c>
      <c r="BR88" s="894">
        <v>7</v>
      </c>
      <c r="BS88" s="957">
        <f>BQ88+BR88*BR$5</f>
        <v>1.5977999999999999</v>
      </c>
      <c r="BT88" s="1687">
        <f>SUM(BU88:BV89,BX88:BY88)</f>
        <v>1</v>
      </c>
      <c r="BU88" s="852">
        <v>0</v>
      </c>
      <c r="BV88" s="853">
        <v>0</v>
      </c>
      <c r="BW88" s="952">
        <f>BU88+BV88*CF$5</f>
        <v>0</v>
      </c>
      <c r="BX88" s="858">
        <v>0</v>
      </c>
      <c r="BY88" s="859">
        <v>1</v>
      </c>
      <c r="BZ88" s="840">
        <f>BX88+BY88*BY$5</f>
        <v>8.1000000000000003E-2</v>
      </c>
      <c r="CA88" s="1687">
        <f>SUM(CB88:CC89,CE88:CF88)</f>
        <v>14</v>
      </c>
      <c r="CB88" s="882">
        <v>0</v>
      </c>
      <c r="CC88" s="883">
        <v>0</v>
      </c>
      <c r="CD88" s="1058">
        <f>CB88+CC88*CM$5</f>
        <v>0</v>
      </c>
      <c r="CE88" s="893">
        <v>2.1538461538461537</v>
      </c>
      <c r="CF88" s="894">
        <v>11.846153846153847</v>
      </c>
      <c r="CG88" s="1080">
        <f>CE88+CF88*CF$5</f>
        <v>3.1797230769230769</v>
      </c>
      <c r="CH88" s="1687"/>
      <c r="CI88" s="852"/>
      <c r="CJ88" s="853"/>
      <c r="CK88" s="952"/>
      <c r="CL88" s="858"/>
      <c r="CM88" s="859"/>
      <c r="CN88" s="840"/>
    </row>
    <row r="89" spans="1:92" x14ac:dyDescent="0.25">
      <c r="A89" s="757">
        <v>22</v>
      </c>
      <c r="B89" s="765"/>
      <c r="C89" s="844" t="str">
        <f>IF($B89,$B89*TreatyCatch!BF260/SUM(TreatyCatch!$BF260:$BG260,TreatyCatch!$BI260:$BJ260),"")</f>
        <v/>
      </c>
      <c r="D89" s="844" t="str">
        <f>IF($B89,$B89*TreatyCatch!BG260/SUM(TreatyCatch!$BF260:$BG260,TreatyCatch!$BI260:$BJ260),"")</f>
        <v/>
      </c>
      <c r="E89" s="846" t="str">
        <f t="shared" si="39"/>
        <v/>
      </c>
      <c r="F89" s="838" t="str">
        <f>IF($B89,$B89*TreatyCatch!BI260/SUM(TreatyCatch!$BF260:$BG260,TreatyCatch!$BI260:$BJ260),"")</f>
        <v/>
      </c>
      <c r="G89" s="866" t="str">
        <f>IF($B89,$B89*TreatyCatch!BJ260/SUM(TreatyCatch!$BF260:$BG260,TreatyCatch!$BI260:$BJ260),"")</f>
        <v/>
      </c>
      <c r="H89" s="840" t="str">
        <f t="shared" si="31"/>
        <v/>
      </c>
      <c r="I89" s="765"/>
      <c r="J89" s="882" t="str">
        <f>IF($I89,$I89*TreatyCatch!BL260/SUM(TreatyCatch!$BL260:$BM260,TreatyCatch!$BO260:$BP260),"")</f>
        <v/>
      </c>
      <c r="K89" s="883" t="str">
        <f>IF($I89,$I89*TreatyCatch!BM260/SUM(TreatyCatch!$BL260:$BM260,TreatyCatch!$BO260:$BP260),"")</f>
        <v/>
      </c>
      <c r="L89" s="901" t="str">
        <f t="shared" si="40"/>
        <v/>
      </c>
      <c r="M89" s="893" t="str">
        <f>IF($I89,$I89*TreatyCatch!BO260/SUM(TreatyCatch!$BL260:$BM260,TreatyCatch!$BO260:$BP260),"")</f>
        <v/>
      </c>
      <c r="N89" s="894" t="str">
        <f>IF($I89,$I89*TreatyCatch!BP260/SUM(TreatyCatch!$BL260:$BM260,TreatyCatch!$BO260:$BP260),"")</f>
        <v/>
      </c>
      <c r="O89" s="877" t="str">
        <f t="shared" si="29"/>
        <v/>
      </c>
      <c r="P89" s="765"/>
      <c r="Q89" s="852" t="str">
        <f>IF($P89,$P89*TreatyCatch!BR260/SUM(TreatyCatch!$BR260:$BS260,TreatyCatch!$BU260:$BV260),"")</f>
        <v/>
      </c>
      <c r="R89" s="853" t="str">
        <f>IF($P89,$P89*TreatyCatch!BS260/SUM(TreatyCatch!$BR260:$BS260,TreatyCatch!$BU260:$BV260),"")</f>
        <v/>
      </c>
      <c r="S89" s="856" t="str">
        <f t="shared" si="41"/>
        <v/>
      </c>
      <c r="T89" s="858" t="str">
        <f>IF($P89,$P89*TreatyCatch!BU260/SUM(TreatyCatch!$BR260:$BS260,TreatyCatch!$BU260:$BV260),"")</f>
        <v/>
      </c>
      <c r="U89" s="859" t="str">
        <f>IF($P89,$P89*TreatyCatch!BV260/SUM(TreatyCatch!$BR260:$BS260,TreatyCatch!$BU260:$BV260),"")</f>
        <v/>
      </c>
      <c r="V89" s="840" t="str">
        <f t="shared" si="33"/>
        <v/>
      </c>
      <c r="W89" s="958"/>
      <c r="X89" s="882" t="str">
        <f>IF($W89,$W89*TreatyCatch!BX260/SUM(TreatyCatch!$BX260:$BY260,TreatyCatch!$CA260:$CB260),"")</f>
        <v/>
      </c>
      <c r="Y89" s="883" t="str">
        <f>IF($W89,$W89*TreatyCatch!BY260/SUM(TreatyCatch!$BX260:$BY260,TreatyCatch!$CA260:$CB260),"")</f>
        <v/>
      </c>
      <c r="Z89" s="901" t="str">
        <f t="shared" si="42"/>
        <v/>
      </c>
      <c r="AA89" s="893" t="str">
        <f>IF($W89,$W89*TreatyCatch!CA260/SUM(TreatyCatch!$BX260:$BY260,TreatyCatch!$CA260:$CB260),"")</f>
        <v/>
      </c>
      <c r="AB89" s="894" t="str">
        <f>IF($W89,$W89*TreatyCatch!CB260/SUM(TreatyCatch!$BX260:$BY260,TreatyCatch!$CA260:$CB260),"")</f>
        <v/>
      </c>
      <c r="AC89" s="957" t="str">
        <f t="shared" si="35"/>
        <v/>
      </c>
      <c r="AD89" s="958"/>
      <c r="AE89" s="1071" t="str">
        <f>IF($AD89,$AD89*TreatyCatch!CD319/SUM(TreatyCatch!$CD319:$CE319,TreatyCatch!$CG319:$CH319),"")</f>
        <v/>
      </c>
      <c r="AF89" s="1072" t="str">
        <f>IF($AD89,$AD89*TreatyCatch!CE319/SUM(TreatyCatch!$CD319:$CE319,TreatyCatch!$CG319:$CH319),"")</f>
        <v/>
      </c>
      <c r="AG89" s="1073" t="str">
        <f t="shared" si="43"/>
        <v/>
      </c>
      <c r="AH89" s="1059" t="str">
        <f>IF($AD89,$AD89*TreatyCatch!CG319/SUM(TreatyCatch!$CD319:CE319,TreatyCatch!$CG319:$CH319),"")</f>
        <v/>
      </c>
      <c r="AI89" s="1060" t="str">
        <f>IF($AD89,$AD89*TreatyCatch!CH319/SUM(TreatyCatch!$CD319:CF319,TreatyCatch!$CG319:$CH319),"")</f>
        <v/>
      </c>
      <c r="AJ89" s="1061" t="str">
        <f t="shared" si="37"/>
        <v/>
      </c>
      <c r="AK89" s="958"/>
      <c r="AL89" s="882"/>
      <c r="AM89" s="883"/>
      <c r="AN89" s="901"/>
      <c r="AO89" s="893"/>
      <c r="AP89" s="894"/>
      <c r="AQ89" s="957"/>
      <c r="AR89" s="765"/>
      <c r="AS89" s="852"/>
      <c r="AT89" s="853"/>
      <c r="AU89" s="856"/>
      <c r="AV89" s="858"/>
      <c r="AW89" s="859"/>
      <c r="AX89" s="840"/>
      <c r="AY89" s="1657">
        <f>SUM(AZ89:BA89,BC89:BD89)</f>
        <v>1</v>
      </c>
      <c r="AZ89" s="882">
        <v>0</v>
      </c>
      <c r="BA89" s="883">
        <v>0</v>
      </c>
      <c r="BB89" s="1058">
        <f t="shared" si="46"/>
        <v>0</v>
      </c>
      <c r="BC89" s="893">
        <v>0</v>
      </c>
      <c r="BD89" s="894">
        <v>1</v>
      </c>
      <c r="BE89" s="1080">
        <f>IFERROR(BC89+BD$5*BD89,"")</f>
        <v>8.9399999999999993E-2</v>
      </c>
      <c r="BF89" s="765"/>
      <c r="BG89" s="852"/>
      <c r="BH89" s="853"/>
      <c r="BI89" s="856"/>
      <c r="BJ89" s="858"/>
      <c r="BK89" s="859"/>
      <c r="BL89" s="840"/>
      <c r="BM89" s="1657"/>
      <c r="BN89" s="882"/>
      <c r="BO89" s="883"/>
      <c r="BP89" s="1058"/>
      <c r="BQ89" s="893"/>
      <c r="BR89" s="894"/>
      <c r="BS89" s="1080"/>
      <c r="BT89" s="765"/>
      <c r="BU89" s="852"/>
      <c r="BV89" s="853"/>
      <c r="BW89" s="856"/>
      <c r="BX89" s="858"/>
      <c r="BY89" s="859"/>
      <c r="BZ89" s="840"/>
      <c r="CA89" s="1657"/>
      <c r="CB89" s="882"/>
      <c r="CC89" s="883"/>
      <c r="CD89" s="1058"/>
      <c r="CE89" s="893"/>
      <c r="CF89" s="894"/>
      <c r="CG89" s="1080"/>
      <c r="CH89" s="765"/>
      <c r="CI89" s="852"/>
      <c r="CJ89" s="853"/>
      <c r="CK89" s="856"/>
      <c r="CL89" s="858"/>
      <c r="CM89" s="859"/>
      <c r="CN89" s="840"/>
    </row>
    <row r="90" spans="1:92" x14ac:dyDescent="0.25">
      <c r="A90" s="757">
        <v>23</v>
      </c>
      <c r="B90" s="765"/>
      <c r="C90" s="844" t="str">
        <f>IF($B90,$B90*TreatyCatch!BF261/SUM(TreatyCatch!$BF261:$BG261,TreatyCatch!$BI261:$BJ261),"")</f>
        <v/>
      </c>
      <c r="D90" s="844" t="str">
        <f>IF($B90,$B90*TreatyCatch!BG261/SUM(TreatyCatch!$BF261:$BG261,TreatyCatch!$BI261:$BJ261),"")</f>
        <v/>
      </c>
      <c r="E90" s="846" t="str">
        <f t="shared" si="39"/>
        <v/>
      </c>
      <c r="F90" s="838" t="str">
        <f>IF($B90,$B90*TreatyCatch!BI261/SUM(TreatyCatch!$BF261:$BG261,TreatyCatch!$BI261:$BJ261),"")</f>
        <v/>
      </c>
      <c r="G90" s="866" t="str">
        <f>IF($B90,$B90*TreatyCatch!BJ261/SUM(TreatyCatch!$BF261:$BG261,TreatyCatch!$BI261:$BJ261),"")</f>
        <v/>
      </c>
      <c r="H90" s="840" t="str">
        <f t="shared" si="31"/>
        <v/>
      </c>
      <c r="I90" s="765"/>
      <c r="J90" s="882" t="str">
        <f>IF($I90,$I90*TreatyCatch!BL261/SUM(TreatyCatch!$BL261:$BM261,TreatyCatch!$BO261:$BP261),"")</f>
        <v/>
      </c>
      <c r="K90" s="883" t="str">
        <f>IF($I90,$I90*TreatyCatch!BM261/SUM(TreatyCatch!$BL261:$BM261,TreatyCatch!$BO261:$BP261),"")</f>
        <v/>
      </c>
      <c r="L90" s="901" t="str">
        <f t="shared" si="40"/>
        <v/>
      </c>
      <c r="M90" s="893" t="str">
        <f>IF($I90,$I90*TreatyCatch!BO261/SUM(TreatyCatch!$BL261:$BM261,TreatyCatch!$BO261:$BP261),"")</f>
        <v/>
      </c>
      <c r="N90" s="894" t="str">
        <f>IF($I90,$I90*TreatyCatch!BP261/SUM(TreatyCatch!$BL261:$BM261,TreatyCatch!$BO261:$BP261),"")</f>
        <v/>
      </c>
      <c r="O90" s="877" t="str">
        <f t="shared" si="29"/>
        <v/>
      </c>
      <c r="P90" s="765"/>
      <c r="Q90" s="852" t="str">
        <f>IF($P90,$P90*TreatyCatch!BR261/SUM(TreatyCatch!$BR261:$BS261,TreatyCatch!$BU261:$BV261),"")</f>
        <v/>
      </c>
      <c r="R90" s="853" t="str">
        <f>IF($P90,$P90*TreatyCatch!BS261/SUM(TreatyCatch!$BR261:$BS261,TreatyCatch!$BU261:$BV261),"")</f>
        <v/>
      </c>
      <c r="S90" s="856" t="str">
        <f t="shared" si="41"/>
        <v/>
      </c>
      <c r="T90" s="858" t="str">
        <f>IF($P90,$P90*TreatyCatch!BU261/SUM(TreatyCatch!$BR261:$BS261,TreatyCatch!$BU261:$BV261),"")</f>
        <v/>
      </c>
      <c r="U90" s="859" t="str">
        <f>IF($P90,$P90*TreatyCatch!BV261/SUM(TreatyCatch!$BR261:$BS261,TreatyCatch!$BU261:$BV261),"")</f>
        <v/>
      </c>
      <c r="V90" s="840" t="str">
        <f t="shared" si="33"/>
        <v/>
      </c>
      <c r="W90" s="958"/>
      <c r="X90" s="882" t="str">
        <f>IF($W90,$W90*TreatyCatch!BX261/SUM(TreatyCatch!$BX261:$BY261,TreatyCatch!$CA261:$CB261),"")</f>
        <v/>
      </c>
      <c r="Y90" s="883" t="str">
        <f>IF($W90,$W90*TreatyCatch!BY261/SUM(TreatyCatch!$BX261:$BY261,TreatyCatch!$CA261:$CB261),"")</f>
        <v/>
      </c>
      <c r="Z90" s="901" t="str">
        <f t="shared" si="42"/>
        <v/>
      </c>
      <c r="AA90" s="893" t="str">
        <f>IF($W90,$W90*TreatyCatch!CA261/SUM(TreatyCatch!$BX261:$BY261,TreatyCatch!$CA261:$CB261),"")</f>
        <v/>
      </c>
      <c r="AB90" s="894" t="str">
        <f>IF($W90,$W90*TreatyCatch!CB261/SUM(TreatyCatch!$BX261:$BY261,TreatyCatch!$CA261:$CB261),"")</f>
        <v/>
      </c>
      <c r="AC90" s="957" t="str">
        <f t="shared" si="35"/>
        <v/>
      </c>
      <c r="AD90" s="958"/>
      <c r="AE90" s="1071" t="str">
        <f>IF($AD90,$AD90*TreatyCatch!CD320/SUM(TreatyCatch!$CD320:$CE320,TreatyCatch!$CG320:$CH320),"")</f>
        <v/>
      </c>
      <c r="AF90" s="1072" t="str">
        <f>IF($AD90,$AD90*TreatyCatch!CE320/SUM(TreatyCatch!$CD320:$CE320,TreatyCatch!$CG320:$CH320),"")</f>
        <v/>
      </c>
      <c r="AG90" s="1073" t="str">
        <f t="shared" si="43"/>
        <v/>
      </c>
      <c r="AH90" s="1059" t="str">
        <f>IF($AD90,$AD90*TreatyCatch!CG320/SUM(TreatyCatch!$CD320:CE320,TreatyCatch!$CG320:$CH320),"")</f>
        <v/>
      </c>
      <c r="AI90" s="1060" t="str">
        <f>IF($AD90,$AD90*TreatyCatch!CH320/SUM(TreatyCatch!$CD320:CF320,TreatyCatch!$CG320:$CH320),"")</f>
        <v/>
      </c>
      <c r="AJ90" s="1061" t="str">
        <f t="shared" si="37"/>
        <v/>
      </c>
      <c r="AK90" s="958"/>
      <c r="AL90" s="882"/>
      <c r="AM90" s="883"/>
      <c r="AN90" s="901"/>
      <c r="AO90" s="893"/>
      <c r="AP90" s="894"/>
      <c r="AQ90" s="957"/>
      <c r="AR90" s="765"/>
      <c r="AS90" s="852"/>
      <c r="AT90" s="853"/>
      <c r="AU90" s="856"/>
      <c r="AV90" s="858"/>
      <c r="AW90" s="859"/>
      <c r="AX90" s="840"/>
      <c r="AY90" s="765"/>
      <c r="AZ90" s="882"/>
      <c r="BA90" s="883"/>
      <c r="BB90" s="901"/>
      <c r="BC90" s="893"/>
      <c r="BD90" s="894"/>
      <c r="BE90" s="957"/>
      <c r="BF90" s="765"/>
      <c r="BG90" s="852"/>
      <c r="BH90" s="853"/>
      <c r="BI90" s="856"/>
      <c r="BJ90" s="858"/>
      <c r="BK90" s="859"/>
      <c r="BL90" s="840"/>
      <c r="BM90" s="765"/>
      <c r="BN90" s="882"/>
      <c r="BO90" s="883"/>
      <c r="BP90" s="901"/>
      <c r="BQ90" s="893"/>
      <c r="BR90" s="894"/>
      <c r="BS90" s="957"/>
      <c r="BT90" s="765"/>
      <c r="BU90" s="852"/>
      <c r="BV90" s="853"/>
      <c r="BW90" s="856"/>
      <c r="BX90" s="858"/>
      <c r="BY90" s="859"/>
      <c r="BZ90" s="840"/>
      <c r="CA90" s="765"/>
      <c r="CB90" s="882"/>
      <c r="CC90" s="883"/>
      <c r="CD90" s="901"/>
      <c r="CE90" s="893"/>
      <c r="CF90" s="894"/>
      <c r="CG90" s="957"/>
      <c r="CH90" s="765"/>
      <c r="CI90" s="852"/>
      <c r="CJ90" s="853"/>
      <c r="CK90" s="856"/>
      <c r="CL90" s="858"/>
      <c r="CM90" s="859"/>
      <c r="CN90" s="840"/>
    </row>
    <row r="91" spans="1:92" x14ac:dyDescent="0.25">
      <c r="A91" s="757">
        <v>24</v>
      </c>
      <c r="B91" s="765"/>
      <c r="C91" s="844" t="str">
        <f>IF($B91,$B91*TreatyCatch!BF262/SUM(TreatyCatch!$BF262:$BG262,TreatyCatch!$BI262:$BJ262),"")</f>
        <v/>
      </c>
      <c r="D91" s="844" t="str">
        <f>IF($B91,$B91*TreatyCatch!BG262/SUM(TreatyCatch!$BF262:$BG262,TreatyCatch!$BI262:$BJ262),"")</f>
        <v/>
      </c>
      <c r="E91" s="846" t="str">
        <f t="shared" si="39"/>
        <v/>
      </c>
      <c r="F91" s="838" t="str">
        <f>IF($B91,$B91*TreatyCatch!BI262/SUM(TreatyCatch!$BF262:$BG262,TreatyCatch!$BI262:$BJ262),"")</f>
        <v/>
      </c>
      <c r="G91" s="866" t="str">
        <f>IF($B91,$B91*TreatyCatch!BJ262/SUM(TreatyCatch!$BF262:$BG262,TreatyCatch!$BI262:$BJ262),"")</f>
        <v/>
      </c>
      <c r="H91" s="840" t="str">
        <f t="shared" si="31"/>
        <v/>
      </c>
      <c r="I91" s="765"/>
      <c r="J91" s="882" t="str">
        <f>IF($I91,$I91*TreatyCatch!BL262/SUM(TreatyCatch!$BL262:$BM262,TreatyCatch!$BO262:$BP262),"")</f>
        <v/>
      </c>
      <c r="K91" s="883" t="str">
        <f>IF($I91,$I91*TreatyCatch!BM262/SUM(TreatyCatch!$BL262:$BM262,TreatyCatch!$BO262:$BP262),"")</f>
        <v/>
      </c>
      <c r="L91" s="901" t="str">
        <f t="shared" si="40"/>
        <v/>
      </c>
      <c r="M91" s="893" t="str">
        <f>IF($I91,$I91*TreatyCatch!BO262/SUM(TreatyCatch!$BL262:$BM262,TreatyCatch!$BO262:$BP262),"")</f>
        <v/>
      </c>
      <c r="N91" s="894" t="str">
        <f>IF($I91,$I91*TreatyCatch!BP262/SUM(TreatyCatch!$BL262:$BM262,TreatyCatch!$BO262:$BP262),"")</f>
        <v/>
      </c>
      <c r="O91" s="877" t="str">
        <f t="shared" si="29"/>
        <v/>
      </c>
      <c r="P91" s="765"/>
      <c r="Q91" s="852" t="str">
        <f>IF($P91,$P91*TreatyCatch!BR262/SUM(TreatyCatch!$BR262:$BS262,TreatyCatch!$BU262:$BV262),"")</f>
        <v/>
      </c>
      <c r="R91" s="853" t="str">
        <f>IF($P91,$P91*TreatyCatch!BS262/SUM(TreatyCatch!$BR262:$BS262,TreatyCatch!$BU262:$BV262),"")</f>
        <v/>
      </c>
      <c r="S91" s="856" t="str">
        <f t="shared" si="41"/>
        <v/>
      </c>
      <c r="T91" s="858" t="str">
        <f>IF($P91,$P91*TreatyCatch!BU262/SUM(TreatyCatch!$BR262:$BS262,TreatyCatch!$BU262:$BV262),"")</f>
        <v/>
      </c>
      <c r="U91" s="859" t="str">
        <f>IF($P91,$P91*TreatyCatch!BV262/SUM(TreatyCatch!$BR262:$BS262,TreatyCatch!$BU262:$BV262),"")</f>
        <v/>
      </c>
      <c r="V91" s="840" t="str">
        <f t="shared" si="33"/>
        <v/>
      </c>
      <c r="W91" s="958"/>
      <c r="X91" s="882" t="str">
        <f>IF($W91,$W91*TreatyCatch!BX262/SUM(TreatyCatch!$BX262:$BY262,TreatyCatch!$CA262:$CB262),"")</f>
        <v/>
      </c>
      <c r="Y91" s="883" t="str">
        <f>IF($W91,$W91*TreatyCatch!BY262/SUM(TreatyCatch!$BX262:$BY262,TreatyCatch!$CA262:$CB262),"")</f>
        <v/>
      </c>
      <c r="Z91" s="901" t="str">
        <f t="shared" si="42"/>
        <v/>
      </c>
      <c r="AA91" s="893" t="str">
        <f>IF($W91,$W91*TreatyCatch!CA262/SUM(TreatyCatch!$BX262:$BY262,TreatyCatch!$CA262:$CB262),"")</f>
        <v/>
      </c>
      <c r="AB91" s="894" t="str">
        <f>IF($W91,$W91*TreatyCatch!CB262/SUM(TreatyCatch!$BX262:$BY262,TreatyCatch!$CA262:$CB262),"")</f>
        <v/>
      </c>
      <c r="AC91" s="957" t="str">
        <f t="shared" si="35"/>
        <v/>
      </c>
      <c r="AD91" s="958"/>
      <c r="AE91" s="1071" t="str">
        <f>IF($AD91,$AD91*TreatyCatch!CD321/SUM(TreatyCatch!$CD321:$CE321,TreatyCatch!$CG321:$CH321),"")</f>
        <v/>
      </c>
      <c r="AF91" s="1072" t="str">
        <f>IF($AD91,$AD91*TreatyCatch!CE321/SUM(TreatyCatch!$CD321:$CE321,TreatyCatch!$CG321:$CH321),"")</f>
        <v/>
      </c>
      <c r="AG91" s="1073" t="str">
        <f t="shared" si="43"/>
        <v/>
      </c>
      <c r="AH91" s="1059" t="str">
        <f>IF($AD91,$AD91*TreatyCatch!CG321/SUM(TreatyCatch!$CD321:CE321,TreatyCatch!$CG321:$CH321),"")</f>
        <v/>
      </c>
      <c r="AI91" s="1060" t="str">
        <f>IF($AD91,$AD91*TreatyCatch!CH321/SUM(TreatyCatch!$CD321:CF321,TreatyCatch!$CG321:$CH321),"")</f>
        <v/>
      </c>
      <c r="AJ91" s="1061" t="str">
        <f t="shared" si="37"/>
        <v/>
      </c>
      <c r="AK91" s="958"/>
      <c r="AL91" s="882"/>
      <c r="AM91" s="883"/>
      <c r="AN91" s="901"/>
      <c r="AO91" s="893"/>
      <c r="AP91" s="894"/>
      <c r="AQ91" s="957"/>
      <c r="AR91" s="765"/>
      <c r="AS91" s="852"/>
      <c r="AT91" s="853"/>
      <c r="AU91" s="856"/>
      <c r="AV91" s="858"/>
      <c r="AW91" s="859"/>
      <c r="AX91" s="840"/>
      <c r="AY91" s="765"/>
      <c r="AZ91" s="882"/>
      <c r="BA91" s="883"/>
      <c r="BB91" s="901"/>
      <c r="BC91" s="893"/>
      <c r="BD91" s="894"/>
      <c r="BE91" s="957"/>
      <c r="BF91" s="765"/>
      <c r="BG91" s="852"/>
      <c r="BH91" s="853"/>
      <c r="BI91" s="856"/>
      <c r="BJ91" s="858"/>
      <c r="BK91" s="859"/>
      <c r="BL91" s="840"/>
      <c r="BM91" s="765"/>
      <c r="BN91" s="882"/>
      <c r="BO91" s="883"/>
      <c r="BP91" s="901"/>
      <c r="BQ91" s="893"/>
      <c r="BR91" s="894"/>
      <c r="BS91" s="957"/>
      <c r="BT91" s="765"/>
      <c r="BU91" s="852"/>
      <c r="BV91" s="853"/>
      <c r="BW91" s="856"/>
      <c r="BX91" s="858"/>
      <c r="BY91" s="859"/>
      <c r="BZ91" s="840"/>
      <c r="CA91" s="765"/>
      <c r="CB91" s="882"/>
      <c r="CC91" s="883"/>
      <c r="CD91" s="901"/>
      <c r="CE91" s="893"/>
      <c r="CF91" s="894"/>
      <c r="CG91" s="957"/>
      <c r="CH91" s="765"/>
      <c r="CI91" s="852"/>
      <c r="CJ91" s="853"/>
      <c r="CK91" s="856"/>
      <c r="CL91" s="858"/>
      <c r="CM91" s="859"/>
      <c r="CN91" s="840"/>
    </row>
    <row r="92" spans="1:92" x14ac:dyDescent="0.25">
      <c r="A92" s="757">
        <v>25</v>
      </c>
      <c r="B92" s="765">
        <v>13</v>
      </c>
      <c r="C92" s="844">
        <f>IF($B92,$B92*TreatyCatch!BF263/SUM(TreatyCatch!$BF263:$BG263,TreatyCatch!$BI263:$BJ263),"")</f>
        <v>1.7333333333333332</v>
      </c>
      <c r="D92" s="844">
        <f>IF($B92,$B92*TreatyCatch!BG263/SUM(TreatyCatch!$BF263:$BG263,TreatyCatch!$BI263:$BJ263),"")</f>
        <v>0</v>
      </c>
      <c r="E92" s="846">
        <f t="shared" si="39"/>
        <v>1.7333333333333332</v>
      </c>
      <c r="F92" s="838">
        <f>IF($B92,$B92*TreatyCatch!BI263/SUM(TreatyCatch!$BF263:$BG263,TreatyCatch!$BI263:$BJ263),"")</f>
        <v>0.86666666666666659</v>
      </c>
      <c r="G92" s="866">
        <f>IF($B92,$B92*TreatyCatch!BJ263/SUM(TreatyCatch!$BF263:$BG263,TreatyCatch!$BI263:$BJ263),"")</f>
        <v>10.4</v>
      </c>
      <c r="H92" s="840">
        <f t="shared" si="31"/>
        <v>1.5541066666666667</v>
      </c>
      <c r="I92" s="765"/>
      <c r="J92" s="882" t="str">
        <f>IF($I92,$I92*TreatyCatch!BL263/SUM(TreatyCatch!$BL263:$BM263,TreatyCatch!$BO263:$BP263),"")</f>
        <v/>
      </c>
      <c r="K92" s="883" t="str">
        <f>IF($I92,$I92*TreatyCatch!BM263/SUM(TreatyCatch!$BL263:$BM263,TreatyCatch!$BO263:$BP263),"")</f>
        <v/>
      </c>
      <c r="L92" s="901" t="str">
        <f t="shared" si="40"/>
        <v/>
      </c>
      <c r="M92" s="893" t="str">
        <f>IF($I92,$I92*TreatyCatch!BO263/SUM(TreatyCatch!$BL263:$BM263,TreatyCatch!$BO263:$BP263),"")</f>
        <v/>
      </c>
      <c r="N92" s="894" t="str">
        <f>IF($I92,$I92*TreatyCatch!BP263/SUM(TreatyCatch!$BL263:$BM263,TreatyCatch!$BO263:$BP263),"")</f>
        <v/>
      </c>
      <c r="O92" s="877" t="str">
        <f t="shared" si="29"/>
        <v/>
      </c>
      <c r="P92" s="765"/>
      <c r="Q92" s="852" t="str">
        <f>IF($P92,$P92*TreatyCatch!BR263/SUM(TreatyCatch!$BR263:$BS263,TreatyCatch!$BU263:$BV263),"")</f>
        <v/>
      </c>
      <c r="R92" s="853" t="str">
        <f>IF($P92,$P92*TreatyCatch!BS263/SUM(TreatyCatch!$BR263:$BS263,TreatyCatch!$BU263:$BV263),"")</f>
        <v/>
      </c>
      <c r="S92" s="856" t="str">
        <f t="shared" si="41"/>
        <v/>
      </c>
      <c r="T92" s="858" t="str">
        <f>IF($P92,$P92*TreatyCatch!BU263/SUM(TreatyCatch!$BR263:$BS263,TreatyCatch!$BU263:$BV263),"")</f>
        <v/>
      </c>
      <c r="U92" s="859" t="str">
        <f>IF($P92,$P92*TreatyCatch!BV263/SUM(TreatyCatch!$BR263:$BS263,TreatyCatch!$BU263:$BV263),"")</f>
        <v/>
      </c>
      <c r="V92" s="840" t="str">
        <f t="shared" si="33"/>
        <v/>
      </c>
      <c r="W92" s="958"/>
      <c r="X92" s="882" t="str">
        <f>IF($W92,$W92*TreatyCatch!BX263/SUM(TreatyCatch!$BX263:$BY263,TreatyCatch!$CA263:$CB263),"")</f>
        <v/>
      </c>
      <c r="Y92" s="883" t="str">
        <f>IF($W92,$W92*TreatyCatch!BY263/SUM(TreatyCatch!$BX263:$BY263,TreatyCatch!$CA263:$CB263),"")</f>
        <v/>
      </c>
      <c r="Z92" s="901" t="str">
        <f t="shared" si="42"/>
        <v/>
      </c>
      <c r="AA92" s="893" t="str">
        <f>IF($W92,$W92*TreatyCatch!CA263/SUM(TreatyCatch!$BX263:$BY263,TreatyCatch!$CA263:$CB263),"")</f>
        <v/>
      </c>
      <c r="AB92" s="894" t="str">
        <f>IF($W92,$W92*TreatyCatch!CB263/SUM(TreatyCatch!$BX263:$BY263,TreatyCatch!$CA263:$CB263),"")</f>
        <v/>
      </c>
      <c r="AC92" s="957" t="str">
        <f t="shared" si="35"/>
        <v/>
      </c>
      <c r="AD92" s="958"/>
      <c r="AE92" s="1071" t="str">
        <f>IF($AD92,$AD92*TreatyCatch!CD322/SUM(TreatyCatch!$CD322:$CE322,TreatyCatch!$CG322:$CH322),"")</f>
        <v/>
      </c>
      <c r="AF92" s="1072" t="str">
        <f>IF($AD92,$AD92*TreatyCatch!CE322/SUM(TreatyCatch!$CD322:$CE322,TreatyCatch!$CG322:$CH322),"")</f>
        <v/>
      </c>
      <c r="AG92" s="1073" t="str">
        <f t="shared" si="43"/>
        <v/>
      </c>
      <c r="AH92" s="1059" t="str">
        <f>IF($AD92,$AD92*TreatyCatch!CG322/SUM(TreatyCatch!$CD322:CE322,TreatyCatch!$CG322:$CH322),"")</f>
        <v/>
      </c>
      <c r="AI92" s="1060" t="str">
        <f>IF($AD92,$AD92*TreatyCatch!CH322/SUM(TreatyCatch!$CD322:CF322,TreatyCatch!$CG322:$CH322),"")</f>
        <v/>
      </c>
      <c r="AJ92" s="1061" t="str">
        <f t="shared" si="37"/>
        <v/>
      </c>
      <c r="AK92" s="958"/>
      <c r="AL92" s="882"/>
      <c r="AM92" s="883"/>
      <c r="AN92" s="901"/>
      <c r="AO92" s="893"/>
      <c r="AP92" s="894"/>
      <c r="AQ92" s="957"/>
      <c r="AR92" s="765"/>
      <c r="AS92" s="852"/>
      <c r="AT92" s="853"/>
      <c r="AU92" s="856"/>
      <c r="AV92" s="858"/>
      <c r="AW92" s="859"/>
      <c r="AX92" s="840"/>
      <c r="AY92" s="765"/>
      <c r="AZ92" s="882"/>
      <c r="BA92" s="883"/>
      <c r="BB92" s="901"/>
      <c r="BC92" s="893"/>
      <c r="BD92" s="894"/>
      <c r="BE92" s="957"/>
      <c r="BF92" s="765"/>
      <c r="BG92" s="852"/>
      <c r="BH92" s="853"/>
      <c r="BI92" s="856"/>
      <c r="BJ92" s="858"/>
      <c r="BK92" s="859"/>
      <c r="BL92" s="840"/>
      <c r="BM92" s="765"/>
      <c r="BN92" s="882"/>
      <c r="BO92" s="883"/>
      <c r="BP92" s="901"/>
      <c r="BQ92" s="893"/>
      <c r="BR92" s="894"/>
      <c r="BS92" s="957"/>
      <c r="BT92" s="765"/>
      <c r="BU92" s="852"/>
      <c r="BV92" s="853"/>
      <c r="BW92" s="856"/>
      <c r="BX92" s="858"/>
      <c r="BY92" s="859"/>
      <c r="BZ92" s="840"/>
      <c r="CA92" s="765"/>
      <c r="CB92" s="882"/>
      <c r="CC92" s="883"/>
      <c r="CD92" s="901"/>
      <c r="CE92" s="893"/>
      <c r="CF92" s="894"/>
      <c r="CG92" s="957"/>
      <c r="CH92" s="765"/>
      <c r="CI92" s="852"/>
      <c r="CJ92" s="853"/>
      <c r="CK92" s="856"/>
      <c r="CL92" s="858"/>
      <c r="CM92" s="859"/>
      <c r="CN92" s="840"/>
    </row>
    <row r="93" spans="1:92" x14ac:dyDescent="0.25">
      <c r="A93" s="758">
        <v>26</v>
      </c>
      <c r="B93" s="766">
        <v>2</v>
      </c>
      <c r="C93" s="844">
        <f>IF($B93,$B93*TreatyCatch!BF264/SUM(TreatyCatch!$BF264:$BG264,TreatyCatch!$BI264:$BJ264),"")</f>
        <v>2</v>
      </c>
      <c r="D93" s="844">
        <f>IF($B93,$B93*TreatyCatch!BG264/SUM(TreatyCatch!$BF264:$BG264,TreatyCatch!$BI264:$BJ264),"")</f>
        <v>0</v>
      </c>
      <c r="E93" s="847">
        <f t="shared" si="39"/>
        <v>2</v>
      </c>
      <c r="F93" s="838">
        <f>IF($B93,$B93*TreatyCatch!BI264/SUM(TreatyCatch!$BF264:$BG264,TreatyCatch!$BI264:$BJ264),"")</f>
        <v>0</v>
      </c>
      <c r="G93" s="866">
        <f>IF($B93,$B93*TreatyCatch!BJ264/SUM(TreatyCatch!$BF264:$BG264,TreatyCatch!$BI264:$BJ264),"")</f>
        <v>0</v>
      </c>
      <c r="H93" s="840">
        <f t="shared" si="31"/>
        <v>0</v>
      </c>
      <c r="I93" s="765">
        <v>2</v>
      </c>
      <c r="J93" s="885">
        <f>IF($I93,$I93*TreatyCatch!BL264/SUM(TreatyCatch!$BL264:$BM264,TreatyCatch!$BO264:$BP264),"")</f>
        <v>0</v>
      </c>
      <c r="K93" s="886">
        <f>IF($I93,$I93*TreatyCatch!BM264/SUM(TreatyCatch!$BL264:$BM264,TreatyCatch!$BO264:$BP264),"")</f>
        <v>0.5</v>
      </c>
      <c r="L93" s="902">
        <f t="shared" si="40"/>
        <v>4.3999999999999997E-2</v>
      </c>
      <c r="M93" s="895">
        <f>IF($I93,$I93*TreatyCatch!BO264/SUM(TreatyCatch!$BL264:$BM264,TreatyCatch!$BO264:$BP264),"")</f>
        <v>0.5</v>
      </c>
      <c r="N93" s="896">
        <f>IF($I93,$I93*TreatyCatch!BP264/SUM(TreatyCatch!$BL264:$BM264,TreatyCatch!$BO264:$BP264),"")</f>
        <v>1</v>
      </c>
      <c r="O93" s="877">
        <f t="shared" si="29"/>
        <v>0.58650000000000002</v>
      </c>
      <c r="P93" s="765"/>
      <c r="Q93" s="854" t="str">
        <f>IF($P93,$P93*TreatyCatch!BR264/SUM(TreatyCatch!$BR264:$BS264,TreatyCatch!$BU264:$BV264),"")</f>
        <v/>
      </c>
      <c r="R93" s="855" t="str">
        <f>IF($P93,$P93*TreatyCatch!BS264/SUM(TreatyCatch!$BR264:$BS264,TreatyCatch!$BU264:$BV264),"")</f>
        <v/>
      </c>
      <c r="S93" s="857" t="str">
        <f t="shared" si="41"/>
        <v/>
      </c>
      <c r="T93" s="861" t="str">
        <f>IF($P93,$P93*TreatyCatch!BU264/SUM(TreatyCatch!$BR264:$BS264,TreatyCatch!$BU264:$BV264),"")</f>
        <v/>
      </c>
      <c r="U93" s="862" t="str">
        <f>IF($P93,$P93*TreatyCatch!BV264/SUM(TreatyCatch!$BR264:$BS264,TreatyCatch!$BU264:$BV264),"")</f>
        <v/>
      </c>
      <c r="V93" s="840" t="str">
        <f t="shared" si="33"/>
        <v/>
      </c>
      <c r="W93" s="958"/>
      <c r="X93" s="885" t="str">
        <f>IF($W93,$W93*TreatyCatch!BX264/SUM(TreatyCatch!$BX264:$BY264,TreatyCatch!$CA264:$CB264),"")</f>
        <v/>
      </c>
      <c r="Y93" s="886" t="str">
        <f>IF($W93,$W93*TreatyCatch!BY264/SUM(TreatyCatch!$BX264:$BY264,TreatyCatch!$CA264:$CB264),"")</f>
        <v/>
      </c>
      <c r="Z93" s="902" t="str">
        <f t="shared" si="42"/>
        <v/>
      </c>
      <c r="AA93" s="895" t="str">
        <f>IF($W93,$W93*TreatyCatch!CA264/SUM(TreatyCatch!$BX264:$BY264,TreatyCatch!$CA264:$CB264),"")</f>
        <v/>
      </c>
      <c r="AB93" s="896" t="str">
        <f>IF($W93,$W93*TreatyCatch!CB264/SUM(TreatyCatch!$BX264:$BY264,TreatyCatch!$CA264:$CB264),"")</f>
        <v/>
      </c>
      <c r="AC93" s="957" t="str">
        <f t="shared" si="35"/>
        <v/>
      </c>
      <c r="AD93" s="958">
        <v>1</v>
      </c>
      <c r="AE93" s="1087">
        <v>1</v>
      </c>
      <c r="AF93" s="1088">
        <v>0</v>
      </c>
      <c r="AG93" s="1076">
        <f t="shared" si="43"/>
        <v>1</v>
      </c>
      <c r="AH93" s="1088">
        <v>0</v>
      </c>
      <c r="AI93" s="1089">
        <v>0</v>
      </c>
      <c r="AJ93" s="1061">
        <f t="shared" si="37"/>
        <v>0</v>
      </c>
      <c r="AK93" s="958"/>
      <c r="AL93" s="885"/>
      <c r="AM93" s="886"/>
      <c r="AN93" s="902"/>
      <c r="AO93" s="895"/>
      <c r="AP93" s="896"/>
      <c r="AQ93" s="957"/>
      <c r="AR93" s="765"/>
      <c r="AS93" s="854"/>
      <c r="AT93" s="855"/>
      <c r="AU93" s="857"/>
      <c r="AV93" s="861"/>
      <c r="AW93" s="862"/>
      <c r="AX93" s="841"/>
      <c r="AY93" s="1657">
        <f>SUM(AZ93:BA93,BC93:BD93)</f>
        <v>1</v>
      </c>
      <c r="AZ93" s="885">
        <v>0.3</v>
      </c>
      <c r="BA93" s="886">
        <v>0</v>
      </c>
      <c r="BB93" s="1064">
        <f t="shared" ref="BB93" si="49">IFERROR(AZ93+BK$5*BA93,"")</f>
        <v>0.3</v>
      </c>
      <c r="BC93" s="895">
        <v>0</v>
      </c>
      <c r="BD93" s="896">
        <v>0.7</v>
      </c>
      <c r="BE93" s="1080">
        <f>IFERROR(BC93+BD$5*BD93,"")</f>
        <v>6.2579999999999997E-2</v>
      </c>
      <c r="BF93" s="765"/>
      <c r="BG93" s="854"/>
      <c r="BH93" s="855"/>
      <c r="BI93" s="857"/>
      <c r="BJ93" s="861"/>
      <c r="BK93" s="862"/>
      <c r="BL93" s="841"/>
      <c r="BM93" s="1657"/>
      <c r="BN93" s="885"/>
      <c r="BO93" s="886"/>
      <c r="BP93" s="1064"/>
      <c r="BQ93" s="895"/>
      <c r="BR93" s="896"/>
      <c r="BS93" s="1083"/>
      <c r="BT93" s="1687">
        <f>SUM(BU93:BV94,BX93:BY93)</f>
        <v>5</v>
      </c>
      <c r="BU93" s="854">
        <v>0</v>
      </c>
      <c r="BV93" s="855">
        <v>0</v>
      </c>
      <c r="BW93" s="953">
        <f>BU93+BV93*CF$5</f>
        <v>0</v>
      </c>
      <c r="BX93" s="861">
        <v>0</v>
      </c>
      <c r="BY93" s="862">
        <v>5</v>
      </c>
      <c r="BZ93" s="841">
        <f>BX93+BY93*BY$5</f>
        <v>0.40500000000000003</v>
      </c>
      <c r="CA93" s="1805"/>
      <c r="CB93" s="885"/>
      <c r="CC93" s="886"/>
      <c r="CD93" s="1064"/>
      <c r="CE93" s="895"/>
      <c r="CF93" s="896"/>
      <c r="CG93" s="1083"/>
      <c r="CH93" s="1687"/>
      <c r="CI93" s="854"/>
      <c r="CJ93" s="855"/>
      <c r="CK93" s="953"/>
      <c r="CL93" s="861"/>
      <c r="CM93" s="862"/>
      <c r="CN93" s="841"/>
    </row>
    <row r="94" spans="1:92" x14ac:dyDescent="0.25">
      <c r="A94" s="757">
        <v>27</v>
      </c>
      <c r="B94" s="765">
        <v>2</v>
      </c>
      <c r="C94" s="848">
        <f>IF($B94,$B94*TreatyCatch!BF265/SUM(TreatyCatch!$BF265:$BG265,TreatyCatch!$BI265:$BJ265),"")</f>
        <v>0.8571428571428571</v>
      </c>
      <c r="D94" s="848">
        <f>IF($B94,$B94*TreatyCatch!BG265/SUM(TreatyCatch!$BF265:$BG265,TreatyCatch!$BI265:$BJ265),"")</f>
        <v>0</v>
      </c>
      <c r="E94" s="846">
        <f t="shared" si="39"/>
        <v>0.8571428571428571</v>
      </c>
      <c r="F94" s="874">
        <f>IF($B94,$B94*TreatyCatch!BI265/SUM(TreatyCatch!$BF265:$BG265,TreatyCatch!$BI265:$BJ265),"")</f>
        <v>0.2857142857142857</v>
      </c>
      <c r="G94" s="888">
        <f>IF($B94,$B94*TreatyCatch!BJ265/SUM(TreatyCatch!$BF265:$BG265,TreatyCatch!$BI265:$BJ265),"")</f>
        <v>0.8571428571428571</v>
      </c>
      <c r="H94" s="875">
        <f>IFERROR(F94+N$5*G94,"")</f>
        <v>0.35985714285714282</v>
      </c>
      <c r="I94" s="773"/>
      <c r="J94" s="882" t="str">
        <f>IF($I94,$I94*TreatyCatch!BL265/SUM(TreatyCatch!$BL265:$BM265,TreatyCatch!$BO265:$BP265),"")</f>
        <v/>
      </c>
      <c r="K94" s="883" t="str">
        <f>IF($I94,$I94*TreatyCatch!BM265/SUM(TreatyCatch!$BL265:$BM265,TreatyCatch!$BO265:$BP265),"")</f>
        <v/>
      </c>
      <c r="L94" s="901" t="str">
        <f t="shared" si="40"/>
        <v/>
      </c>
      <c r="M94" s="858" t="str">
        <f>IF($I94,$I94*TreatyCatch!BO265/SUM(TreatyCatch!$BL265:$BM265,TreatyCatch!$BO265:$BP265),"")</f>
        <v/>
      </c>
      <c r="N94" s="859" t="str">
        <f>IF($I94,$I94*TreatyCatch!BP265/SUM(TreatyCatch!$BL265:$BM265,TreatyCatch!$BO265:$BP265),"")</f>
        <v/>
      </c>
      <c r="O94" s="860" t="str">
        <f>IFERROR(M94+N$5*U94,"")</f>
        <v/>
      </c>
      <c r="P94" s="773">
        <v>2</v>
      </c>
      <c r="Q94" s="852">
        <f>IF($P94,$P94*TreatyCatch!BR265/SUM(TreatyCatch!$BR265:$BS265,TreatyCatch!$BU265:$BV265),"")</f>
        <v>0.8</v>
      </c>
      <c r="R94" s="853">
        <f>IF($P94,$P94*TreatyCatch!BS265/SUM(TreatyCatch!$BR265:$BS265,TreatyCatch!$BU265:$BV265),"")</f>
        <v>0</v>
      </c>
      <c r="S94" s="952">
        <f t="shared" si="41"/>
        <v>0.8</v>
      </c>
      <c r="T94" s="954">
        <f>IF($P94,$P94*TreatyCatch!BU265/SUM(TreatyCatch!$BR265:$BS265,TreatyCatch!$BU265:$BV265),"")</f>
        <v>0</v>
      </c>
      <c r="U94" s="955">
        <f>IF($P94,$P94*TreatyCatch!BV265/SUM(TreatyCatch!$BR265:$BS265,TreatyCatch!$BU265:$BV265),"")</f>
        <v>1.2</v>
      </c>
      <c r="V94" s="956">
        <f>IFERROR(T94+AB$5*U94,"")</f>
        <v>0.10416</v>
      </c>
      <c r="W94" s="969">
        <v>7</v>
      </c>
      <c r="X94" s="882">
        <v>2.2999999999999998</v>
      </c>
      <c r="Y94" s="883">
        <v>0</v>
      </c>
      <c r="Z94" s="901">
        <f t="shared" si="42"/>
        <v>2.2999999999999998</v>
      </c>
      <c r="AA94" s="858">
        <v>1.2</v>
      </c>
      <c r="AB94" s="859">
        <v>3.5</v>
      </c>
      <c r="AC94" s="924">
        <f>IFERROR(AA94+AI$5*AB94,"")</f>
        <v>1.5097499999999999</v>
      </c>
      <c r="AD94" s="969">
        <v>0</v>
      </c>
      <c r="AE94" s="1090">
        <v>0</v>
      </c>
      <c r="AF94" s="1091">
        <v>0</v>
      </c>
      <c r="AG94" s="1073">
        <f t="shared" si="43"/>
        <v>0</v>
      </c>
      <c r="AH94" s="1149">
        <v>0</v>
      </c>
      <c r="AI94" s="1150">
        <v>0</v>
      </c>
      <c r="AJ94" s="1148">
        <f>IFERROR(AH94+AI$5*AI94,"")</f>
        <v>0</v>
      </c>
      <c r="AK94" s="969"/>
      <c r="AL94" s="882"/>
      <c r="AM94" s="883"/>
      <c r="AN94" s="901"/>
      <c r="AO94" s="858"/>
      <c r="AP94" s="859"/>
      <c r="AQ94" s="924"/>
      <c r="AR94" s="773">
        <v>7</v>
      </c>
      <c r="AS94" s="852">
        <v>3</v>
      </c>
      <c r="AT94" s="853">
        <v>0</v>
      </c>
      <c r="AU94" s="1073">
        <f t="shared" ref="AU94" si="50">IFERROR(AS94+BD$5*AT94,"")</f>
        <v>3</v>
      </c>
      <c r="AV94" s="954">
        <v>2</v>
      </c>
      <c r="AW94" s="955">
        <v>2</v>
      </c>
      <c r="AX94" s="1080">
        <f t="shared" ref="AX94" si="51">IFERROR(AV94+BD$5*AW94,"")</f>
        <v>2.1787999999999998</v>
      </c>
      <c r="AY94" s="773"/>
      <c r="AZ94" s="882"/>
      <c r="BA94" s="883"/>
      <c r="BB94" s="901"/>
      <c r="BC94" s="858"/>
      <c r="BD94" s="859"/>
      <c r="BE94" s="924"/>
      <c r="BF94" s="773"/>
      <c r="BG94" s="852"/>
      <c r="BH94" s="853"/>
      <c r="BI94" s="1073"/>
      <c r="BJ94" s="954"/>
      <c r="BK94" s="955"/>
      <c r="BL94" s="1080"/>
      <c r="BM94" s="1687">
        <f>SUM(BN94:BO95,BQ94:BR94)</f>
        <v>1</v>
      </c>
      <c r="BN94" s="1496">
        <v>0</v>
      </c>
      <c r="BO94" s="1497">
        <v>0</v>
      </c>
      <c r="BP94" s="901">
        <f>BN94+BO94*BY$5</f>
        <v>0</v>
      </c>
      <c r="BQ94" s="1497">
        <v>1</v>
      </c>
      <c r="BR94" s="1498">
        <v>0</v>
      </c>
      <c r="BS94" s="1061">
        <f>BQ94+BR94*BY$5</f>
        <v>1</v>
      </c>
      <c r="BT94" s="773"/>
      <c r="BU94" s="852"/>
      <c r="BV94" s="853"/>
      <c r="BW94" s="1073"/>
      <c r="BX94" s="954"/>
      <c r="BY94" s="955"/>
      <c r="BZ94" s="1080"/>
      <c r="CA94" s="1687">
        <f>SUM(CB94:CC95,CE94:CF94)</f>
        <v>2</v>
      </c>
      <c r="CB94" s="882">
        <v>0</v>
      </c>
      <c r="CC94" s="883">
        <v>0</v>
      </c>
      <c r="CD94" s="1058">
        <f>CB94+CC94*CM$5</f>
        <v>0</v>
      </c>
      <c r="CE94" s="858">
        <v>2</v>
      </c>
      <c r="CF94" s="859">
        <v>0</v>
      </c>
      <c r="CG94" s="1061">
        <f>CE94+CF94*CM$5</f>
        <v>2</v>
      </c>
      <c r="CH94" s="773"/>
      <c r="CI94" s="852"/>
      <c r="CJ94" s="853"/>
      <c r="CK94" s="1073"/>
      <c r="CL94" s="954"/>
      <c r="CM94" s="955"/>
      <c r="CN94" s="1080"/>
    </row>
    <row r="95" spans="1:92" x14ac:dyDescent="0.25">
      <c r="A95" s="757">
        <v>28</v>
      </c>
      <c r="B95" s="765"/>
      <c r="C95" s="844" t="str">
        <f>IF($B95,$B95*TreatyCatch!BF266/SUM(TreatyCatch!$BF266:$BG266,TreatyCatch!$BI266:$BJ266),"")</f>
        <v/>
      </c>
      <c r="D95" s="844" t="str">
        <f>IF($B95,$B95*TreatyCatch!BG266/SUM(TreatyCatch!$BF266:$BG266,TreatyCatch!$BI266:$BJ266),"")</f>
        <v/>
      </c>
      <c r="E95" s="846" t="str">
        <f t="shared" si="39"/>
        <v/>
      </c>
      <c r="F95" s="876" t="str">
        <f>IF($B95,$B95*TreatyCatch!BI266/SUM(TreatyCatch!$BF266:$BG266,TreatyCatch!$BI266:$BJ266),"")</f>
        <v/>
      </c>
      <c r="G95" s="889" t="str">
        <f>IF($B95,$B95*TreatyCatch!BJ266/SUM(TreatyCatch!$BF266:$BG266,TreatyCatch!$BI266:$BJ266),"")</f>
        <v/>
      </c>
      <c r="H95" s="877" t="str">
        <f t="shared" ref="H95:H120" si="52">IFERROR(F95+N$5*G95,"")</f>
        <v/>
      </c>
      <c r="I95" s="765"/>
      <c r="J95" s="882" t="str">
        <f>IF($I95,$I95*TreatyCatch!BL266/SUM(TreatyCatch!$BL266:$BM266,TreatyCatch!$BO266:$BP266),"")</f>
        <v/>
      </c>
      <c r="K95" s="883" t="str">
        <f>IF($I95,$I95*TreatyCatch!BM266/SUM(TreatyCatch!$BL266:$BM266,TreatyCatch!$BO266:$BP266),"")</f>
        <v/>
      </c>
      <c r="L95" s="871" t="str">
        <f t="shared" si="40"/>
        <v/>
      </c>
      <c r="M95" s="858" t="str">
        <f>IF($I95,$I95*TreatyCatch!BO266/SUM(TreatyCatch!$BL266:$BM266,TreatyCatch!$BO266:$BP266),"")</f>
        <v/>
      </c>
      <c r="N95" s="859" t="str">
        <f>IF($I95,$I95*TreatyCatch!BP266/SUM(TreatyCatch!$BL266:$BM266,TreatyCatch!$BO266:$BP266),"")</f>
        <v/>
      </c>
      <c r="O95" s="840" t="str">
        <f t="shared" ref="O95:O120" si="53">IFERROR(M95+N$5*U95,"")</f>
        <v/>
      </c>
      <c r="P95" s="765">
        <v>1</v>
      </c>
      <c r="Q95" s="852">
        <f>IF($P95,$P95*TreatyCatch!BR266/SUM(TreatyCatch!$BR266:$BS266,TreatyCatch!$BU266:$BV266),"")</f>
        <v>0</v>
      </c>
      <c r="R95" s="853">
        <f>IF($P95,$P95*TreatyCatch!BS266/SUM(TreatyCatch!$BR266:$BS266,TreatyCatch!$BU266:$BV266),"")</f>
        <v>0</v>
      </c>
      <c r="S95" s="846">
        <f t="shared" si="41"/>
        <v>0</v>
      </c>
      <c r="T95" s="893">
        <f>IF($P95,$P95*TreatyCatch!BU266/SUM(TreatyCatch!$BR266:$BS266,TreatyCatch!$BU266:$BV266),"")</f>
        <v>0</v>
      </c>
      <c r="U95" s="894">
        <f>IF($P95,$P95*TreatyCatch!BV266/SUM(TreatyCatch!$BR266:$BS266,TreatyCatch!$BU266:$BV266),"")</f>
        <v>1</v>
      </c>
      <c r="V95" s="877">
        <f t="shared" ref="V95:V120" si="54">IFERROR(T95+AB$5*U95,"")</f>
        <v>8.6800000000000002E-2</v>
      </c>
      <c r="W95" s="958">
        <v>6</v>
      </c>
      <c r="X95" s="882">
        <v>3</v>
      </c>
      <c r="Y95" s="883">
        <v>0</v>
      </c>
      <c r="Z95" s="901">
        <f t="shared" si="42"/>
        <v>3</v>
      </c>
      <c r="AA95" s="858">
        <v>3</v>
      </c>
      <c r="AB95" s="859">
        <v>0</v>
      </c>
      <c r="AC95" s="925">
        <f t="shared" ref="AC95:AC120" si="55">IFERROR(AA95+AI$5*AB95,"")</f>
        <v>3</v>
      </c>
      <c r="AD95" s="958">
        <v>1</v>
      </c>
      <c r="AE95" s="1090">
        <v>0</v>
      </c>
      <c r="AF95" s="1091">
        <v>0</v>
      </c>
      <c r="AG95" s="1073">
        <f t="shared" si="43"/>
        <v>0</v>
      </c>
      <c r="AH95" s="1091">
        <v>0</v>
      </c>
      <c r="AI95" s="1092">
        <v>1</v>
      </c>
      <c r="AJ95" s="1080">
        <f t="shared" ref="AJ95:AJ120" si="56">IFERROR(AH95+AP$5*AI95,"")</f>
        <v>8.7800000000000003E-2</v>
      </c>
      <c r="AK95" s="958"/>
      <c r="AL95" s="882"/>
      <c r="AM95" s="883"/>
      <c r="AN95" s="901"/>
      <c r="AO95" s="858"/>
      <c r="AP95" s="859"/>
      <c r="AQ95" s="925"/>
      <c r="AR95" s="765"/>
      <c r="AS95" s="852"/>
      <c r="AT95" s="853"/>
      <c r="AU95" s="846"/>
      <c r="AV95" s="893"/>
      <c r="AW95" s="894"/>
      <c r="AX95" s="1080"/>
      <c r="AY95" s="1657">
        <f>SUM(AZ95:BA95,BC95:BD95)</f>
        <v>1</v>
      </c>
      <c r="AZ95" s="882">
        <v>0</v>
      </c>
      <c r="BA95" s="883">
        <v>0.4</v>
      </c>
      <c r="BB95" s="1058">
        <f t="shared" ref="BB95" si="57">IFERROR(AZ95+BK$5*BA95,"")</f>
        <v>3.4160000000000003E-2</v>
      </c>
      <c r="BC95" s="858">
        <v>0</v>
      </c>
      <c r="BD95" s="859">
        <v>0.6</v>
      </c>
      <c r="BE95" s="1061">
        <f t="shared" ref="BE95" si="58">IFERROR(BC95+BK$5*BD95,"")</f>
        <v>5.1240000000000001E-2</v>
      </c>
      <c r="BF95" s="765"/>
      <c r="BG95" s="852"/>
      <c r="BH95" s="853"/>
      <c r="BI95" s="846"/>
      <c r="BJ95" s="893"/>
      <c r="BK95" s="894"/>
      <c r="BL95" s="1080"/>
      <c r="BM95" s="1657"/>
      <c r="BN95" s="882"/>
      <c r="BO95" s="883"/>
      <c r="BP95" s="1058"/>
      <c r="BQ95" s="858"/>
      <c r="BR95" s="859"/>
      <c r="BS95" s="1061"/>
      <c r="BT95" s="1687">
        <f>SUM(BU95:BV96,BX95:BY95)</f>
        <v>1</v>
      </c>
      <c r="BU95" s="852">
        <v>0</v>
      </c>
      <c r="BV95" s="853">
        <v>0</v>
      </c>
      <c r="BW95" s="846">
        <f>BU95+BV95*CF$5</f>
        <v>0</v>
      </c>
      <c r="BX95" s="893">
        <v>1</v>
      </c>
      <c r="BY95" s="894">
        <v>0</v>
      </c>
      <c r="BZ95" s="1080">
        <f>BX95+BY95*CF$5</f>
        <v>1</v>
      </c>
      <c r="CA95" s="1687">
        <f>SUM(CB95:CC96,CE95:CF95)</f>
        <v>1</v>
      </c>
      <c r="CB95" s="882">
        <v>0</v>
      </c>
      <c r="CC95" s="883">
        <v>0</v>
      </c>
      <c r="CD95" s="1058">
        <f>CB95+CC95*CM$5</f>
        <v>0</v>
      </c>
      <c r="CE95" s="858">
        <v>1</v>
      </c>
      <c r="CF95" s="859">
        <v>0</v>
      </c>
      <c r="CG95" s="1061">
        <f>CE95+CF95*CM$5</f>
        <v>1</v>
      </c>
      <c r="CH95" s="1687"/>
      <c r="CI95" s="852"/>
      <c r="CJ95" s="853"/>
      <c r="CK95" s="846"/>
      <c r="CL95" s="893"/>
      <c r="CM95" s="894"/>
      <c r="CN95" s="1080"/>
    </row>
    <row r="96" spans="1:92" x14ac:dyDescent="0.25">
      <c r="A96" s="757">
        <v>29</v>
      </c>
      <c r="B96" s="765"/>
      <c r="C96" s="844" t="str">
        <f>IF($B96,$B96*TreatyCatch!BF267/SUM(TreatyCatch!$BF267:$BG267,TreatyCatch!$BI267:$BJ267),"")</f>
        <v/>
      </c>
      <c r="D96" s="844" t="str">
        <f>IF($B96,$B96*TreatyCatch!BG267/SUM(TreatyCatch!$BF267:$BG267,TreatyCatch!$BI267:$BJ267),"")</f>
        <v/>
      </c>
      <c r="E96" s="846" t="str">
        <f t="shared" si="39"/>
        <v/>
      </c>
      <c r="F96" s="876" t="str">
        <f>IF($B96,$B96*TreatyCatch!BI267/SUM(TreatyCatch!$BF267:$BG267,TreatyCatch!$BI267:$BJ267),"")</f>
        <v/>
      </c>
      <c r="G96" s="889" t="str">
        <f>IF($B96,$B96*TreatyCatch!BJ267/SUM(TreatyCatch!$BF267:$BG267,TreatyCatch!$BI267:$BJ267),"")</f>
        <v/>
      </c>
      <c r="H96" s="877" t="str">
        <f t="shared" si="52"/>
        <v/>
      </c>
      <c r="I96" s="765"/>
      <c r="J96" s="882" t="str">
        <f>IF($I96,$I96*TreatyCatch!BL267/SUM(TreatyCatch!$BL267:$BM267,TreatyCatch!$BO267:$BP267),"")</f>
        <v/>
      </c>
      <c r="K96" s="883" t="str">
        <f>IF($I96,$I96*TreatyCatch!BM267/SUM(TreatyCatch!$BL267:$BM267,TreatyCatch!$BO267:$BP267),"")</f>
        <v/>
      </c>
      <c r="L96" s="871" t="str">
        <f t="shared" si="40"/>
        <v/>
      </c>
      <c r="M96" s="858" t="str">
        <f>IF($I96,$I96*TreatyCatch!BO267/SUM(TreatyCatch!$BL267:$BM267,TreatyCatch!$BO267:$BP267),"")</f>
        <v/>
      </c>
      <c r="N96" s="859" t="str">
        <f>IF($I96,$I96*TreatyCatch!BP267/SUM(TreatyCatch!$BL267:$BM267,TreatyCatch!$BO267:$BP267),"")</f>
        <v/>
      </c>
      <c r="O96" s="840" t="str">
        <f t="shared" si="53"/>
        <v/>
      </c>
      <c r="P96" s="765"/>
      <c r="Q96" s="852" t="str">
        <f>IF($P96,$P96*TreatyCatch!BR267/SUM(TreatyCatch!$BR267:$BS267,TreatyCatch!$BU267:$BV267),"")</f>
        <v/>
      </c>
      <c r="R96" s="853" t="str">
        <f>IF($P96,$P96*TreatyCatch!BS267/SUM(TreatyCatch!$BR267:$BS267,TreatyCatch!$BU267:$BV267),"")</f>
        <v/>
      </c>
      <c r="S96" s="846" t="str">
        <f t="shared" si="41"/>
        <v/>
      </c>
      <c r="T96" s="893" t="str">
        <f>IF($P96,$P96*TreatyCatch!BU267/SUM(TreatyCatch!$BR267:$BS267,TreatyCatch!$BU267:$BV267),"")</f>
        <v/>
      </c>
      <c r="U96" s="894" t="str">
        <f>IF($P96,$P96*TreatyCatch!BV267/SUM(TreatyCatch!$BR267:$BS267,TreatyCatch!$BU267:$BV267),"")</f>
        <v/>
      </c>
      <c r="V96" s="877" t="str">
        <f t="shared" si="54"/>
        <v/>
      </c>
      <c r="W96" s="958"/>
      <c r="X96" s="882" t="str">
        <f>IF($W96,$W96*TreatyCatch!BX267/SUM(TreatyCatch!$BX267:$BY267,TreatyCatch!$CA267:$CB267),"")</f>
        <v/>
      </c>
      <c r="Y96" s="883" t="str">
        <f>IF($W96,$W96*TreatyCatch!BY267/SUM(TreatyCatch!$BX267:$BY267,TreatyCatch!$CA267:$CB267),"")</f>
        <v/>
      </c>
      <c r="Z96" s="901" t="str">
        <f t="shared" si="42"/>
        <v/>
      </c>
      <c r="AA96" s="858" t="str">
        <f>IF($W96,$W96*TreatyCatch!CA267/SUM(TreatyCatch!$BX267:$BY267,TreatyCatch!$CA267:$CB267),"")</f>
        <v/>
      </c>
      <c r="AB96" s="859" t="str">
        <f>IF($W96,$W96*TreatyCatch!CB267/SUM(TreatyCatch!$BX267:$BY267,TreatyCatch!$CA267:$CB267),"")</f>
        <v/>
      </c>
      <c r="AC96" s="840" t="str">
        <f t="shared" si="55"/>
        <v/>
      </c>
      <c r="AD96" s="958">
        <v>4</v>
      </c>
      <c r="AE96" s="1090">
        <v>2.6666666666666665</v>
      </c>
      <c r="AF96" s="1091">
        <v>0</v>
      </c>
      <c r="AG96" s="1073">
        <f t="shared" si="43"/>
        <v>2.6666666666666665</v>
      </c>
      <c r="AH96" s="1091">
        <v>1.3333333333333333</v>
      </c>
      <c r="AI96" s="1092">
        <v>0</v>
      </c>
      <c r="AJ96" s="1080">
        <f t="shared" si="56"/>
        <v>1.3333333333333333</v>
      </c>
      <c r="AK96" s="958"/>
      <c r="AL96" s="882"/>
      <c r="AM96" s="883"/>
      <c r="AN96" s="901"/>
      <c r="AO96" s="858"/>
      <c r="AP96" s="859"/>
      <c r="AQ96" s="840"/>
      <c r="AR96" s="765"/>
      <c r="AS96" s="852"/>
      <c r="AT96" s="853"/>
      <c r="AU96" s="846"/>
      <c r="AV96" s="893"/>
      <c r="AW96" s="894"/>
      <c r="AX96" s="877"/>
      <c r="AY96" s="765"/>
      <c r="AZ96" s="882"/>
      <c r="BA96" s="883"/>
      <c r="BB96" s="901"/>
      <c r="BC96" s="858"/>
      <c r="BD96" s="859"/>
      <c r="BE96" s="840"/>
      <c r="BF96" s="765"/>
      <c r="BG96" s="852"/>
      <c r="BH96" s="853"/>
      <c r="BI96" s="846"/>
      <c r="BJ96" s="893"/>
      <c r="BK96" s="894"/>
      <c r="BL96" s="877"/>
      <c r="BM96" s="1687">
        <f>SUM(BN96:BO97,BQ96:BR96)</f>
        <v>1</v>
      </c>
      <c r="BN96" s="1496">
        <v>0</v>
      </c>
      <c r="BO96" s="1497">
        <v>0</v>
      </c>
      <c r="BP96" s="901">
        <f>BN96+BO96*BY$5</f>
        <v>0</v>
      </c>
      <c r="BQ96" s="1497">
        <v>1</v>
      </c>
      <c r="BR96" s="1498">
        <v>0</v>
      </c>
      <c r="BS96" s="1061">
        <f>BQ96+BR96*BY$5</f>
        <v>1</v>
      </c>
      <c r="BT96" s="765"/>
      <c r="BU96" s="852"/>
      <c r="BV96" s="853"/>
      <c r="BW96" s="846"/>
      <c r="BX96" s="893"/>
      <c r="BY96" s="894"/>
      <c r="BZ96" s="877"/>
      <c r="CA96" s="765"/>
      <c r="CB96" s="882"/>
      <c r="CC96" s="883"/>
      <c r="CD96" s="901"/>
      <c r="CE96" s="858"/>
      <c r="CF96" s="859"/>
      <c r="CG96" s="840"/>
      <c r="CH96" s="765"/>
      <c r="CI96" s="852"/>
      <c r="CJ96" s="853"/>
      <c r="CK96" s="846"/>
      <c r="CL96" s="893"/>
      <c r="CM96" s="894"/>
      <c r="CN96" s="877"/>
    </row>
    <row r="97" spans="1:92" x14ac:dyDescent="0.25">
      <c r="A97" s="757">
        <v>30</v>
      </c>
      <c r="B97" s="765"/>
      <c r="C97" s="844" t="str">
        <f>IF($B97,$B97*TreatyCatch!BF268/SUM(TreatyCatch!$BF268:$BG268,TreatyCatch!$BI268:$BJ268),"")</f>
        <v/>
      </c>
      <c r="D97" s="844" t="str">
        <f>IF($B97,$B97*TreatyCatch!BG268/SUM(TreatyCatch!$BF268:$BG268,TreatyCatch!$BI268:$BJ268),"")</f>
        <v/>
      </c>
      <c r="E97" s="846" t="str">
        <f t="shared" si="39"/>
        <v/>
      </c>
      <c r="F97" s="876" t="str">
        <f>IF($B97,$B97*TreatyCatch!BI268/SUM(TreatyCatch!$BF268:$BG268,TreatyCatch!$BI268:$BJ268),"")</f>
        <v/>
      </c>
      <c r="G97" s="889" t="str">
        <f>IF($B97,$B97*TreatyCatch!BJ268/SUM(TreatyCatch!$BF268:$BG268,TreatyCatch!$BI268:$BJ268),"")</f>
        <v/>
      </c>
      <c r="H97" s="877" t="str">
        <f t="shared" si="52"/>
        <v/>
      </c>
      <c r="I97" s="765"/>
      <c r="J97" s="882" t="str">
        <f>IF($I97,$I97*TreatyCatch!BL268/SUM(TreatyCatch!$BL268:$BM268,TreatyCatch!$BO268:$BP268),"")</f>
        <v/>
      </c>
      <c r="K97" s="883" t="str">
        <f>IF($I97,$I97*TreatyCatch!BM268/SUM(TreatyCatch!$BL268:$BM268,TreatyCatch!$BO268:$BP268),"")</f>
        <v/>
      </c>
      <c r="L97" s="871" t="str">
        <f t="shared" si="40"/>
        <v/>
      </c>
      <c r="M97" s="858" t="str">
        <f>IF($I97,$I97*TreatyCatch!BO268/SUM(TreatyCatch!$BL268:$BM268,TreatyCatch!$BO268:$BP268),"")</f>
        <v/>
      </c>
      <c r="N97" s="859" t="str">
        <f>IF($I97,$I97*TreatyCatch!BP268/SUM(TreatyCatch!$BL268:$BM268,TreatyCatch!$BO268:$BP268),"")</f>
        <v/>
      </c>
      <c r="O97" s="840" t="str">
        <f t="shared" si="53"/>
        <v/>
      </c>
      <c r="P97" s="765"/>
      <c r="Q97" s="852" t="str">
        <f>IF($P97,$P97*TreatyCatch!BR268/SUM(TreatyCatch!$BR268:$BS268,TreatyCatch!$BU268:$BV268),"")</f>
        <v/>
      </c>
      <c r="R97" s="853" t="str">
        <f>IF($P97,$P97*TreatyCatch!BS268/SUM(TreatyCatch!$BR268:$BS268,TreatyCatch!$BU268:$BV268),"")</f>
        <v/>
      </c>
      <c r="S97" s="846" t="str">
        <f t="shared" si="41"/>
        <v/>
      </c>
      <c r="T97" s="893" t="str">
        <f>IF($P97,$P97*TreatyCatch!BU268/SUM(TreatyCatch!$BR268:$BS268,TreatyCatch!$BU268:$BV268),"")</f>
        <v/>
      </c>
      <c r="U97" s="894" t="str">
        <f>IF($P97,$P97*TreatyCatch!BV268/SUM(TreatyCatch!$BR268:$BS268,TreatyCatch!$BU268:$BV268),"")</f>
        <v/>
      </c>
      <c r="V97" s="877" t="str">
        <f t="shared" si="54"/>
        <v/>
      </c>
      <c r="W97" s="958"/>
      <c r="X97" s="882" t="str">
        <f>IF($W97,$W97*TreatyCatch!BX268/SUM(TreatyCatch!$BX268:$BY268,TreatyCatch!$CA268:$CB268),"")</f>
        <v/>
      </c>
      <c r="Y97" s="883" t="str">
        <f>IF($W97,$W97*TreatyCatch!BY268/SUM(TreatyCatch!$BX268:$BY268,TreatyCatch!$CA268:$CB268),"")</f>
        <v/>
      </c>
      <c r="Z97" s="901" t="str">
        <f t="shared" si="42"/>
        <v/>
      </c>
      <c r="AA97" s="858" t="str">
        <f>IF($W97,$W97*TreatyCatch!CA268/SUM(TreatyCatch!$BX268:$BY268,TreatyCatch!$CA268:$CB268),"")</f>
        <v/>
      </c>
      <c r="AB97" s="859" t="str">
        <f>IF($W97,$W97*TreatyCatch!CB268/SUM(TreatyCatch!$BX268:$BY268,TreatyCatch!$CA268:$CB268),"")</f>
        <v/>
      </c>
      <c r="AC97" s="840" t="str">
        <f t="shared" si="55"/>
        <v/>
      </c>
      <c r="AD97" s="958"/>
      <c r="AE97" s="1071" t="str">
        <f>IF($AD97,$AD97*TreatyCatch!CD327/SUM(TreatyCatch!$CD327:$CE327,TreatyCatch!$CG327:$CH327),"")</f>
        <v/>
      </c>
      <c r="AF97" s="1072" t="str">
        <f>IF($AD97,$AD97*TreatyCatch!CE327/SUM(TreatyCatch!$CD327:$CE327,TreatyCatch!$CG327:$CH327),"")</f>
        <v/>
      </c>
      <c r="AG97" s="1073" t="str">
        <f t="shared" si="43"/>
        <v/>
      </c>
      <c r="AH97" s="1077" t="str">
        <f>IF($AD97,$AD97*TreatyCatch!CG327/SUM(TreatyCatch!$CD327:CE327,TreatyCatch!$CG327:$CH327),"")</f>
        <v/>
      </c>
      <c r="AI97" s="1078" t="str">
        <f>IF($AD97,$AD97*TreatyCatch!CH327/SUM(TreatyCatch!$CD327:CF327,TreatyCatch!$CG327:$CH327),"")</f>
        <v/>
      </c>
      <c r="AJ97" s="1080" t="str">
        <f t="shared" si="56"/>
        <v/>
      </c>
      <c r="AK97" s="958"/>
      <c r="AL97" s="882"/>
      <c r="AM97" s="883"/>
      <c r="AN97" s="901"/>
      <c r="AO97" s="858"/>
      <c r="AP97" s="859"/>
      <c r="AQ97" s="840"/>
      <c r="AR97" s="765"/>
      <c r="AS97" s="852"/>
      <c r="AT97" s="853"/>
      <c r="AU97" s="846"/>
      <c r="AV97" s="893"/>
      <c r="AW97" s="894"/>
      <c r="AX97" s="877"/>
      <c r="AY97" s="765"/>
      <c r="AZ97" s="882"/>
      <c r="BA97" s="883"/>
      <c r="BB97" s="901"/>
      <c r="BC97" s="858"/>
      <c r="BD97" s="859"/>
      <c r="BE97" s="840"/>
      <c r="BF97" s="1686">
        <v>1</v>
      </c>
      <c r="BG97" s="1496">
        <v>0</v>
      </c>
      <c r="BH97" s="1497">
        <v>0</v>
      </c>
      <c r="BI97" s="1655">
        <f t="shared" ref="BI97" si="59">IFERROR(BG97+BR$5*BH97,"")</f>
        <v>0</v>
      </c>
      <c r="BJ97" s="1497">
        <v>1</v>
      </c>
      <c r="BK97" s="1498">
        <v>0</v>
      </c>
      <c r="BL97" s="1655">
        <f>IFERROR(BJ97+BR$5*BK97,"")</f>
        <v>1</v>
      </c>
      <c r="BM97" s="765"/>
      <c r="BN97" s="882"/>
      <c r="BO97" s="883"/>
      <c r="BP97" s="901"/>
      <c r="BQ97" s="858"/>
      <c r="BR97" s="859"/>
      <c r="BS97" s="840"/>
      <c r="BT97" s="765"/>
      <c r="BU97" s="852"/>
      <c r="BV97" s="853"/>
      <c r="BW97" s="846"/>
      <c r="BX97" s="893"/>
      <c r="BY97" s="894"/>
      <c r="BZ97" s="877"/>
      <c r="CA97" s="765"/>
      <c r="CB97" s="882"/>
      <c r="CC97" s="883"/>
      <c r="CD97" s="901"/>
      <c r="CE97" s="858"/>
      <c r="CF97" s="859"/>
      <c r="CG97" s="840"/>
      <c r="CH97" s="765"/>
      <c r="CI97" s="852"/>
      <c r="CJ97" s="853"/>
      <c r="CK97" s="846"/>
      <c r="CL97" s="893"/>
      <c r="CM97" s="894"/>
      <c r="CN97" s="877"/>
    </row>
    <row r="98" spans="1:92" x14ac:dyDescent="0.25">
      <c r="A98" s="757">
        <v>31</v>
      </c>
      <c r="B98" s="765"/>
      <c r="C98" s="844" t="str">
        <f>IF($B98,$B98*TreatyCatch!BF269/SUM(TreatyCatch!$BF269:$BG269,TreatyCatch!$BI269:$BJ269),"")</f>
        <v/>
      </c>
      <c r="D98" s="844" t="str">
        <f>IF($B98,$B98*TreatyCatch!BG269/SUM(TreatyCatch!$BF269:$BG269,TreatyCatch!$BI269:$BJ269),"")</f>
        <v/>
      </c>
      <c r="E98" s="846" t="str">
        <f t="shared" si="39"/>
        <v/>
      </c>
      <c r="F98" s="876" t="str">
        <f>IF($B98,$B98*TreatyCatch!BI269/SUM(TreatyCatch!$BF269:$BG269,TreatyCatch!$BI269:$BJ269),"")</f>
        <v/>
      </c>
      <c r="G98" s="889" t="str">
        <f>IF($B98,$B98*TreatyCatch!BJ269/SUM(TreatyCatch!$BF269:$BG269,TreatyCatch!$BI269:$BJ269),"")</f>
        <v/>
      </c>
      <c r="H98" s="877" t="str">
        <f t="shared" si="52"/>
        <v/>
      </c>
      <c r="I98" s="765"/>
      <c r="J98" s="882" t="str">
        <f>IF($I98,$I98*TreatyCatch!BL269/SUM(TreatyCatch!$BL269:$BM269,TreatyCatch!$BO269:$BP269),"")</f>
        <v/>
      </c>
      <c r="K98" s="883" t="str">
        <f>IF($I98,$I98*TreatyCatch!BM269/SUM(TreatyCatch!$BL269:$BM269,TreatyCatch!$BO269:$BP269),"")</f>
        <v/>
      </c>
      <c r="L98" s="871" t="str">
        <f t="shared" si="40"/>
        <v/>
      </c>
      <c r="M98" s="858" t="str">
        <f>IF($I98,$I98*TreatyCatch!BO269/SUM(TreatyCatch!$BL269:$BM269,TreatyCatch!$BO269:$BP269),"")</f>
        <v/>
      </c>
      <c r="N98" s="859" t="str">
        <f>IF($I98,$I98*TreatyCatch!BP269/SUM(TreatyCatch!$BL269:$BM269,TreatyCatch!$BO269:$BP269),"")</f>
        <v/>
      </c>
      <c r="O98" s="840" t="str">
        <f t="shared" si="53"/>
        <v/>
      </c>
      <c r="P98" s="765"/>
      <c r="Q98" s="852" t="str">
        <f>IF($P98,$P98*TreatyCatch!BR269/SUM(TreatyCatch!$BR269:$BS269,TreatyCatch!$BU269:$BV269),"")</f>
        <v/>
      </c>
      <c r="R98" s="853" t="str">
        <f>IF($P98,$P98*TreatyCatch!BS269/SUM(TreatyCatch!$BR269:$BS269,TreatyCatch!$BU269:$BV269),"")</f>
        <v/>
      </c>
      <c r="S98" s="846" t="str">
        <f t="shared" si="41"/>
        <v/>
      </c>
      <c r="T98" s="893" t="str">
        <f>IF($P98,$P98*TreatyCatch!BU269/SUM(TreatyCatch!$BR269:$BS269,TreatyCatch!$BU269:$BV269),"")</f>
        <v/>
      </c>
      <c r="U98" s="894" t="str">
        <f>IF($P98,$P98*TreatyCatch!BV269/SUM(TreatyCatch!$BR269:$BS269,TreatyCatch!$BU269:$BV269),"")</f>
        <v/>
      </c>
      <c r="V98" s="877" t="str">
        <f t="shared" si="54"/>
        <v/>
      </c>
      <c r="W98" s="958"/>
      <c r="X98" s="882" t="str">
        <f>IF($W98,$W98*TreatyCatch!BX269/SUM(TreatyCatch!$BX269:$BY269,TreatyCatch!$CA269:$CB269),"")</f>
        <v/>
      </c>
      <c r="Y98" s="883" t="str">
        <f>IF($W98,$W98*TreatyCatch!BY269/SUM(TreatyCatch!$BX269:$BY269,TreatyCatch!$CA269:$CB269),"")</f>
        <v/>
      </c>
      <c r="Z98" s="901" t="str">
        <f t="shared" si="42"/>
        <v/>
      </c>
      <c r="AA98" s="858" t="str">
        <f>IF($W98,$W98*TreatyCatch!CA269/SUM(TreatyCatch!$BX269:$BY269,TreatyCatch!$CA269:$CB269),"")</f>
        <v/>
      </c>
      <c r="AB98" s="859" t="str">
        <f>IF($W98,$W98*TreatyCatch!CB269/SUM(TreatyCatch!$BX269:$BY269,TreatyCatch!$CA269:$CB269),"")</f>
        <v/>
      </c>
      <c r="AC98" s="840" t="str">
        <f t="shared" si="55"/>
        <v/>
      </c>
      <c r="AD98" s="958"/>
      <c r="AE98" s="1071" t="str">
        <f>IF($AD98,$AD98*TreatyCatch!CD328/SUM(TreatyCatch!$CD328:$CE328,TreatyCatch!$CG328:$CH328),"")</f>
        <v/>
      </c>
      <c r="AF98" s="1072" t="str">
        <f>IF($AD98,$AD98*TreatyCatch!CE328/SUM(TreatyCatch!$CD328:$CE328,TreatyCatch!$CG328:$CH328),"")</f>
        <v/>
      </c>
      <c r="AG98" s="1073" t="str">
        <f t="shared" si="43"/>
        <v/>
      </c>
      <c r="AH98" s="1077" t="str">
        <f>IF($AD98,$AD98*TreatyCatch!CG328/SUM(TreatyCatch!$CD328:CE328,TreatyCatch!$CG328:$CH328),"")</f>
        <v/>
      </c>
      <c r="AI98" s="1078" t="str">
        <f>IF($AD98,$AD98*TreatyCatch!CH328/SUM(TreatyCatch!$CD328:CF328,TreatyCatch!$CG328:$CH328),"")</f>
        <v/>
      </c>
      <c r="AJ98" s="1080" t="str">
        <f t="shared" si="56"/>
        <v/>
      </c>
      <c r="AK98" s="958"/>
      <c r="AL98" s="882"/>
      <c r="AM98" s="883"/>
      <c r="AN98" s="901"/>
      <c r="AO98" s="858"/>
      <c r="AP98" s="859"/>
      <c r="AQ98" s="840"/>
      <c r="AR98" s="765"/>
      <c r="AS98" s="852"/>
      <c r="AT98" s="853"/>
      <c r="AU98" s="846"/>
      <c r="AV98" s="893"/>
      <c r="AW98" s="894"/>
      <c r="AX98" s="877"/>
      <c r="AY98" s="765"/>
      <c r="AZ98" s="882"/>
      <c r="BA98" s="883"/>
      <c r="BB98" s="901"/>
      <c r="BC98" s="858"/>
      <c r="BD98" s="859"/>
      <c r="BE98" s="840"/>
      <c r="BF98" s="765"/>
      <c r="BG98" s="852"/>
      <c r="BH98" s="853"/>
      <c r="BI98" s="846"/>
      <c r="BJ98" s="893"/>
      <c r="BK98" s="894"/>
      <c r="BL98" s="877"/>
      <c r="BM98" s="765"/>
      <c r="BN98" s="882"/>
      <c r="BO98" s="883"/>
      <c r="BP98" s="901"/>
      <c r="BQ98" s="858"/>
      <c r="BR98" s="859"/>
      <c r="BS98" s="840"/>
      <c r="BT98" s="765"/>
      <c r="BU98" s="852"/>
      <c r="BV98" s="853"/>
      <c r="BW98" s="846"/>
      <c r="BX98" s="893"/>
      <c r="BY98" s="894"/>
      <c r="BZ98" s="877"/>
      <c r="CA98" s="765"/>
      <c r="CB98" s="882"/>
      <c r="CC98" s="883"/>
      <c r="CD98" s="901"/>
      <c r="CE98" s="858"/>
      <c r="CF98" s="859"/>
      <c r="CG98" s="840"/>
      <c r="CH98" s="765"/>
      <c r="CI98" s="852"/>
      <c r="CJ98" s="853"/>
      <c r="CK98" s="846"/>
      <c r="CL98" s="893"/>
      <c r="CM98" s="894"/>
      <c r="CN98" s="877"/>
    </row>
    <row r="99" spans="1:92" x14ac:dyDescent="0.25">
      <c r="A99" s="757">
        <v>32</v>
      </c>
      <c r="B99" s="765"/>
      <c r="C99" s="844" t="str">
        <f>IF($B99,$B99*TreatyCatch!BF270/SUM(TreatyCatch!$BF270:$BG270,TreatyCatch!$BI270:$BJ270),"")</f>
        <v/>
      </c>
      <c r="D99" s="844" t="str">
        <f>IF($B99,$B99*TreatyCatch!BG270/SUM(TreatyCatch!$BF270:$BG270,TreatyCatch!$BI270:$BJ270),"")</f>
        <v/>
      </c>
      <c r="E99" s="846" t="str">
        <f t="shared" si="39"/>
        <v/>
      </c>
      <c r="F99" s="876" t="str">
        <f>IF($B99,$B99*TreatyCatch!BI270/SUM(TreatyCatch!$BF270:$BG270,TreatyCatch!$BI270:$BJ270),"")</f>
        <v/>
      </c>
      <c r="G99" s="889" t="str">
        <f>IF($B99,$B99*TreatyCatch!BJ270/SUM(TreatyCatch!$BF270:$BG270,TreatyCatch!$BI270:$BJ270),"")</f>
        <v/>
      </c>
      <c r="H99" s="877" t="str">
        <f t="shared" si="52"/>
        <v/>
      </c>
      <c r="I99" s="765"/>
      <c r="J99" s="882" t="str">
        <f>IF($I99,$I99*TreatyCatch!BL270/SUM(TreatyCatch!$BL270:$BM270,TreatyCatch!$BO270:$BP270),"")</f>
        <v/>
      </c>
      <c r="K99" s="883" t="str">
        <f>IF($I99,$I99*TreatyCatch!BM270/SUM(TreatyCatch!$BL270:$BM270,TreatyCatch!$BO270:$BP270),"")</f>
        <v/>
      </c>
      <c r="L99" s="871" t="str">
        <f t="shared" si="40"/>
        <v/>
      </c>
      <c r="M99" s="858" t="str">
        <f>IF($I99,$I99*TreatyCatch!BO270/SUM(TreatyCatch!$BL270:$BM270,TreatyCatch!$BO270:$BP270),"")</f>
        <v/>
      </c>
      <c r="N99" s="859" t="str">
        <f>IF($I99,$I99*TreatyCatch!BP270/SUM(TreatyCatch!$BL270:$BM270,TreatyCatch!$BO270:$BP270),"")</f>
        <v/>
      </c>
      <c r="O99" s="840" t="str">
        <f t="shared" si="53"/>
        <v/>
      </c>
      <c r="P99" s="765"/>
      <c r="Q99" s="852" t="str">
        <f>IF($P99,$P99*TreatyCatch!BR270/SUM(TreatyCatch!$BR270:$BS270,TreatyCatch!$BU270:$BV270),"")</f>
        <v/>
      </c>
      <c r="R99" s="853" t="str">
        <f>IF($P99,$P99*TreatyCatch!BS270/SUM(TreatyCatch!$BR270:$BS270,TreatyCatch!$BU270:$BV270),"")</f>
        <v/>
      </c>
      <c r="S99" s="846" t="str">
        <f t="shared" si="41"/>
        <v/>
      </c>
      <c r="T99" s="893" t="str">
        <f>IF($P99,$P99*TreatyCatch!BU270/SUM(TreatyCatch!$BR270:$BS270,TreatyCatch!$BU270:$BV270),"")</f>
        <v/>
      </c>
      <c r="U99" s="894" t="str">
        <f>IF($P99,$P99*TreatyCatch!BV270/SUM(TreatyCatch!$BR270:$BS270,TreatyCatch!$BU270:$BV270),"")</f>
        <v/>
      </c>
      <c r="V99" s="877" t="str">
        <f t="shared" si="54"/>
        <v/>
      </c>
      <c r="W99" s="958"/>
      <c r="X99" s="882" t="str">
        <f>IF($W99,$W99*TreatyCatch!BX270/SUM(TreatyCatch!$BX270:$BY270,TreatyCatch!$CA270:$CB270),"")</f>
        <v/>
      </c>
      <c r="Y99" s="883" t="str">
        <f>IF($W99,$W99*TreatyCatch!BY270/SUM(TreatyCatch!$BX270:$BY270,TreatyCatch!$CA270:$CB270),"")</f>
        <v/>
      </c>
      <c r="Z99" s="901" t="str">
        <f t="shared" si="42"/>
        <v/>
      </c>
      <c r="AA99" s="858" t="str">
        <f>IF($W99,$W99*TreatyCatch!CA270/SUM(TreatyCatch!$BX270:$BY270,TreatyCatch!$CA270:$CB270),"")</f>
        <v/>
      </c>
      <c r="AB99" s="859" t="str">
        <f>IF($W99,$W99*TreatyCatch!CB270/SUM(TreatyCatch!$BX270:$BY270,TreatyCatch!$CA270:$CB270),"")</f>
        <v/>
      </c>
      <c r="AC99" s="840" t="str">
        <f t="shared" si="55"/>
        <v/>
      </c>
      <c r="AD99" s="958"/>
      <c r="AE99" s="1071" t="str">
        <f>IF($AD99,$AD99*TreatyCatch!CD329/SUM(TreatyCatch!$CD329:$CE329,TreatyCatch!$CG329:$CH329),"")</f>
        <v/>
      </c>
      <c r="AF99" s="1072" t="str">
        <f>IF($AD99,$AD99*TreatyCatch!CE329/SUM(TreatyCatch!$CD329:$CE329,TreatyCatch!$CG329:$CH329),"")</f>
        <v/>
      </c>
      <c r="AG99" s="1073" t="str">
        <f t="shared" si="43"/>
        <v/>
      </c>
      <c r="AH99" s="1077" t="str">
        <f>IF($AD99,$AD99*TreatyCatch!CG329/SUM(TreatyCatch!$CD329:CE329,TreatyCatch!$CG329:$CH329),"")</f>
        <v/>
      </c>
      <c r="AI99" s="1078" t="str">
        <f>IF($AD99,$AD99*TreatyCatch!CH329/SUM(TreatyCatch!$CD329:CF329,TreatyCatch!$CG329:$CH329),"")</f>
        <v/>
      </c>
      <c r="AJ99" s="1080" t="str">
        <f t="shared" si="56"/>
        <v/>
      </c>
      <c r="AK99" s="958"/>
      <c r="AL99" s="882"/>
      <c r="AM99" s="883"/>
      <c r="AN99" s="901"/>
      <c r="AO99" s="858"/>
      <c r="AP99" s="859"/>
      <c r="AQ99" s="840"/>
      <c r="AR99" s="765"/>
      <c r="AS99" s="852"/>
      <c r="AT99" s="853"/>
      <c r="AU99" s="846"/>
      <c r="AV99" s="893"/>
      <c r="AW99" s="894"/>
      <c r="AX99" s="877"/>
      <c r="AY99" s="765"/>
      <c r="AZ99" s="882"/>
      <c r="BA99" s="883"/>
      <c r="BB99" s="901"/>
      <c r="BC99" s="858"/>
      <c r="BD99" s="859"/>
      <c r="BE99" s="840"/>
      <c r="BF99" s="765"/>
      <c r="BG99" s="852"/>
      <c r="BH99" s="853"/>
      <c r="BI99" s="846"/>
      <c r="BJ99" s="893"/>
      <c r="BK99" s="894"/>
      <c r="BL99" s="877"/>
      <c r="BM99" s="765"/>
      <c r="BN99" s="882"/>
      <c r="BO99" s="883"/>
      <c r="BP99" s="901"/>
      <c r="BQ99" s="858"/>
      <c r="BR99" s="859"/>
      <c r="BS99" s="840"/>
      <c r="BT99" s="765"/>
      <c r="BU99" s="852"/>
      <c r="BV99" s="853"/>
      <c r="BW99" s="846"/>
      <c r="BX99" s="893"/>
      <c r="BY99" s="894"/>
      <c r="BZ99" s="877"/>
      <c r="CA99" s="765"/>
      <c r="CB99" s="882"/>
      <c r="CC99" s="883"/>
      <c r="CD99" s="901"/>
      <c r="CE99" s="858"/>
      <c r="CF99" s="859"/>
      <c r="CG99" s="840"/>
      <c r="CH99" s="765"/>
      <c r="CI99" s="852"/>
      <c r="CJ99" s="853"/>
      <c r="CK99" s="846"/>
      <c r="CL99" s="893"/>
      <c r="CM99" s="894"/>
      <c r="CN99" s="877"/>
    </row>
    <row r="100" spans="1:92" x14ac:dyDescent="0.25">
      <c r="A100" s="757">
        <v>33</v>
      </c>
      <c r="B100" s="765"/>
      <c r="C100" s="844" t="str">
        <f>IF($B100,$B100*TreatyCatch!BF271/SUM(TreatyCatch!$BF271:$BG271,TreatyCatch!$BI271:$BJ271),"")</f>
        <v/>
      </c>
      <c r="D100" s="844" t="str">
        <f>IF($B100,$B100*TreatyCatch!BG271/SUM(TreatyCatch!$BF271:$BG271,TreatyCatch!$BI271:$BJ271),"")</f>
        <v/>
      </c>
      <c r="E100" s="846" t="str">
        <f t="shared" si="39"/>
        <v/>
      </c>
      <c r="F100" s="876" t="str">
        <f>IF($B100,$B100*TreatyCatch!BI271/SUM(TreatyCatch!$BF271:$BG271,TreatyCatch!$BI271:$BJ271),"")</f>
        <v/>
      </c>
      <c r="G100" s="889" t="str">
        <f>IF($B100,$B100*TreatyCatch!BJ271/SUM(TreatyCatch!$BF271:$BG271,TreatyCatch!$BI271:$BJ271),"")</f>
        <v/>
      </c>
      <c r="H100" s="877" t="str">
        <f t="shared" si="52"/>
        <v/>
      </c>
      <c r="I100" s="765"/>
      <c r="J100" s="882" t="str">
        <f>IF($I100,$I100*TreatyCatch!BL271/SUM(TreatyCatch!$BL271:$BM271,TreatyCatch!$BO271:$BP271),"")</f>
        <v/>
      </c>
      <c r="K100" s="883" t="str">
        <f>IF($I100,$I100*TreatyCatch!BM271/SUM(TreatyCatch!$BL271:$BM271,TreatyCatch!$BO271:$BP271),"")</f>
        <v/>
      </c>
      <c r="L100" s="871" t="str">
        <f t="shared" si="40"/>
        <v/>
      </c>
      <c r="M100" s="858" t="str">
        <f>IF($I100,$I100*TreatyCatch!BO271/SUM(TreatyCatch!$BL271:$BM271,TreatyCatch!$BO271:$BP271),"")</f>
        <v/>
      </c>
      <c r="N100" s="859" t="str">
        <f>IF($I100,$I100*TreatyCatch!BP271/SUM(TreatyCatch!$BL271:$BM271,TreatyCatch!$BO271:$BP271),"")</f>
        <v/>
      </c>
      <c r="O100" s="840" t="str">
        <f t="shared" si="53"/>
        <v/>
      </c>
      <c r="P100" s="765"/>
      <c r="Q100" s="852" t="str">
        <f>IF($P100,$P100*TreatyCatch!BR271/SUM(TreatyCatch!$BR271:$BS271,TreatyCatch!$BU271:$BV271),"")</f>
        <v/>
      </c>
      <c r="R100" s="853" t="str">
        <f>IF($P100,$P100*TreatyCatch!BS271/SUM(TreatyCatch!$BR271:$BS271,TreatyCatch!$BU271:$BV271),"")</f>
        <v/>
      </c>
      <c r="S100" s="846" t="str">
        <f t="shared" si="41"/>
        <v/>
      </c>
      <c r="T100" s="893" t="str">
        <f>IF($P100,$P100*TreatyCatch!BU271/SUM(TreatyCatch!$BR271:$BS271,TreatyCatch!$BU271:$BV271),"")</f>
        <v/>
      </c>
      <c r="U100" s="894" t="str">
        <f>IF($P100,$P100*TreatyCatch!BV271/SUM(TreatyCatch!$BR271:$BS271,TreatyCatch!$BU271:$BV271),"")</f>
        <v/>
      </c>
      <c r="V100" s="877" t="str">
        <f t="shared" si="54"/>
        <v/>
      </c>
      <c r="W100" s="958"/>
      <c r="X100" s="882" t="str">
        <f>IF($W100,$W100*TreatyCatch!BX271/SUM(TreatyCatch!$BX271:$BY271,TreatyCatch!$CA271:$CB271),"")</f>
        <v/>
      </c>
      <c r="Y100" s="883" t="str">
        <f>IF($W100,$W100*TreatyCatch!BY271/SUM(TreatyCatch!$BX271:$BY271,TreatyCatch!$CA271:$CB271),"")</f>
        <v/>
      </c>
      <c r="Z100" s="901" t="str">
        <f t="shared" si="42"/>
        <v/>
      </c>
      <c r="AA100" s="858" t="str">
        <f>IF($W100,$W100*TreatyCatch!CA271/SUM(TreatyCatch!$BX271:$BY271,TreatyCatch!$CA271:$CB271),"")</f>
        <v/>
      </c>
      <c r="AB100" s="859" t="str">
        <f>IF($W100,$W100*TreatyCatch!CB271/SUM(TreatyCatch!$BX271:$BY271,TreatyCatch!$CA271:$CB271),"")</f>
        <v/>
      </c>
      <c r="AC100" s="840" t="str">
        <f t="shared" si="55"/>
        <v/>
      </c>
      <c r="AD100" s="958"/>
      <c r="AE100" s="1071" t="str">
        <f>IF($AD100,$AD100*TreatyCatch!CD330/SUM(TreatyCatch!$CD330:$CE330,TreatyCatch!$CG330:$CH330),"")</f>
        <v/>
      </c>
      <c r="AF100" s="1072" t="str">
        <f>IF($AD100,$AD100*TreatyCatch!CE330/SUM(TreatyCatch!$CD330:$CE330,TreatyCatch!$CG330:$CH330),"")</f>
        <v/>
      </c>
      <c r="AG100" s="1073" t="str">
        <f t="shared" si="43"/>
        <v/>
      </c>
      <c r="AH100" s="1077" t="str">
        <f>IF($AD100,$AD100*TreatyCatch!CG330/SUM(TreatyCatch!$CD330:CE330,TreatyCatch!$CG330:$CH330),"")</f>
        <v/>
      </c>
      <c r="AI100" s="1078" t="str">
        <f>IF($AD100,$AD100*TreatyCatch!CH330/SUM(TreatyCatch!$CD330:CF330,TreatyCatch!$CG330:$CH330),"")</f>
        <v/>
      </c>
      <c r="AJ100" s="1080" t="str">
        <f t="shared" si="56"/>
        <v/>
      </c>
      <c r="AK100" s="958"/>
      <c r="AL100" s="882"/>
      <c r="AM100" s="883"/>
      <c r="AN100" s="901"/>
      <c r="AO100" s="858"/>
      <c r="AP100" s="859"/>
      <c r="AQ100" s="840"/>
      <c r="AR100" s="765"/>
      <c r="AS100" s="852"/>
      <c r="AT100" s="853"/>
      <c r="AU100" s="846"/>
      <c r="AV100" s="893"/>
      <c r="AW100" s="894"/>
      <c r="AX100" s="877"/>
      <c r="AY100" s="765"/>
      <c r="AZ100" s="882"/>
      <c r="BA100" s="883"/>
      <c r="BB100" s="901"/>
      <c r="BC100" s="858"/>
      <c r="BD100" s="859"/>
      <c r="BE100" s="840"/>
      <c r="BF100" s="765"/>
      <c r="BG100" s="852"/>
      <c r="BH100" s="853"/>
      <c r="BI100" s="846"/>
      <c r="BJ100" s="893"/>
      <c r="BK100" s="894"/>
      <c r="BL100" s="877"/>
      <c r="BM100" s="765"/>
      <c r="BN100" s="882"/>
      <c r="BO100" s="883"/>
      <c r="BP100" s="901"/>
      <c r="BQ100" s="858"/>
      <c r="BR100" s="859"/>
      <c r="BS100" s="840"/>
      <c r="BT100" s="765"/>
      <c r="BU100" s="852"/>
      <c r="BV100" s="853"/>
      <c r="BW100" s="846"/>
      <c r="BX100" s="893"/>
      <c r="BY100" s="894"/>
      <c r="BZ100" s="877"/>
      <c r="CA100" s="765"/>
      <c r="CB100" s="882"/>
      <c r="CC100" s="883"/>
      <c r="CD100" s="901"/>
      <c r="CE100" s="858"/>
      <c r="CF100" s="859"/>
      <c r="CG100" s="840"/>
      <c r="CH100" s="765"/>
      <c r="CI100" s="852"/>
      <c r="CJ100" s="853"/>
      <c r="CK100" s="846"/>
      <c r="CL100" s="893"/>
      <c r="CM100" s="894"/>
      <c r="CN100" s="877"/>
    </row>
    <row r="101" spans="1:92" x14ac:dyDescent="0.25">
      <c r="A101" s="757">
        <v>34</v>
      </c>
      <c r="B101" s="765"/>
      <c r="C101" s="844" t="str">
        <f>IF($B101,$B101*TreatyCatch!BF272/SUM(TreatyCatch!$BF272:$BG272,TreatyCatch!$BI272:$BJ272),"")</f>
        <v/>
      </c>
      <c r="D101" s="844" t="str">
        <f>IF($B101,$B101*TreatyCatch!BG272/SUM(TreatyCatch!$BF272:$BG272,TreatyCatch!$BI272:$BJ272),"")</f>
        <v/>
      </c>
      <c r="E101" s="846" t="str">
        <f t="shared" si="39"/>
        <v/>
      </c>
      <c r="F101" s="876" t="str">
        <f>IF($B101,$B101*TreatyCatch!BI272/SUM(TreatyCatch!$BF272:$BG272,TreatyCatch!$BI272:$BJ272),"")</f>
        <v/>
      </c>
      <c r="G101" s="889" t="str">
        <f>IF($B101,$B101*TreatyCatch!BJ272/SUM(TreatyCatch!$BF272:$BG272,TreatyCatch!$BI272:$BJ272),"")</f>
        <v/>
      </c>
      <c r="H101" s="877" t="str">
        <f t="shared" si="52"/>
        <v/>
      </c>
      <c r="I101" s="765"/>
      <c r="J101" s="882" t="str">
        <f>IF($I101,$I101*TreatyCatch!BL272/SUM(TreatyCatch!$BL272:$BM272,TreatyCatch!$BO272:$BP272),"")</f>
        <v/>
      </c>
      <c r="K101" s="883" t="str">
        <f>IF($I101,$I101*TreatyCatch!BM272/SUM(TreatyCatch!$BL272:$BM272,TreatyCatch!$BO272:$BP272),"")</f>
        <v/>
      </c>
      <c r="L101" s="871" t="str">
        <f t="shared" si="40"/>
        <v/>
      </c>
      <c r="M101" s="858" t="str">
        <f>IF($I101,$I101*TreatyCatch!BO272/SUM(TreatyCatch!$BL272:$BM272,TreatyCatch!$BO272:$BP272),"")</f>
        <v/>
      </c>
      <c r="N101" s="859" t="str">
        <f>IF($I101,$I101*TreatyCatch!BP272/SUM(TreatyCatch!$BL272:$BM272,TreatyCatch!$BO272:$BP272),"")</f>
        <v/>
      </c>
      <c r="O101" s="840" t="str">
        <f t="shared" si="53"/>
        <v/>
      </c>
      <c r="P101" s="765"/>
      <c r="Q101" s="852" t="str">
        <f>IF($P101,$P101*TreatyCatch!BR272/SUM(TreatyCatch!$BR272:$BS272,TreatyCatch!$BU272:$BV272),"")</f>
        <v/>
      </c>
      <c r="R101" s="853" t="str">
        <f>IF($P101,$P101*TreatyCatch!BS272/SUM(TreatyCatch!$BR272:$BS272,TreatyCatch!$BU272:$BV272),"")</f>
        <v/>
      </c>
      <c r="S101" s="846" t="str">
        <f t="shared" si="41"/>
        <v/>
      </c>
      <c r="T101" s="893" t="str">
        <f>IF($P101,$P101*TreatyCatch!BU272/SUM(TreatyCatch!$BR272:$BS272,TreatyCatch!$BU272:$BV272),"")</f>
        <v/>
      </c>
      <c r="U101" s="894" t="str">
        <f>IF($P101,$P101*TreatyCatch!BV272/SUM(TreatyCatch!$BR272:$BS272,TreatyCatch!$BU272:$BV272),"")</f>
        <v/>
      </c>
      <c r="V101" s="877" t="str">
        <f t="shared" si="54"/>
        <v/>
      </c>
      <c r="W101" s="958"/>
      <c r="X101" s="882" t="str">
        <f>IF($W101,$W101*TreatyCatch!BX272/SUM(TreatyCatch!$BX272:$BY272,TreatyCatch!$CA272:$CB272),"")</f>
        <v/>
      </c>
      <c r="Y101" s="883" t="str">
        <f>IF($W101,$W101*TreatyCatch!BY272/SUM(TreatyCatch!$BX272:$BY272,TreatyCatch!$CA272:$CB272),"")</f>
        <v/>
      </c>
      <c r="Z101" s="901" t="str">
        <f t="shared" si="42"/>
        <v/>
      </c>
      <c r="AA101" s="858" t="str">
        <f>IF($W101,$W101*TreatyCatch!CA272/SUM(TreatyCatch!$BX272:$BY272,TreatyCatch!$CA272:$CB272),"")</f>
        <v/>
      </c>
      <c r="AB101" s="859" t="str">
        <f>IF($W101,$W101*TreatyCatch!CB272/SUM(TreatyCatch!$BX272:$BY272,TreatyCatch!$CA272:$CB272),"")</f>
        <v/>
      </c>
      <c r="AC101" s="840" t="str">
        <f t="shared" si="55"/>
        <v/>
      </c>
      <c r="AD101" s="958"/>
      <c r="AE101" s="1071" t="str">
        <f>IF($AD101,$AD101*TreatyCatch!CD331/SUM(TreatyCatch!$CD331:$CE331,TreatyCatch!$CG331:$CH331),"")</f>
        <v/>
      </c>
      <c r="AF101" s="1072" t="str">
        <f>IF($AD101,$AD101*TreatyCatch!CE331/SUM(TreatyCatch!$CD331:$CE331,TreatyCatch!$CG331:$CH331),"")</f>
        <v/>
      </c>
      <c r="AG101" s="1073" t="str">
        <f t="shared" si="43"/>
        <v/>
      </c>
      <c r="AH101" s="1077" t="str">
        <f>IF($AD101,$AD101*TreatyCatch!CG331/SUM(TreatyCatch!$CD331:CE331,TreatyCatch!$CG331:$CH331),"")</f>
        <v/>
      </c>
      <c r="AI101" s="1078" t="str">
        <f>IF($AD101,$AD101*TreatyCatch!CH331/SUM(TreatyCatch!$CD331:CF331,TreatyCatch!$CG331:$CH331),"")</f>
        <v/>
      </c>
      <c r="AJ101" s="1080" t="str">
        <f t="shared" si="56"/>
        <v/>
      </c>
      <c r="AK101" s="958"/>
      <c r="AL101" s="882"/>
      <c r="AM101" s="883"/>
      <c r="AN101" s="901"/>
      <c r="AO101" s="858"/>
      <c r="AP101" s="859"/>
      <c r="AQ101" s="840"/>
      <c r="AR101" s="765"/>
      <c r="AS101" s="852"/>
      <c r="AT101" s="853"/>
      <c r="AU101" s="846"/>
      <c r="AV101" s="893"/>
      <c r="AW101" s="894"/>
      <c r="AX101" s="877"/>
      <c r="AY101" s="765"/>
      <c r="AZ101" s="882"/>
      <c r="BA101" s="883"/>
      <c r="BB101" s="901"/>
      <c r="BC101" s="858"/>
      <c r="BD101" s="859"/>
      <c r="BE101" s="840"/>
      <c r="BF101" s="765"/>
      <c r="BG101" s="852"/>
      <c r="BH101" s="853"/>
      <c r="BI101" s="846"/>
      <c r="BJ101" s="893"/>
      <c r="BK101" s="894"/>
      <c r="BL101" s="877"/>
      <c r="BM101" s="765"/>
      <c r="BN101" s="882"/>
      <c r="BO101" s="883"/>
      <c r="BP101" s="901"/>
      <c r="BQ101" s="858"/>
      <c r="BR101" s="859"/>
      <c r="BS101" s="840"/>
      <c r="BT101" s="765"/>
      <c r="BU101" s="852"/>
      <c r="BV101" s="853"/>
      <c r="BW101" s="846"/>
      <c r="BX101" s="893"/>
      <c r="BY101" s="894"/>
      <c r="BZ101" s="877"/>
      <c r="CA101" s="765"/>
      <c r="CB101" s="882"/>
      <c r="CC101" s="883"/>
      <c r="CD101" s="901"/>
      <c r="CE101" s="858"/>
      <c r="CF101" s="859"/>
      <c r="CG101" s="840"/>
      <c r="CH101" s="765"/>
      <c r="CI101" s="852"/>
      <c r="CJ101" s="853"/>
      <c r="CK101" s="846"/>
      <c r="CL101" s="893"/>
      <c r="CM101" s="894"/>
      <c r="CN101" s="877"/>
    </row>
    <row r="102" spans="1:92" x14ac:dyDescent="0.25">
      <c r="A102" s="757">
        <v>35</v>
      </c>
      <c r="B102" s="765"/>
      <c r="C102" s="844" t="str">
        <f>IF($B102,$B102*TreatyCatch!BF273/SUM(TreatyCatch!$BF273:$BG273,TreatyCatch!$BI273:$BJ273),"")</f>
        <v/>
      </c>
      <c r="D102" s="844" t="str">
        <f>IF($B102,$B102*TreatyCatch!BG273/SUM(TreatyCatch!$BF273:$BG273,TreatyCatch!$BI273:$BJ273),"")</f>
        <v/>
      </c>
      <c r="E102" s="846" t="str">
        <f t="shared" si="39"/>
        <v/>
      </c>
      <c r="F102" s="876" t="str">
        <f>IF($B102,$B102*TreatyCatch!BI273/SUM(TreatyCatch!$BF273:$BG273,TreatyCatch!$BI273:$BJ273),"")</f>
        <v/>
      </c>
      <c r="G102" s="889" t="str">
        <f>IF($B102,$B102*TreatyCatch!BJ273/SUM(TreatyCatch!$BF273:$BG273,TreatyCatch!$BI273:$BJ273),"")</f>
        <v/>
      </c>
      <c r="H102" s="877" t="str">
        <f t="shared" si="52"/>
        <v/>
      </c>
      <c r="I102" s="765"/>
      <c r="J102" s="882" t="str">
        <f>IF($I102,$I102*TreatyCatch!BL273/SUM(TreatyCatch!$BL273:$BM273,TreatyCatch!$BO273:$BP273),"")</f>
        <v/>
      </c>
      <c r="K102" s="883" t="str">
        <f>IF($I102,$I102*TreatyCatch!BM273/SUM(TreatyCatch!$BL273:$BM273,TreatyCatch!$BO273:$BP273),"")</f>
        <v/>
      </c>
      <c r="L102" s="871" t="str">
        <f t="shared" si="40"/>
        <v/>
      </c>
      <c r="M102" s="858" t="str">
        <f>IF($I102,$I102*TreatyCatch!BO273/SUM(TreatyCatch!$BL273:$BM273,TreatyCatch!$BO273:$BP273),"")</f>
        <v/>
      </c>
      <c r="N102" s="859" t="str">
        <f>IF($I102,$I102*TreatyCatch!BP273/SUM(TreatyCatch!$BL273:$BM273,TreatyCatch!$BO273:$BP273),"")</f>
        <v/>
      </c>
      <c r="O102" s="840" t="str">
        <f t="shared" si="53"/>
        <v/>
      </c>
      <c r="P102" s="765"/>
      <c r="Q102" s="852" t="str">
        <f>IF($P102,$P102*TreatyCatch!BR273/SUM(TreatyCatch!$BR273:$BS273,TreatyCatch!$BU273:$BV273),"")</f>
        <v/>
      </c>
      <c r="R102" s="853" t="str">
        <f>IF($P102,$P102*TreatyCatch!BS273/SUM(TreatyCatch!$BR273:$BS273,TreatyCatch!$BU273:$BV273),"")</f>
        <v/>
      </c>
      <c r="S102" s="846" t="str">
        <f t="shared" si="41"/>
        <v/>
      </c>
      <c r="T102" s="893" t="str">
        <f>IF($P102,$P102*TreatyCatch!BU273/SUM(TreatyCatch!$BR273:$BS273,TreatyCatch!$BU273:$BV273),"")</f>
        <v/>
      </c>
      <c r="U102" s="894" t="str">
        <f>IF($P102,$P102*TreatyCatch!BV273/SUM(TreatyCatch!$BR273:$BS273,TreatyCatch!$BU273:$BV273),"")</f>
        <v/>
      </c>
      <c r="V102" s="877" t="str">
        <f t="shared" si="54"/>
        <v/>
      </c>
      <c r="W102" s="958">
        <v>4</v>
      </c>
      <c r="X102" s="882">
        <f>IF($W102,$W102*TreatyCatch!BX273/SUM(TreatyCatch!$BX273:$BY273,TreatyCatch!$CA273:$CB273),"")</f>
        <v>0</v>
      </c>
      <c r="Y102" s="883">
        <f>IF($W102,$W102*TreatyCatch!BY273/SUM(TreatyCatch!$BX273:$BY273,TreatyCatch!$CA273:$CB273),"")</f>
        <v>4</v>
      </c>
      <c r="Z102" s="901">
        <f t="shared" si="42"/>
        <v>0.35399999999999998</v>
      </c>
      <c r="AA102" s="858">
        <f>IF($W102,$W102*TreatyCatch!CA273/SUM(TreatyCatch!$BX273:$BY273,TreatyCatch!$CA273:$CB273),"")</f>
        <v>0</v>
      </c>
      <c r="AB102" s="859">
        <f>IF($W102,$W102*TreatyCatch!CB273/SUM(TreatyCatch!$BX273:$BY273,TreatyCatch!$CA273:$CB273),"")</f>
        <v>0</v>
      </c>
      <c r="AC102" s="840">
        <f t="shared" si="55"/>
        <v>0</v>
      </c>
      <c r="AD102" s="958"/>
      <c r="AE102" s="1071" t="str">
        <f>IF($AD102,$AD102*TreatyCatch!CD332/SUM(TreatyCatch!$CD332:$CE332,TreatyCatch!$CG332:$CH332),"")</f>
        <v/>
      </c>
      <c r="AF102" s="1072" t="str">
        <f>IF($AD102,$AD102*TreatyCatch!CE332/SUM(TreatyCatch!$CD332:$CE332,TreatyCatch!$CG332:$CH332),"")</f>
        <v/>
      </c>
      <c r="AG102" s="1073" t="str">
        <f t="shared" si="43"/>
        <v/>
      </c>
      <c r="AH102" s="1077" t="str">
        <f>IF($AD102,$AD102*TreatyCatch!CG332/SUM(TreatyCatch!$CD332:CE332,TreatyCatch!$CG332:$CH332),"")</f>
        <v/>
      </c>
      <c r="AI102" s="1078" t="str">
        <f>IF($AD102,$AD102*TreatyCatch!CH332/SUM(TreatyCatch!$CD332:CF332,TreatyCatch!$CG332:$CH332),"")</f>
        <v/>
      </c>
      <c r="AJ102" s="1080" t="str">
        <f t="shared" si="56"/>
        <v/>
      </c>
      <c r="AK102" s="958"/>
      <c r="AL102" s="882"/>
      <c r="AM102" s="883"/>
      <c r="AN102" s="901"/>
      <c r="AO102" s="858"/>
      <c r="AP102" s="859"/>
      <c r="AQ102" s="840"/>
      <c r="AR102" s="765"/>
      <c r="AS102" s="852"/>
      <c r="AT102" s="853"/>
      <c r="AU102" s="846"/>
      <c r="AV102" s="893"/>
      <c r="AW102" s="894"/>
      <c r="AX102" s="877"/>
      <c r="AY102" s="765"/>
      <c r="AZ102" s="882"/>
      <c r="BA102" s="883"/>
      <c r="BB102" s="901"/>
      <c r="BC102" s="858"/>
      <c r="BD102" s="859"/>
      <c r="BE102" s="840"/>
      <c r="BF102" s="765"/>
      <c r="BG102" s="852"/>
      <c r="BH102" s="853"/>
      <c r="BI102" s="846"/>
      <c r="BJ102" s="893"/>
      <c r="BK102" s="894"/>
      <c r="BL102" s="877"/>
      <c r="BM102" s="765"/>
      <c r="BN102" s="882"/>
      <c r="BO102" s="883"/>
      <c r="BP102" s="901"/>
      <c r="BQ102" s="858"/>
      <c r="BR102" s="859"/>
      <c r="BS102" s="840"/>
      <c r="BT102" s="765"/>
      <c r="BU102" s="852"/>
      <c r="BV102" s="853"/>
      <c r="BW102" s="846"/>
      <c r="BX102" s="893"/>
      <c r="BY102" s="894"/>
      <c r="BZ102" s="877"/>
      <c r="CA102" s="765"/>
      <c r="CB102" s="882"/>
      <c r="CC102" s="883"/>
      <c r="CD102" s="901"/>
      <c r="CE102" s="858"/>
      <c r="CF102" s="859"/>
      <c r="CG102" s="840"/>
      <c r="CH102" s="765"/>
      <c r="CI102" s="852"/>
      <c r="CJ102" s="853"/>
      <c r="CK102" s="846"/>
      <c r="CL102" s="893"/>
      <c r="CM102" s="894"/>
      <c r="CN102" s="877"/>
    </row>
    <row r="103" spans="1:92" x14ac:dyDescent="0.25">
      <c r="A103" s="757">
        <v>36</v>
      </c>
      <c r="B103" s="765"/>
      <c r="C103" s="844" t="str">
        <f>IF($B103,$B103*TreatyCatch!BF274/SUM(TreatyCatch!$BF274:$BG274,TreatyCatch!$BI274:$BJ274),"")</f>
        <v/>
      </c>
      <c r="D103" s="844" t="str">
        <f>IF($B103,$B103*TreatyCatch!BG274/SUM(TreatyCatch!$BF274:$BG274,TreatyCatch!$BI274:$BJ274),"")</f>
        <v/>
      </c>
      <c r="E103" s="846" t="str">
        <f t="shared" si="39"/>
        <v/>
      </c>
      <c r="F103" s="876" t="str">
        <f>IF($B103,$B103*TreatyCatch!BI274/SUM(TreatyCatch!$BF274:$BG274,TreatyCatch!$BI274:$BJ274),"")</f>
        <v/>
      </c>
      <c r="G103" s="889" t="str">
        <f>IF($B103,$B103*TreatyCatch!BJ274/SUM(TreatyCatch!$BF274:$BG274,TreatyCatch!$BI274:$BJ274),"")</f>
        <v/>
      </c>
      <c r="H103" s="877" t="str">
        <f t="shared" si="52"/>
        <v/>
      </c>
      <c r="I103" s="765"/>
      <c r="J103" s="882" t="str">
        <f>IF($I103,$I103*TreatyCatch!BL274/SUM(TreatyCatch!$BL274:$BM274,TreatyCatch!$BO274:$BP274),"")</f>
        <v/>
      </c>
      <c r="K103" s="883" t="str">
        <f>IF($I103,$I103*TreatyCatch!BM274/SUM(TreatyCatch!$BL274:$BM274,TreatyCatch!$BO274:$BP274),"")</f>
        <v/>
      </c>
      <c r="L103" s="871" t="str">
        <f t="shared" si="40"/>
        <v/>
      </c>
      <c r="M103" s="858" t="str">
        <f>IF($I103,$I103*TreatyCatch!BO274/SUM(TreatyCatch!$BL274:$BM274,TreatyCatch!$BO274:$BP274),"")</f>
        <v/>
      </c>
      <c r="N103" s="859" t="str">
        <f>IF($I103,$I103*TreatyCatch!BP274/SUM(TreatyCatch!$BL274:$BM274,TreatyCatch!$BO274:$BP274),"")</f>
        <v/>
      </c>
      <c r="O103" s="840" t="str">
        <f t="shared" si="53"/>
        <v/>
      </c>
      <c r="P103" s="765"/>
      <c r="Q103" s="852" t="str">
        <f>IF($P103,$P103*TreatyCatch!BR274/SUM(TreatyCatch!$BR274:$BS274,TreatyCatch!$BU274:$BV274),"")</f>
        <v/>
      </c>
      <c r="R103" s="853" t="str">
        <f>IF($P103,$P103*TreatyCatch!BS274/SUM(TreatyCatch!$BR274:$BS274,TreatyCatch!$BU274:$BV274),"")</f>
        <v/>
      </c>
      <c r="S103" s="846" t="str">
        <f t="shared" si="41"/>
        <v/>
      </c>
      <c r="T103" s="893" t="str">
        <f>IF($P103,$P103*TreatyCatch!BU274/SUM(TreatyCatch!$BR274:$BS274,TreatyCatch!$BU274:$BV274),"")</f>
        <v/>
      </c>
      <c r="U103" s="894" t="str">
        <f>IF($P103,$P103*TreatyCatch!BV274/SUM(TreatyCatch!$BR274:$BS274,TreatyCatch!$BU274:$BV274),"")</f>
        <v/>
      </c>
      <c r="V103" s="877" t="str">
        <f t="shared" si="54"/>
        <v/>
      </c>
      <c r="W103" s="958">
        <v>3</v>
      </c>
      <c r="X103" s="882">
        <f>IF($W103,$W103*TreatyCatch!BX274/SUM(TreatyCatch!$BX274:$BY274,TreatyCatch!$CA274:$CB274),"")</f>
        <v>3</v>
      </c>
      <c r="Y103" s="883">
        <f>IF($W103,$W103*TreatyCatch!BY274/SUM(TreatyCatch!$BX274:$BY274,TreatyCatch!$CA274:$CB274),"")</f>
        <v>0</v>
      </c>
      <c r="Z103" s="901">
        <f t="shared" si="42"/>
        <v>3</v>
      </c>
      <c r="AA103" s="858">
        <f>IF($W103,$W103*TreatyCatch!CA274/SUM(TreatyCatch!$BX274:$BY274,TreatyCatch!$CA274:$CB274),"")</f>
        <v>0</v>
      </c>
      <c r="AB103" s="859">
        <f>IF($W103,$W103*TreatyCatch!CB274/SUM(TreatyCatch!$BX274:$BY274,TreatyCatch!$CA274:$CB274),"")</f>
        <v>0</v>
      </c>
      <c r="AC103" s="840">
        <f t="shared" si="55"/>
        <v>0</v>
      </c>
      <c r="AD103" s="958"/>
      <c r="AE103" s="1071" t="str">
        <f>IF($AD103,$AD103*TreatyCatch!CD333/SUM(TreatyCatch!$CD333:$CE333,TreatyCatch!$CG333:$CH333),"")</f>
        <v/>
      </c>
      <c r="AF103" s="1072" t="str">
        <f>IF($AD103,$AD103*TreatyCatch!CE333/SUM(TreatyCatch!$CD333:$CE333,TreatyCatch!$CG333:$CH333),"")</f>
        <v/>
      </c>
      <c r="AG103" s="1073" t="str">
        <f t="shared" si="43"/>
        <v/>
      </c>
      <c r="AH103" s="1077" t="str">
        <f>IF($AD103,$AD103*TreatyCatch!CG333/SUM(TreatyCatch!$CD333:CE333,TreatyCatch!$CG333:$CH333),"")</f>
        <v/>
      </c>
      <c r="AI103" s="1078" t="str">
        <f>IF($AD103,$AD103*TreatyCatch!CH333/SUM(TreatyCatch!$CD333:CF333,TreatyCatch!$CG333:$CH333),"")</f>
        <v/>
      </c>
      <c r="AJ103" s="1080" t="str">
        <f t="shared" si="56"/>
        <v/>
      </c>
      <c r="AK103" s="958"/>
      <c r="AL103" s="882"/>
      <c r="AM103" s="883"/>
      <c r="AN103" s="901"/>
      <c r="AO103" s="858"/>
      <c r="AP103" s="859"/>
      <c r="AQ103" s="840"/>
      <c r="AR103" s="765"/>
      <c r="AS103" s="852"/>
      <c r="AT103" s="853"/>
      <c r="AU103" s="846"/>
      <c r="AV103" s="893"/>
      <c r="AW103" s="894"/>
      <c r="AX103" s="877"/>
      <c r="AY103" s="765"/>
      <c r="AZ103" s="882"/>
      <c r="BA103" s="883"/>
      <c r="BB103" s="901"/>
      <c r="BC103" s="858"/>
      <c r="BD103" s="859"/>
      <c r="BE103" s="840"/>
      <c r="BF103" s="765"/>
      <c r="BG103" s="852"/>
      <c r="BH103" s="853"/>
      <c r="BI103" s="846"/>
      <c r="BJ103" s="893"/>
      <c r="BK103" s="894"/>
      <c r="BL103" s="877"/>
      <c r="BM103" s="765"/>
      <c r="BN103" s="882"/>
      <c r="BO103" s="883"/>
      <c r="BP103" s="901"/>
      <c r="BQ103" s="858"/>
      <c r="BR103" s="859"/>
      <c r="BS103" s="840"/>
      <c r="BT103" s="765"/>
      <c r="BU103" s="852"/>
      <c r="BV103" s="853"/>
      <c r="BW103" s="846"/>
      <c r="BX103" s="893"/>
      <c r="BY103" s="894"/>
      <c r="BZ103" s="877"/>
      <c r="CA103" s="765"/>
      <c r="CB103" s="882"/>
      <c r="CC103" s="883"/>
      <c r="CD103" s="901"/>
      <c r="CE103" s="858"/>
      <c r="CF103" s="859"/>
      <c r="CG103" s="840"/>
      <c r="CH103" s="765"/>
      <c r="CI103" s="852"/>
      <c r="CJ103" s="853"/>
      <c r="CK103" s="846"/>
      <c r="CL103" s="893"/>
      <c r="CM103" s="894"/>
      <c r="CN103" s="877"/>
    </row>
    <row r="104" spans="1:92" x14ac:dyDescent="0.25">
      <c r="A104" s="757">
        <v>37</v>
      </c>
      <c r="B104" s="765"/>
      <c r="C104" s="844" t="str">
        <f>IF($B104,$B104*TreatyCatch!BF275/SUM(TreatyCatch!$BF275:$BG275,TreatyCatch!$BI275:$BJ275),"")</f>
        <v/>
      </c>
      <c r="D104" s="844" t="str">
        <f>IF($B104,$B104*TreatyCatch!BG275/SUM(TreatyCatch!$BF275:$BG275,TreatyCatch!$BI275:$BJ275),"")</f>
        <v/>
      </c>
      <c r="E104" s="846" t="str">
        <f t="shared" si="39"/>
        <v/>
      </c>
      <c r="F104" s="876" t="str">
        <f>IF($B104,$B104*TreatyCatch!BI275/SUM(TreatyCatch!$BF275:$BG275,TreatyCatch!$BI275:$BJ275),"")</f>
        <v/>
      </c>
      <c r="G104" s="889" t="str">
        <f>IF($B104,$B104*TreatyCatch!BJ275/SUM(TreatyCatch!$BF275:$BG275,TreatyCatch!$BI275:$BJ275),"")</f>
        <v/>
      </c>
      <c r="H104" s="877" t="str">
        <f t="shared" si="52"/>
        <v/>
      </c>
      <c r="I104" s="765"/>
      <c r="J104" s="882" t="str">
        <f>IF($I104,$I104*TreatyCatch!BL275/SUM(TreatyCatch!$BL275:$BM275,TreatyCatch!$BO275:$BP275),"")</f>
        <v/>
      </c>
      <c r="K104" s="883" t="str">
        <f>IF($I104,$I104*TreatyCatch!BM275/SUM(TreatyCatch!$BL275:$BM275,TreatyCatch!$BO275:$BP275),"")</f>
        <v/>
      </c>
      <c r="L104" s="871" t="str">
        <f t="shared" si="40"/>
        <v/>
      </c>
      <c r="M104" s="858" t="str">
        <f>IF($I104,$I104*TreatyCatch!BO275/SUM(TreatyCatch!$BL275:$BM275,TreatyCatch!$BO275:$BP275),"")</f>
        <v/>
      </c>
      <c r="N104" s="859" t="str">
        <f>IF($I104,$I104*TreatyCatch!BP275/SUM(TreatyCatch!$BL275:$BM275,TreatyCatch!$BO275:$BP275),"")</f>
        <v/>
      </c>
      <c r="O104" s="840" t="str">
        <f t="shared" si="53"/>
        <v/>
      </c>
      <c r="P104" s="765"/>
      <c r="Q104" s="852" t="str">
        <f>IF($P104,$P104*TreatyCatch!BR275/SUM(TreatyCatch!$BR275:$BS275,TreatyCatch!$BU275:$BV275),"")</f>
        <v/>
      </c>
      <c r="R104" s="853" t="str">
        <f>IF($P104,$P104*TreatyCatch!BS275/SUM(TreatyCatch!$BR275:$BS275,TreatyCatch!$BU275:$BV275),"")</f>
        <v/>
      </c>
      <c r="S104" s="846" t="str">
        <f t="shared" si="41"/>
        <v/>
      </c>
      <c r="T104" s="893" t="str">
        <f>IF($P104,$P104*TreatyCatch!BU275/SUM(TreatyCatch!$BR275:$BS275,TreatyCatch!$BU275:$BV275),"")</f>
        <v/>
      </c>
      <c r="U104" s="894" t="str">
        <f>IF($P104,$P104*TreatyCatch!BV275/SUM(TreatyCatch!$BR275:$BS275,TreatyCatch!$BU275:$BV275),"")</f>
        <v/>
      </c>
      <c r="V104" s="877" t="str">
        <f t="shared" si="54"/>
        <v/>
      </c>
      <c r="W104" s="958"/>
      <c r="X104" s="882" t="str">
        <f>IF($W104,$W104*TreatyCatch!BX275/SUM(TreatyCatch!$BX275:$BY275,TreatyCatch!$CA275:$CB275),"")</f>
        <v/>
      </c>
      <c r="Y104" s="883" t="str">
        <f>IF($W104,$W104*TreatyCatch!BY275/SUM(TreatyCatch!$BX275:$BY275,TreatyCatch!$CA275:$CB275),"")</f>
        <v/>
      </c>
      <c r="Z104" s="901" t="str">
        <f t="shared" si="42"/>
        <v/>
      </c>
      <c r="AA104" s="858" t="str">
        <f>IF($W104,$W104*TreatyCatch!CA275/SUM(TreatyCatch!$BX275:$BY275,TreatyCatch!$CA275:$CB275),"")</f>
        <v/>
      </c>
      <c r="AB104" s="859" t="str">
        <f>IF($W104,$W104*TreatyCatch!CB275/SUM(TreatyCatch!$BX275:$BY275,TreatyCatch!$CA275:$CB275),"")</f>
        <v/>
      </c>
      <c r="AC104" s="840" t="str">
        <f t="shared" si="55"/>
        <v/>
      </c>
      <c r="AD104" s="958"/>
      <c r="AE104" s="1071" t="str">
        <f>IF($AD104,$AD104*TreatyCatch!CD334/SUM(TreatyCatch!$CD334:$CE334,TreatyCatch!$CG334:$CH334),"")</f>
        <v/>
      </c>
      <c r="AF104" s="1072" t="str">
        <f>IF($AD104,$AD104*TreatyCatch!CE334/SUM(TreatyCatch!$CD334:$CE334,TreatyCatch!$CG334:$CH334),"")</f>
        <v/>
      </c>
      <c r="AG104" s="1073" t="str">
        <f t="shared" si="43"/>
        <v/>
      </c>
      <c r="AH104" s="1077" t="str">
        <f>IF($AD104,$AD104*TreatyCatch!CG334/SUM(TreatyCatch!$CD334:CE334,TreatyCatch!$CG334:$CH334),"")</f>
        <v/>
      </c>
      <c r="AI104" s="1078" t="str">
        <f>IF($AD104,$AD104*TreatyCatch!CH334/SUM(TreatyCatch!$CD334:CF334,TreatyCatch!$CG334:$CH334),"")</f>
        <v/>
      </c>
      <c r="AJ104" s="1080" t="str">
        <f t="shared" si="56"/>
        <v/>
      </c>
      <c r="AK104" s="958"/>
      <c r="AL104" s="882"/>
      <c r="AM104" s="883"/>
      <c r="AN104" s="901"/>
      <c r="AO104" s="858"/>
      <c r="AP104" s="859"/>
      <c r="AQ104" s="840"/>
      <c r="AR104" s="765"/>
      <c r="AS104" s="852"/>
      <c r="AT104" s="853"/>
      <c r="AU104" s="846"/>
      <c r="AV104" s="893"/>
      <c r="AW104" s="894"/>
      <c r="AX104" s="877"/>
      <c r="AY104" s="765"/>
      <c r="AZ104" s="882"/>
      <c r="BA104" s="883"/>
      <c r="BB104" s="901"/>
      <c r="BC104" s="858"/>
      <c r="BD104" s="859"/>
      <c r="BE104" s="840"/>
      <c r="BF104" s="765"/>
      <c r="BG104" s="852"/>
      <c r="BH104" s="853"/>
      <c r="BI104" s="846"/>
      <c r="BJ104" s="893"/>
      <c r="BK104" s="894"/>
      <c r="BL104" s="877"/>
      <c r="BM104" s="765"/>
      <c r="BN104" s="882"/>
      <c r="BO104" s="883"/>
      <c r="BP104" s="901"/>
      <c r="BQ104" s="858"/>
      <c r="BR104" s="859"/>
      <c r="BS104" s="840"/>
      <c r="BT104" s="765"/>
      <c r="BU104" s="852"/>
      <c r="BV104" s="853"/>
      <c r="BW104" s="846"/>
      <c r="BX104" s="893"/>
      <c r="BY104" s="894"/>
      <c r="BZ104" s="877"/>
      <c r="CA104" s="765"/>
      <c r="CB104" s="882"/>
      <c r="CC104" s="883"/>
      <c r="CD104" s="901"/>
      <c r="CE104" s="858"/>
      <c r="CF104" s="859"/>
      <c r="CG104" s="840"/>
      <c r="CH104" s="765"/>
      <c r="CI104" s="852"/>
      <c r="CJ104" s="853"/>
      <c r="CK104" s="846"/>
      <c r="CL104" s="893"/>
      <c r="CM104" s="894"/>
      <c r="CN104" s="877"/>
    </row>
    <row r="105" spans="1:92" x14ac:dyDescent="0.25">
      <c r="A105" s="757">
        <v>38</v>
      </c>
      <c r="B105" s="765"/>
      <c r="C105" s="844" t="str">
        <f>IF($B105,$B105*TreatyCatch!BF276/SUM(TreatyCatch!$BF276:$BG276,TreatyCatch!$BI276:$BJ276),"")</f>
        <v/>
      </c>
      <c r="D105" s="844" t="str">
        <f>IF($B105,$B105*TreatyCatch!BG276/SUM(TreatyCatch!$BF276:$BG276,TreatyCatch!$BI276:$BJ276),"")</f>
        <v/>
      </c>
      <c r="E105" s="846" t="str">
        <f t="shared" si="39"/>
        <v/>
      </c>
      <c r="F105" s="876" t="str">
        <f>IF($B105,$B105*TreatyCatch!BI276/SUM(TreatyCatch!$BF276:$BG276,TreatyCatch!$BI276:$BJ276),"")</f>
        <v/>
      </c>
      <c r="G105" s="889" t="str">
        <f>IF($B105,$B105*TreatyCatch!BJ276/SUM(TreatyCatch!$BF276:$BG276,TreatyCatch!$BI276:$BJ276),"")</f>
        <v/>
      </c>
      <c r="H105" s="877" t="str">
        <f t="shared" si="52"/>
        <v/>
      </c>
      <c r="I105" s="765"/>
      <c r="J105" s="882" t="str">
        <f>IF($I105,$I105*TreatyCatch!BL276/SUM(TreatyCatch!$BL276:$BM276,TreatyCatch!$BO276:$BP276),"")</f>
        <v/>
      </c>
      <c r="K105" s="883" t="str">
        <f>IF($I105,$I105*TreatyCatch!BM276/SUM(TreatyCatch!$BL276:$BM276,TreatyCatch!$BO276:$BP276),"")</f>
        <v/>
      </c>
      <c r="L105" s="871" t="str">
        <f t="shared" si="40"/>
        <v/>
      </c>
      <c r="M105" s="858" t="str">
        <f>IF($I105,$I105*TreatyCatch!BO276/SUM(TreatyCatch!$BL276:$BM276,TreatyCatch!$BO276:$BP276),"")</f>
        <v/>
      </c>
      <c r="N105" s="859" t="str">
        <f>IF($I105,$I105*TreatyCatch!BP276/SUM(TreatyCatch!$BL276:$BM276,TreatyCatch!$BO276:$BP276),"")</f>
        <v/>
      </c>
      <c r="O105" s="840" t="str">
        <f t="shared" si="53"/>
        <v/>
      </c>
      <c r="P105" s="765"/>
      <c r="Q105" s="852" t="str">
        <f>IF($P105,$P105*TreatyCatch!BR276/SUM(TreatyCatch!$BR276:$BS276,TreatyCatch!$BU276:$BV276),"")</f>
        <v/>
      </c>
      <c r="R105" s="853" t="str">
        <f>IF($P105,$P105*TreatyCatch!BS276/SUM(TreatyCatch!$BR276:$BS276,TreatyCatch!$BU276:$BV276),"")</f>
        <v/>
      </c>
      <c r="S105" s="846" t="str">
        <f t="shared" si="41"/>
        <v/>
      </c>
      <c r="T105" s="893" t="str">
        <f>IF($P105,$P105*TreatyCatch!BU276/SUM(TreatyCatch!$BR276:$BS276,TreatyCatch!$BU276:$BV276),"")</f>
        <v/>
      </c>
      <c r="U105" s="894" t="str">
        <f>IF($P105,$P105*TreatyCatch!BV276/SUM(TreatyCatch!$BR276:$BS276,TreatyCatch!$BU276:$BV276),"")</f>
        <v/>
      </c>
      <c r="V105" s="877" t="str">
        <f t="shared" si="54"/>
        <v/>
      </c>
      <c r="W105" s="958"/>
      <c r="X105" s="882" t="str">
        <f>IF($W105,$W105*TreatyCatch!BX276/SUM(TreatyCatch!$BX276:$BY276,TreatyCatch!$CA276:$CB276),"")</f>
        <v/>
      </c>
      <c r="Y105" s="883" t="str">
        <f>IF($W105,$W105*TreatyCatch!BY276/SUM(TreatyCatch!$BX276:$BY276,TreatyCatch!$CA276:$CB276),"")</f>
        <v/>
      </c>
      <c r="Z105" s="901" t="str">
        <f t="shared" si="42"/>
        <v/>
      </c>
      <c r="AA105" s="858" t="str">
        <f>IF($W105,$W105*TreatyCatch!CA276/SUM(TreatyCatch!$BX276:$BY276,TreatyCatch!$CA276:$CB276),"")</f>
        <v/>
      </c>
      <c r="AB105" s="859" t="str">
        <f>IF($W105,$W105*TreatyCatch!CB276/SUM(TreatyCatch!$BX276:$BY276,TreatyCatch!$CA276:$CB276),"")</f>
        <v/>
      </c>
      <c r="AC105" s="840" t="str">
        <f t="shared" si="55"/>
        <v/>
      </c>
      <c r="AD105" s="958"/>
      <c r="AE105" s="1071" t="str">
        <f>IF($AD105,$AD105*TreatyCatch!CD335/SUM(TreatyCatch!$CD335:$CE335,TreatyCatch!$CG335:$CH335),"")</f>
        <v/>
      </c>
      <c r="AF105" s="1072" t="str">
        <f>IF($AD105,$AD105*TreatyCatch!CE335/SUM(TreatyCatch!$CD335:$CE335,TreatyCatch!$CG335:$CH335),"")</f>
        <v/>
      </c>
      <c r="AG105" s="1073" t="str">
        <f t="shared" si="43"/>
        <v/>
      </c>
      <c r="AH105" s="1077" t="str">
        <f>IF($AD105,$AD105*TreatyCatch!CG335/SUM(TreatyCatch!$CD335:CE335,TreatyCatch!$CG335:$CH335),"")</f>
        <v/>
      </c>
      <c r="AI105" s="1078" t="str">
        <f>IF($AD105,$AD105*TreatyCatch!CH335/SUM(TreatyCatch!$CD335:CF335,TreatyCatch!$CG335:$CH335),"")</f>
        <v/>
      </c>
      <c r="AJ105" s="1080" t="str">
        <f t="shared" si="56"/>
        <v/>
      </c>
      <c r="AK105" s="958"/>
      <c r="AL105" s="882"/>
      <c r="AM105" s="883"/>
      <c r="AN105" s="901"/>
      <c r="AO105" s="858"/>
      <c r="AP105" s="859"/>
      <c r="AQ105" s="840"/>
      <c r="AR105" s="765"/>
      <c r="AS105" s="852"/>
      <c r="AT105" s="853"/>
      <c r="AU105" s="846"/>
      <c r="AV105" s="893"/>
      <c r="AW105" s="894"/>
      <c r="AX105" s="877"/>
      <c r="AY105" s="765"/>
      <c r="AZ105" s="882"/>
      <c r="BA105" s="883"/>
      <c r="BB105" s="901"/>
      <c r="BC105" s="858"/>
      <c r="BD105" s="859"/>
      <c r="BE105" s="840"/>
      <c r="BF105" s="765"/>
      <c r="BG105" s="852"/>
      <c r="BH105" s="853"/>
      <c r="BI105" s="846"/>
      <c r="BJ105" s="893"/>
      <c r="BK105" s="894"/>
      <c r="BL105" s="877"/>
      <c r="BM105" s="765"/>
      <c r="BN105" s="882"/>
      <c r="BO105" s="883"/>
      <c r="BP105" s="901"/>
      <c r="BQ105" s="858"/>
      <c r="BR105" s="859"/>
      <c r="BS105" s="840"/>
      <c r="BT105" s="765"/>
      <c r="BU105" s="852"/>
      <c r="BV105" s="853"/>
      <c r="BW105" s="846"/>
      <c r="BX105" s="893"/>
      <c r="BY105" s="894"/>
      <c r="BZ105" s="877"/>
      <c r="CA105" s="765"/>
      <c r="CB105" s="882"/>
      <c r="CC105" s="883"/>
      <c r="CD105" s="901"/>
      <c r="CE105" s="858"/>
      <c r="CF105" s="859"/>
      <c r="CG105" s="840"/>
      <c r="CH105" s="765"/>
      <c r="CI105" s="852"/>
      <c r="CJ105" s="853"/>
      <c r="CK105" s="846"/>
      <c r="CL105" s="893"/>
      <c r="CM105" s="894"/>
      <c r="CN105" s="877"/>
    </row>
    <row r="106" spans="1:92" x14ac:dyDescent="0.25">
      <c r="A106" s="757">
        <v>39</v>
      </c>
      <c r="B106" s="765"/>
      <c r="C106" s="844" t="str">
        <f>IF($B106,$B106*TreatyCatch!BF277/SUM(TreatyCatch!$BF277:$BG277,TreatyCatch!$BI277:$BJ277),"")</f>
        <v/>
      </c>
      <c r="D106" s="844" t="str">
        <f>IF($B106,$B106*TreatyCatch!BG277/SUM(TreatyCatch!$BF277:$BG277,TreatyCatch!$BI277:$BJ277),"")</f>
        <v/>
      </c>
      <c r="E106" s="846" t="str">
        <f t="shared" si="39"/>
        <v/>
      </c>
      <c r="F106" s="876" t="str">
        <f>IF($B106,$B106*TreatyCatch!BI277/SUM(TreatyCatch!$BF277:$BG277,TreatyCatch!$BI277:$BJ277),"")</f>
        <v/>
      </c>
      <c r="G106" s="889" t="str">
        <f>IF($B106,$B106*TreatyCatch!BJ277/SUM(TreatyCatch!$BF277:$BG277,TreatyCatch!$BI277:$BJ277),"")</f>
        <v/>
      </c>
      <c r="H106" s="877" t="str">
        <f t="shared" si="52"/>
        <v/>
      </c>
      <c r="I106" s="765"/>
      <c r="J106" s="882" t="str">
        <f>IF($I106,$I106*TreatyCatch!BL277/SUM(TreatyCatch!$BL277:$BM277,TreatyCatch!$BO277:$BP277),"")</f>
        <v/>
      </c>
      <c r="K106" s="883" t="str">
        <f>IF($I106,$I106*TreatyCatch!BM277/SUM(TreatyCatch!$BL277:$BM277,TreatyCatch!$BO277:$BP277),"")</f>
        <v/>
      </c>
      <c r="L106" s="871" t="str">
        <f t="shared" si="40"/>
        <v/>
      </c>
      <c r="M106" s="858" t="str">
        <f>IF($I106,$I106*TreatyCatch!BO277/SUM(TreatyCatch!$BL277:$BM277,TreatyCatch!$BO277:$BP277),"")</f>
        <v/>
      </c>
      <c r="N106" s="859" t="str">
        <f>IF($I106,$I106*TreatyCatch!BP277/SUM(TreatyCatch!$BL277:$BM277,TreatyCatch!$BO277:$BP277),"")</f>
        <v/>
      </c>
      <c r="O106" s="840" t="str">
        <f t="shared" si="53"/>
        <v/>
      </c>
      <c r="P106" s="765"/>
      <c r="Q106" s="852" t="str">
        <f>IF($P106,$P106*TreatyCatch!BR277/SUM(TreatyCatch!$BR277:$BS277,TreatyCatch!$BU277:$BV277),"")</f>
        <v/>
      </c>
      <c r="R106" s="853" t="str">
        <f>IF($P106,$P106*TreatyCatch!BS277/SUM(TreatyCatch!$BR277:$BS277,TreatyCatch!$BU277:$BV277),"")</f>
        <v/>
      </c>
      <c r="S106" s="846" t="str">
        <f t="shared" si="41"/>
        <v/>
      </c>
      <c r="T106" s="893" t="str">
        <f>IF($P106,$P106*TreatyCatch!BU277/SUM(TreatyCatch!$BR277:$BS277,TreatyCatch!$BU277:$BV277),"")</f>
        <v/>
      </c>
      <c r="U106" s="894" t="str">
        <f>IF($P106,$P106*TreatyCatch!BV277/SUM(TreatyCatch!$BR277:$BS277,TreatyCatch!$BU277:$BV277),"")</f>
        <v/>
      </c>
      <c r="V106" s="877" t="str">
        <f t="shared" si="54"/>
        <v/>
      </c>
      <c r="W106" s="958">
        <v>2</v>
      </c>
      <c r="X106" s="882">
        <f>IF($W106,$W106*TreatyCatch!BX277/SUM(TreatyCatch!$BX277:$BY277,TreatyCatch!$CA277:$CB277),"")</f>
        <v>0</v>
      </c>
      <c r="Y106" s="883">
        <f>IF($W106,$W106*TreatyCatch!BY277/SUM(TreatyCatch!$BX277:$BY277,TreatyCatch!$CA277:$CB277),"")</f>
        <v>0</v>
      </c>
      <c r="Z106" s="901">
        <f t="shared" si="42"/>
        <v>0</v>
      </c>
      <c r="AA106" s="858">
        <f>IF($W106,$W106*TreatyCatch!CA277/SUM(TreatyCatch!$BX277:$BY277,TreatyCatch!$CA277:$CB277),"")</f>
        <v>2</v>
      </c>
      <c r="AB106" s="859">
        <f>IF($W106,$W106*TreatyCatch!CB277/SUM(TreatyCatch!$BX277:$BY277,TreatyCatch!$CA277:$CB277),"")</f>
        <v>0</v>
      </c>
      <c r="AC106" s="840">
        <f t="shared" si="55"/>
        <v>2</v>
      </c>
      <c r="AD106" s="958"/>
      <c r="AE106" s="1071" t="str">
        <f>IF($AD106,$AD106*TreatyCatch!CD336/SUM(TreatyCatch!$CD336:$CE336,TreatyCatch!$CG336:$CH336),"")</f>
        <v/>
      </c>
      <c r="AF106" s="1072" t="str">
        <f>IF($AD106,$AD106*TreatyCatch!CE336/SUM(TreatyCatch!$CD336:$CE336,TreatyCatch!$CG336:$CH336),"")</f>
        <v/>
      </c>
      <c r="AG106" s="1073" t="str">
        <f t="shared" si="43"/>
        <v/>
      </c>
      <c r="AH106" s="1077" t="str">
        <f>IF($AD106,$AD106*TreatyCatch!CG336/SUM(TreatyCatch!$CD336:CE336,TreatyCatch!$CG336:$CH336),"")</f>
        <v/>
      </c>
      <c r="AI106" s="1078" t="str">
        <f>IF($AD106,$AD106*TreatyCatch!CH336/SUM(TreatyCatch!$CD336:CF336,TreatyCatch!$CG336:$CH336),"")</f>
        <v/>
      </c>
      <c r="AJ106" s="1080" t="str">
        <f t="shared" si="56"/>
        <v/>
      </c>
      <c r="AK106" s="958"/>
      <c r="AL106" s="882"/>
      <c r="AM106" s="883"/>
      <c r="AN106" s="901"/>
      <c r="AO106" s="858"/>
      <c r="AP106" s="859"/>
      <c r="AQ106" s="840"/>
      <c r="AR106" s="765"/>
      <c r="AS106" s="852"/>
      <c r="AT106" s="853"/>
      <c r="AU106" s="846"/>
      <c r="AV106" s="893"/>
      <c r="AW106" s="894"/>
      <c r="AX106" s="877"/>
      <c r="AY106" s="765"/>
      <c r="AZ106" s="882"/>
      <c r="BA106" s="883"/>
      <c r="BB106" s="901"/>
      <c r="BC106" s="858"/>
      <c r="BD106" s="859"/>
      <c r="BE106" s="840"/>
      <c r="BF106" s="765"/>
      <c r="BG106" s="852"/>
      <c r="BH106" s="853"/>
      <c r="BI106" s="846"/>
      <c r="BJ106" s="893"/>
      <c r="BK106" s="894"/>
      <c r="BL106" s="877"/>
      <c r="BM106" s="765"/>
      <c r="BN106" s="882"/>
      <c r="BO106" s="883"/>
      <c r="BP106" s="901"/>
      <c r="BQ106" s="858"/>
      <c r="BR106" s="859"/>
      <c r="BS106" s="840"/>
      <c r="BT106" s="765"/>
      <c r="BU106" s="852"/>
      <c r="BV106" s="853"/>
      <c r="BW106" s="846"/>
      <c r="BX106" s="893"/>
      <c r="BY106" s="894"/>
      <c r="BZ106" s="877"/>
      <c r="CA106" s="765"/>
      <c r="CB106" s="882"/>
      <c r="CC106" s="883"/>
      <c r="CD106" s="901"/>
      <c r="CE106" s="858"/>
      <c r="CF106" s="859"/>
      <c r="CG106" s="840"/>
      <c r="CH106" s="765"/>
      <c r="CI106" s="852"/>
      <c r="CJ106" s="853"/>
      <c r="CK106" s="846"/>
      <c r="CL106" s="893"/>
      <c r="CM106" s="894"/>
      <c r="CN106" s="877"/>
    </row>
    <row r="107" spans="1:92" x14ac:dyDescent="0.25">
      <c r="A107" s="757">
        <v>40</v>
      </c>
      <c r="B107" s="765">
        <v>1</v>
      </c>
      <c r="C107" s="844">
        <f>IF($B107,$B107*TreatyCatch!BF278/SUM(TreatyCatch!$BF278:$BG278,TreatyCatch!$BI278:$BJ278),"")</f>
        <v>1</v>
      </c>
      <c r="D107" s="844">
        <f>IF($B107,$B107*TreatyCatch!BG278/SUM(TreatyCatch!$BF278:$BG278,TreatyCatch!$BI278:$BJ278),"")</f>
        <v>0</v>
      </c>
      <c r="E107" s="846">
        <f t="shared" si="39"/>
        <v>1</v>
      </c>
      <c r="F107" s="876">
        <f>IF($B107,$B107*TreatyCatch!BI278/SUM(TreatyCatch!$BF278:$BG278,TreatyCatch!$BI278:$BJ278),"")</f>
        <v>0</v>
      </c>
      <c r="G107" s="889">
        <f>IF($B107,$B107*TreatyCatch!BJ278/SUM(TreatyCatch!$BF278:$BG278,TreatyCatch!$BI278:$BJ278),"")</f>
        <v>0</v>
      </c>
      <c r="H107" s="877">
        <f t="shared" si="52"/>
        <v>0</v>
      </c>
      <c r="I107" s="765"/>
      <c r="J107" s="882" t="str">
        <f>IF($I107,$I107*TreatyCatch!BL278/SUM(TreatyCatch!$BL278:$BM278,TreatyCatch!$BO278:$BP278),"")</f>
        <v/>
      </c>
      <c r="K107" s="883" t="str">
        <f>IF($I107,$I107*TreatyCatch!BM278/SUM(TreatyCatch!$BL278:$BM278,TreatyCatch!$BO278:$BP278),"")</f>
        <v/>
      </c>
      <c r="L107" s="871" t="str">
        <f t="shared" si="40"/>
        <v/>
      </c>
      <c r="M107" s="858" t="str">
        <f>IF($I107,$I107*TreatyCatch!BO278/SUM(TreatyCatch!$BL278:$BM278,TreatyCatch!$BO278:$BP278),"")</f>
        <v/>
      </c>
      <c r="N107" s="859" t="str">
        <f>IF($I107,$I107*TreatyCatch!BP278/SUM(TreatyCatch!$BL278:$BM278,TreatyCatch!$BO278:$BP278),"")</f>
        <v/>
      </c>
      <c r="O107" s="840" t="str">
        <f t="shared" si="53"/>
        <v/>
      </c>
      <c r="P107" s="765"/>
      <c r="Q107" s="852" t="str">
        <f>IF($P107,$P107*TreatyCatch!BR278/SUM(TreatyCatch!$BR278:$BS278,TreatyCatch!$BU278:$BV278),"")</f>
        <v/>
      </c>
      <c r="R107" s="853" t="str">
        <f>IF($P107,$P107*TreatyCatch!BS278/SUM(TreatyCatch!$BR278:$BS278,TreatyCatch!$BU278:$BV278),"")</f>
        <v/>
      </c>
      <c r="S107" s="846" t="str">
        <f t="shared" si="41"/>
        <v/>
      </c>
      <c r="T107" s="893" t="str">
        <f>IF($P107,$P107*TreatyCatch!BU278/SUM(TreatyCatch!$BR278:$BS278,TreatyCatch!$BU278:$BV278),"")</f>
        <v/>
      </c>
      <c r="U107" s="894" t="str">
        <f>IF($P107,$P107*TreatyCatch!BV278/SUM(TreatyCatch!$BR278:$BS278,TreatyCatch!$BU278:$BV278),"")</f>
        <v/>
      </c>
      <c r="V107" s="877" t="str">
        <f t="shared" si="54"/>
        <v/>
      </c>
      <c r="W107" s="958"/>
      <c r="X107" s="882" t="str">
        <f>IF($W107,$W107*TreatyCatch!BX278/SUM(TreatyCatch!$BX278:$BY278,TreatyCatch!$CA278:$CB278),"")</f>
        <v/>
      </c>
      <c r="Y107" s="883" t="str">
        <f>IF($W107,$W107*TreatyCatch!BY278/SUM(TreatyCatch!$BX278:$BY278,TreatyCatch!$CA278:$CB278),"")</f>
        <v/>
      </c>
      <c r="Z107" s="901" t="str">
        <f t="shared" si="42"/>
        <v/>
      </c>
      <c r="AA107" s="858" t="str">
        <f>IF($W107,$W107*TreatyCatch!CA278/SUM(TreatyCatch!$BX278:$BY278,TreatyCatch!$CA278:$CB278),"")</f>
        <v/>
      </c>
      <c r="AB107" s="859" t="str">
        <f>IF($W107,$W107*TreatyCatch!CB278/SUM(TreatyCatch!$BX278:$BY278,TreatyCatch!$CA278:$CB278),"")</f>
        <v/>
      </c>
      <c r="AC107" s="840" t="str">
        <f t="shared" si="55"/>
        <v/>
      </c>
      <c r="AD107" s="958"/>
      <c r="AE107" s="1071" t="str">
        <f>IF($AD107,$AD107*TreatyCatch!CD337/SUM(TreatyCatch!$CD337:$CE337,TreatyCatch!$CG337:$CH337),"")</f>
        <v/>
      </c>
      <c r="AF107" s="1072" t="str">
        <f>IF($AD107,$AD107*TreatyCatch!CE337/SUM(TreatyCatch!$CD337:$CE337,TreatyCatch!$CG337:$CH337),"")</f>
        <v/>
      </c>
      <c r="AG107" s="1073" t="str">
        <f t="shared" si="43"/>
        <v/>
      </c>
      <c r="AH107" s="1077" t="str">
        <f>IF($AD107,$AD107*TreatyCatch!CG337/SUM(TreatyCatch!$CD337:CE337,TreatyCatch!$CG337:$CH337),"")</f>
        <v/>
      </c>
      <c r="AI107" s="1078" t="str">
        <f>IF($AD107,$AD107*TreatyCatch!CH337/SUM(TreatyCatch!$CD337:CF337,TreatyCatch!$CG337:$CH337),"")</f>
        <v/>
      </c>
      <c r="AJ107" s="1080" t="str">
        <f t="shared" si="56"/>
        <v/>
      </c>
      <c r="AK107" s="958"/>
      <c r="AL107" s="882"/>
      <c r="AM107" s="883"/>
      <c r="AN107" s="901"/>
      <c r="AO107" s="858"/>
      <c r="AP107" s="859"/>
      <c r="AQ107" s="840"/>
      <c r="AR107" s="765"/>
      <c r="AS107" s="852"/>
      <c r="AT107" s="853"/>
      <c r="AU107" s="846"/>
      <c r="AV107" s="893"/>
      <c r="AW107" s="894"/>
      <c r="AX107" s="877"/>
      <c r="AY107" s="765"/>
      <c r="AZ107" s="882"/>
      <c r="BA107" s="883"/>
      <c r="BB107" s="901"/>
      <c r="BC107" s="858"/>
      <c r="BD107" s="859"/>
      <c r="BE107" s="840"/>
      <c r="BF107" s="765"/>
      <c r="BG107" s="852"/>
      <c r="BH107" s="853"/>
      <c r="BI107" s="846"/>
      <c r="BJ107" s="893"/>
      <c r="BK107" s="894"/>
      <c r="BL107" s="877"/>
      <c r="BM107" s="765"/>
      <c r="BN107" s="882"/>
      <c r="BO107" s="883"/>
      <c r="BP107" s="901"/>
      <c r="BQ107" s="858"/>
      <c r="BR107" s="859"/>
      <c r="BS107" s="840"/>
      <c r="BT107" s="765"/>
      <c r="BU107" s="852"/>
      <c r="BV107" s="853"/>
      <c r="BW107" s="846"/>
      <c r="BX107" s="893"/>
      <c r="BY107" s="894"/>
      <c r="BZ107" s="877"/>
      <c r="CA107" s="765"/>
      <c r="CB107" s="882"/>
      <c r="CC107" s="883"/>
      <c r="CD107" s="901"/>
      <c r="CE107" s="858"/>
      <c r="CF107" s="859"/>
      <c r="CG107" s="840"/>
      <c r="CH107" s="765"/>
      <c r="CI107" s="852"/>
      <c r="CJ107" s="853"/>
      <c r="CK107" s="846"/>
      <c r="CL107" s="893"/>
      <c r="CM107" s="894"/>
      <c r="CN107" s="877"/>
    </row>
    <row r="108" spans="1:92" x14ac:dyDescent="0.25">
      <c r="A108" s="757">
        <v>41</v>
      </c>
      <c r="B108" s="765"/>
      <c r="C108" s="844" t="str">
        <f>IF($B108,$B108*TreatyCatch!BF279/SUM(TreatyCatch!$BF279:$BG279,TreatyCatch!$BI279:$BJ279),"")</f>
        <v/>
      </c>
      <c r="D108" s="844" t="str">
        <f>IF($B108,$B108*TreatyCatch!BG279/SUM(TreatyCatch!$BF279:$BG279,TreatyCatch!$BI279:$BJ279),"")</f>
        <v/>
      </c>
      <c r="E108" s="846" t="str">
        <f t="shared" si="39"/>
        <v/>
      </c>
      <c r="F108" s="876" t="str">
        <f>IF($B108,$B108*TreatyCatch!BI279/SUM(TreatyCatch!$BF279:$BG279,TreatyCatch!$BI279:$BJ279),"")</f>
        <v/>
      </c>
      <c r="G108" s="889" t="str">
        <f>IF($B108,$B108*TreatyCatch!BJ279/SUM(TreatyCatch!$BF279:$BG279,TreatyCatch!$BI279:$BJ279),"")</f>
        <v/>
      </c>
      <c r="H108" s="877" t="str">
        <f t="shared" si="52"/>
        <v/>
      </c>
      <c r="I108" s="765"/>
      <c r="J108" s="882" t="str">
        <f>IF($I108,$I108*TreatyCatch!BL279/SUM(TreatyCatch!$BL279:$BM279,TreatyCatch!$BO279:$BP279),"")</f>
        <v/>
      </c>
      <c r="K108" s="883" t="str">
        <f>IF($I108,$I108*TreatyCatch!BM279/SUM(TreatyCatch!$BL279:$BM279,TreatyCatch!$BO279:$BP279),"")</f>
        <v/>
      </c>
      <c r="L108" s="871" t="str">
        <f t="shared" si="40"/>
        <v/>
      </c>
      <c r="M108" s="858" t="str">
        <f>IF($I108,$I108*TreatyCatch!BO279/SUM(TreatyCatch!$BL279:$BM279,TreatyCatch!$BO279:$BP279),"")</f>
        <v/>
      </c>
      <c r="N108" s="859" t="str">
        <f>IF($I108,$I108*TreatyCatch!BP279/SUM(TreatyCatch!$BL279:$BM279,TreatyCatch!$BO279:$BP279),"")</f>
        <v/>
      </c>
      <c r="O108" s="840" t="str">
        <f t="shared" si="53"/>
        <v/>
      </c>
      <c r="P108" s="765"/>
      <c r="Q108" s="852" t="str">
        <f>IF($P108,$P108*TreatyCatch!BR279/SUM(TreatyCatch!$BR279:$BS279,TreatyCatch!$BU279:$BV279),"")</f>
        <v/>
      </c>
      <c r="R108" s="853" t="str">
        <f>IF($P108,$P108*TreatyCatch!BS279/SUM(TreatyCatch!$BR279:$BS279,TreatyCatch!$BU279:$BV279),"")</f>
        <v/>
      </c>
      <c r="S108" s="846" t="str">
        <f t="shared" si="41"/>
        <v/>
      </c>
      <c r="T108" s="893" t="str">
        <f>IF($P108,$P108*TreatyCatch!BU279/SUM(TreatyCatch!$BR279:$BS279,TreatyCatch!$BU279:$BV279),"")</f>
        <v/>
      </c>
      <c r="U108" s="894" t="str">
        <f>IF($P108,$P108*TreatyCatch!BV279/SUM(TreatyCatch!$BR279:$BS279,TreatyCatch!$BU279:$BV279),"")</f>
        <v/>
      </c>
      <c r="V108" s="877" t="str">
        <f t="shared" si="54"/>
        <v/>
      </c>
      <c r="W108" s="958"/>
      <c r="X108" s="882" t="str">
        <f>IF($W108,$W108*TreatyCatch!BX279/SUM(TreatyCatch!$BX279:$BY279,TreatyCatch!$CA279:$CB279),"")</f>
        <v/>
      </c>
      <c r="Y108" s="883" t="str">
        <f>IF($W108,$W108*TreatyCatch!BY279/SUM(TreatyCatch!$BX279:$BY279,TreatyCatch!$CA279:$CB279),"")</f>
        <v/>
      </c>
      <c r="Z108" s="901" t="str">
        <f t="shared" si="42"/>
        <v/>
      </c>
      <c r="AA108" s="858" t="str">
        <f>IF($W108,$W108*TreatyCatch!CA279/SUM(TreatyCatch!$BX279:$BY279,TreatyCatch!$CA279:$CB279),"")</f>
        <v/>
      </c>
      <c r="AB108" s="859" t="str">
        <f>IF($W108,$W108*TreatyCatch!CB279/SUM(TreatyCatch!$BX279:$BY279,TreatyCatch!$CA279:$CB279),"")</f>
        <v/>
      </c>
      <c r="AC108" s="840" t="str">
        <f t="shared" si="55"/>
        <v/>
      </c>
      <c r="AD108" s="958"/>
      <c r="AE108" s="1071" t="str">
        <f>IF($AD108,$AD108*TreatyCatch!CD338/SUM(TreatyCatch!$CD338:$CE338,TreatyCatch!$CG338:$CH338),"")</f>
        <v/>
      </c>
      <c r="AF108" s="1072" t="str">
        <f>IF($AD108,$AD108*TreatyCatch!CE338/SUM(TreatyCatch!$CD338:$CE338,TreatyCatch!$CG338:$CH338),"")</f>
        <v/>
      </c>
      <c r="AG108" s="1073" t="str">
        <f t="shared" si="43"/>
        <v/>
      </c>
      <c r="AH108" s="1077" t="str">
        <f>IF($AD108,$AD108*TreatyCatch!CG338/SUM(TreatyCatch!$CD338:CE338,TreatyCatch!$CG338:$CH338),"")</f>
        <v/>
      </c>
      <c r="AI108" s="1078" t="str">
        <f>IF($AD108,$AD108*TreatyCatch!CH338/SUM(TreatyCatch!$CD338:CF338,TreatyCatch!$CG338:$CH338),"")</f>
        <v/>
      </c>
      <c r="AJ108" s="1080" t="str">
        <f t="shared" si="56"/>
        <v/>
      </c>
      <c r="AK108" s="958"/>
      <c r="AL108" s="882"/>
      <c r="AM108" s="883"/>
      <c r="AN108" s="901"/>
      <c r="AO108" s="858"/>
      <c r="AP108" s="859"/>
      <c r="AQ108" s="840"/>
      <c r="AR108" s="765"/>
      <c r="AS108" s="852"/>
      <c r="AT108" s="853"/>
      <c r="AU108" s="846"/>
      <c r="AV108" s="893"/>
      <c r="AW108" s="894"/>
      <c r="AX108" s="877"/>
      <c r="AY108" s="765"/>
      <c r="AZ108" s="882"/>
      <c r="BA108" s="883"/>
      <c r="BB108" s="901"/>
      <c r="BC108" s="858"/>
      <c r="BD108" s="859"/>
      <c r="BE108" s="840"/>
      <c r="BF108" s="765"/>
      <c r="BG108" s="852"/>
      <c r="BH108" s="853"/>
      <c r="BI108" s="846"/>
      <c r="BJ108" s="893"/>
      <c r="BK108" s="894"/>
      <c r="BL108" s="877"/>
      <c r="BM108" s="765"/>
      <c r="BN108" s="882"/>
      <c r="BO108" s="883"/>
      <c r="BP108" s="901"/>
      <c r="BQ108" s="858"/>
      <c r="BR108" s="859"/>
      <c r="BS108" s="840"/>
      <c r="BT108" s="765"/>
      <c r="BU108" s="852"/>
      <c r="BV108" s="853"/>
      <c r="BW108" s="846"/>
      <c r="BX108" s="893"/>
      <c r="BY108" s="894"/>
      <c r="BZ108" s="877"/>
      <c r="CA108" s="765"/>
      <c r="CB108" s="882"/>
      <c r="CC108" s="883"/>
      <c r="CD108" s="901"/>
      <c r="CE108" s="858"/>
      <c r="CF108" s="859"/>
      <c r="CG108" s="840"/>
      <c r="CH108" s="765"/>
      <c r="CI108" s="852"/>
      <c r="CJ108" s="853"/>
      <c r="CK108" s="846"/>
      <c r="CL108" s="893"/>
      <c r="CM108" s="894"/>
      <c r="CN108" s="877"/>
    </row>
    <row r="109" spans="1:92" x14ac:dyDescent="0.25">
      <c r="A109" s="757">
        <v>42</v>
      </c>
      <c r="B109" s="765">
        <v>1</v>
      </c>
      <c r="C109" s="844">
        <f>IF($B109,$B109*TreatyCatch!BF280/SUM(TreatyCatch!$BF280:$BG280,TreatyCatch!$BI280:$BJ280),"")</f>
        <v>0.91666666666666674</v>
      </c>
      <c r="D109" s="844">
        <f>IF($B109,$B109*TreatyCatch!BG280/SUM(TreatyCatch!$BF280:$BG280,TreatyCatch!$BI280:$BJ280),"")</f>
        <v>0</v>
      </c>
      <c r="E109" s="846">
        <f t="shared" si="39"/>
        <v>0.91666666666666674</v>
      </c>
      <c r="F109" s="876">
        <f>IF($B109,$B109*TreatyCatch!BI280/SUM(TreatyCatch!$BF280:$BG280,TreatyCatch!$BI280:$BJ280),"")</f>
        <v>8.3333333333333329E-2</v>
      </c>
      <c r="G109" s="889">
        <f>IF($B109,$B109*TreatyCatch!BJ280/SUM(TreatyCatch!$BF280:$BG280,TreatyCatch!$BI280:$BJ280),"")</f>
        <v>0</v>
      </c>
      <c r="H109" s="877">
        <f t="shared" si="52"/>
        <v>8.3333333333333329E-2</v>
      </c>
      <c r="I109" s="765"/>
      <c r="J109" s="882" t="str">
        <f>IF($I109,$I109*TreatyCatch!BL280/SUM(TreatyCatch!$BL280:$BM280,TreatyCatch!$BO280:$BP280),"")</f>
        <v/>
      </c>
      <c r="K109" s="883" t="str">
        <f>IF($I109,$I109*TreatyCatch!BM280/SUM(TreatyCatch!$BL280:$BM280,TreatyCatch!$BO280:$BP280),"")</f>
        <v/>
      </c>
      <c r="L109" s="871" t="str">
        <f t="shared" si="40"/>
        <v/>
      </c>
      <c r="M109" s="858" t="str">
        <f>IF($I109,$I109*TreatyCatch!BO280/SUM(TreatyCatch!$BL280:$BM280,TreatyCatch!$BO280:$BP280),"")</f>
        <v/>
      </c>
      <c r="N109" s="859" t="str">
        <f>IF($I109,$I109*TreatyCatch!BP280/SUM(TreatyCatch!$BL280:$BM280,TreatyCatch!$BO280:$BP280),"")</f>
        <v/>
      </c>
      <c r="O109" s="840" t="str">
        <f t="shared" si="53"/>
        <v/>
      </c>
      <c r="P109" s="765"/>
      <c r="Q109" s="852" t="str">
        <f>IF($P109,$P109*TreatyCatch!BR280/SUM(TreatyCatch!$BR280:$BS280,TreatyCatch!$BU280:$BV280),"")</f>
        <v/>
      </c>
      <c r="R109" s="853" t="str">
        <f>IF($P109,$P109*TreatyCatch!BS280/SUM(TreatyCatch!$BR280:$BS280,TreatyCatch!$BU280:$BV280),"")</f>
        <v/>
      </c>
      <c r="S109" s="846" t="str">
        <f t="shared" si="41"/>
        <v/>
      </c>
      <c r="T109" s="893" t="str">
        <f>IF($P109,$P109*TreatyCatch!BU280/SUM(TreatyCatch!$BR280:$BS280,TreatyCatch!$BU280:$BV280),"")</f>
        <v/>
      </c>
      <c r="U109" s="894" t="str">
        <f>IF($P109,$P109*TreatyCatch!BV280/SUM(TreatyCatch!$BR280:$BS280,TreatyCatch!$BU280:$BV280),"")</f>
        <v/>
      </c>
      <c r="V109" s="877" t="str">
        <f t="shared" si="54"/>
        <v/>
      </c>
      <c r="W109" s="958"/>
      <c r="X109" s="882" t="str">
        <f>IF($W109,$W109*TreatyCatch!BX280/SUM(TreatyCatch!$BX280:$BY280,TreatyCatch!$CA280:$CB280),"")</f>
        <v/>
      </c>
      <c r="Y109" s="883" t="str">
        <f>IF($W109,$W109*TreatyCatch!BY280/SUM(TreatyCatch!$BX280:$BY280,TreatyCatch!$CA280:$CB280),"")</f>
        <v/>
      </c>
      <c r="Z109" s="901" t="str">
        <f t="shared" si="42"/>
        <v/>
      </c>
      <c r="AA109" s="858" t="str">
        <f>IF($W109,$W109*TreatyCatch!CA280/SUM(TreatyCatch!$BX280:$BY280,TreatyCatch!$CA280:$CB280),"")</f>
        <v/>
      </c>
      <c r="AB109" s="859" t="str">
        <f>IF($W109,$W109*TreatyCatch!CB280/SUM(TreatyCatch!$BX280:$BY280,TreatyCatch!$CA280:$CB280),"")</f>
        <v/>
      </c>
      <c r="AC109" s="840" t="str">
        <f t="shared" si="55"/>
        <v/>
      </c>
      <c r="AD109" s="958"/>
      <c r="AE109" s="1071" t="str">
        <f>IF($AD109,$AD109*TreatyCatch!CD339/SUM(TreatyCatch!$CD339:$CE339,TreatyCatch!$CG339:$CH339),"")</f>
        <v/>
      </c>
      <c r="AF109" s="1072" t="str">
        <f>IF($AD109,$AD109*TreatyCatch!CE339/SUM(TreatyCatch!$CD339:$CE339,TreatyCatch!$CG339:$CH339),"")</f>
        <v/>
      </c>
      <c r="AG109" s="1073" t="str">
        <f t="shared" si="43"/>
        <v/>
      </c>
      <c r="AH109" s="1077" t="str">
        <f>IF($AD109,$AD109*TreatyCatch!CG339/SUM(TreatyCatch!$CD339:CE339,TreatyCatch!$CG339:$CH339),"")</f>
        <v/>
      </c>
      <c r="AI109" s="1078" t="str">
        <f>IF($AD109,$AD109*TreatyCatch!CH339/SUM(TreatyCatch!$CD339:CF339,TreatyCatch!$CG339:$CH339),"")</f>
        <v/>
      </c>
      <c r="AJ109" s="1080" t="str">
        <f t="shared" si="56"/>
        <v/>
      </c>
      <c r="AK109" s="958"/>
      <c r="AL109" s="882"/>
      <c r="AM109" s="883"/>
      <c r="AN109" s="901"/>
      <c r="AO109" s="858"/>
      <c r="AP109" s="859"/>
      <c r="AQ109" s="840"/>
      <c r="AR109" s="765"/>
      <c r="AS109" s="852"/>
      <c r="AT109" s="853"/>
      <c r="AU109" s="846"/>
      <c r="AV109" s="893"/>
      <c r="AW109" s="894"/>
      <c r="AX109" s="877"/>
      <c r="AY109" s="765"/>
      <c r="AZ109" s="882"/>
      <c r="BA109" s="883"/>
      <c r="BB109" s="901"/>
      <c r="BC109" s="858"/>
      <c r="BD109" s="859"/>
      <c r="BE109" s="840"/>
      <c r="BF109" s="765"/>
      <c r="BG109" s="852"/>
      <c r="BH109" s="853"/>
      <c r="BI109" s="846"/>
      <c r="BJ109" s="893"/>
      <c r="BK109" s="894"/>
      <c r="BL109" s="877"/>
      <c r="BM109" s="765"/>
      <c r="BN109" s="882"/>
      <c r="BO109" s="883"/>
      <c r="BP109" s="901"/>
      <c r="BQ109" s="858"/>
      <c r="BR109" s="859"/>
      <c r="BS109" s="840"/>
      <c r="BT109" s="765"/>
      <c r="BU109" s="852"/>
      <c r="BV109" s="853"/>
      <c r="BW109" s="846"/>
      <c r="BX109" s="893"/>
      <c r="BY109" s="894"/>
      <c r="BZ109" s="877"/>
      <c r="CA109" s="765"/>
      <c r="CB109" s="882"/>
      <c r="CC109" s="883"/>
      <c r="CD109" s="901"/>
      <c r="CE109" s="858"/>
      <c r="CF109" s="859"/>
      <c r="CG109" s="840"/>
      <c r="CH109" s="765"/>
      <c r="CI109" s="852"/>
      <c r="CJ109" s="853"/>
      <c r="CK109" s="846"/>
      <c r="CL109" s="893"/>
      <c r="CM109" s="894"/>
      <c r="CN109" s="877"/>
    </row>
    <row r="110" spans="1:92" x14ac:dyDescent="0.25">
      <c r="A110" s="757">
        <v>43</v>
      </c>
      <c r="B110" s="765"/>
      <c r="C110" s="844" t="str">
        <f>IF($B110,$B110*TreatyCatch!BF281/SUM(TreatyCatch!$BF281:$BG281,TreatyCatch!$BI281:$BJ281),"")</f>
        <v/>
      </c>
      <c r="D110" s="844" t="str">
        <f>IF($B110,$B110*TreatyCatch!BG281/SUM(TreatyCatch!$BF281:$BG281,TreatyCatch!$BI281:$BJ281),"")</f>
        <v/>
      </c>
      <c r="E110" s="846" t="str">
        <f t="shared" si="39"/>
        <v/>
      </c>
      <c r="F110" s="876" t="str">
        <f>IF($B110,$B110*TreatyCatch!BI281/SUM(TreatyCatch!$BF281:$BG281,TreatyCatch!$BI281:$BJ281),"")</f>
        <v/>
      </c>
      <c r="G110" s="889" t="str">
        <f>IF($B110,$B110*TreatyCatch!BJ281/SUM(TreatyCatch!$BF281:$BG281,TreatyCatch!$BI281:$BJ281),"")</f>
        <v/>
      </c>
      <c r="H110" s="877" t="str">
        <f t="shared" si="52"/>
        <v/>
      </c>
      <c r="I110" s="765"/>
      <c r="J110" s="882" t="str">
        <f>IF($I110,$I110*TreatyCatch!BL281/SUM(TreatyCatch!$BL281:$BM281,TreatyCatch!$BO281:$BP281),"")</f>
        <v/>
      </c>
      <c r="K110" s="883" t="str">
        <f>IF($I110,$I110*TreatyCatch!BM281/SUM(TreatyCatch!$BL281:$BM281,TreatyCatch!$BO281:$BP281),"")</f>
        <v/>
      </c>
      <c r="L110" s="871" t="str">
        <f t="shared" si="40"/>
        <v/>
      </c>
      <c r="M110" s="858" t="str">
        <f>IF($I110,$I110*TreatyCatch!BO281/SUM(TreatyCatch!$BL281:$BM281,TreatyCatch!$BO281:$BP281),"")</f>
        <v/>
      </c>
      <c r="N110" s="859" t="str">
        <f>IF($I110,$I110*TreatyCatch!BP281/SUM(TreatyCatch!$BL281:$BM281,TreatyCatch!$BO281:$BP281),"")</f>
        <v/>
      </c>
      <c r="O110" s="840" t="str">
        <f t="shared" si="53"/>
        <v/>
      </c>
      <c r="P110" s="765"/>
      <c r="Q110" s="852" t="str">
        <f>IF($P110,$P110*TreatyCatch!BR281/SUM(TreatyCatch!$BR281:$BS281,TreatyCatch!$BU281:$BV281),"")</f>
        <v/>
      </c>
      <c r="R110" s="853" t="str">
        <f>IF($P110,$P110*TreatyCatch!BS281/SUM(TreatyCatch!$BR281:$BS281,TreatyCatch!$BU281:$BV281),"")</f>
        <v/>
      </c>
      <c r="S110" s="846" t="str">
        <f t="shared" si="41"/>
        <v/>
      </c>
      <c r="T110" s="893" t="str">
        <f>IF($P110,$P110*TreatyCatch!BU281/SUM(TreatyCatch!$BR281:$BS281,TreatyCatch!$BU281:$BV281),"")</f>
        <v/>
      </c>
      <c r="U110" s="894" t="str">
        <f>IF($P110,$P110*TreatyCatch!BV281/SUM(TreatyCatch!$BR281:$BS281,TreatyCatch!$BU281:$BV281),"")</f>
        <v/>
      </c>
      <c r="V110" s="877" t="str">
        <f t="shared" si="54"/>
        <v/>
      </c>
      <c r="W110" s="958"/>
      <c r="X110" s="882" t="str">
        <f>IF($W110,$W110*TreatyCatch!BX281/SUM(TreatyCatch!$BX281:$BY281,TreatyCatch!$CA281:$CB281),"")</f>
        <v/>
      </c>
      <c r="Y110" s="883" t="str">
        <f>IF($W110,$W110*TreatyCatch!BY281/SUM(TreatyCatch!$BX281:$BY281,TreatyCatch!$CA281:$CB281),"")</f>
        <v/>
      </c>
      <c r="Z110" s="901" t="str">
        <f t="shared" si="42"/>
        <v/>
      </c>
      <c r="AA110" s="858" t="str">
        <f>IF($W110,$W110*TreatyCatch!CA281/SUM(TreatyCatch!$BX281:$BY281,TreatyCatch!$CA281:$CB281),"")</f>
        <v/>
      </c>
      <c r="AB110" s="859" t="str">
        <f>IF($W110,$W110*TreatyCatch!CB281/SUM(TreatyCatch!$BX281:$BY281,TreatyCatch!$CA281:$CB281),"")</f>
        <v/>
      </c>
      <c r="AC110" s="840" t="str">
        <f t="shared" si="55"/>
        <v/>
      </c>
      <c r="AD110" s="958"/>
      <c r="AE110" s="1071" t="str">
        <f>IF($AD110,$AD110*TreatyCatch!CD340/SUM(TreatyCatch!$CD340:$CE340,TreatyCatch!$CG340:$CH340),"")</f>
        <v/>
      </c>
      <c r="AF110" s="1072" t="str">
        <f>IF($AD110,$AD110*TreatyCatch!CE340/SUM(TreatyCatch!$CD340:$CE340,TreatyCatch!$CG340:$CH340),"")</f>
        <v/>
      </c>
      <c r="AG110" s="1073" t="str">
        <f t="shared" si="43"/>
        <v/>
      </c>
      <c r="AH110" s="1077" t="str">
        <f>IF($AD110,$AD110*TreatyCatch!CG340/SUM(TreatyCatch!$CD340:CE340,TreatyCatch!$CG340:$CH340),"")</f>
        <v/>
      </c>
      <c r="AI110" s="1078" t="str">
        <f>IF($AD110,$AD110*TreatyCatch!CH340/SUM(TreatyCatch!$CD340:CF340,TreatyCatch!$CG340:$CH340),"")</f>
        <v/>
      </c>
      <c r="AJ110" s="1080" t="str">
        <f t="shared" si="56"/>
        <v/>
      </c>
      <c r="AK110" s="958"/>
      <c r="AL110" s="882"/>
      <c r="AM110" s="883"/>
      <c r="AN110" s="901"/>
      <c r="AO110" s="858"/>
      <c r="AP110" s="859"/>
      <c r="AQ110" s="840"/>
      <c r="AR110" s="765"/>
      <c r="AS110" s="852"/>
      <c r="AT110" s="853"/>
      <c r="AU110" s="846"/>
      <c r="AV110" s="893"/>
      <c r="AW110" s="894"/>
      <c r="AX110" s="877"/>
      <c r="AY110" s="765"/>
      <c r="AZ110" s="882"/>
      <c r="BA110" s="883"/>
      <c r="BB110" s="901"/>
      <c r="BC110" s="858"/>
      <c r="BD110" s="859"/>
      <c r="BE110" s="840"/>
      <c r="BF110" s="765"/>
      <c r="BG110" s="852"/>
      <c r="BH110" s="853"/>
      <c r="BI110" s="846"/>
      <c r="BJ110" s="893"/>
      <c r="BK110" s="894"/>
      <c r="BL110" s="877"/>
      <c r="BM110" s="765"/>
      <c r="BN110" s="882"/>
      <c r="BO110" s="883"/>
      <c r="BP110" s="901"/>
      <c r="BQ110" s="858"/>
      <c r="BR110" s="859"/>
      <c r="BS110" s="840"/>
      <c r="BT110" s="765"/>
      <c r="BU110" s="852"/>
      <c r="BV110" s="853"/>
      <c r="BW110" s="846"/>
      <c r="BX110" s="893"/>
      <c r="BY110" s="894"/>
      <c r="BZ110" s="877"/>
      <c r="CA110" s="765"/>
      <c r="CB110" s="882"/>
      <c r="CC110" s="883"/>
      <c r="CD110" s="901"/>
      <c r="CE110" s="858"/>
      <c r="CF110" s="859"/>
      <c r="CG110" s="840"/>
      <c r="CH110" s="765"/>
      <c r="CI110" s="852"/>
      <c r="CJ110" s="853"/>
      <c r="CK110" s="846"/>
      <c r="CL110" s="893"/>
      <c r="CM110" s="894"/>
      <c r="CN110" s="877"/>
    </row>
    <row r="111" spans="1:92" x14ac:dyDescent="0.25">
      <c r="A111" s="757">
        <v>44</v>
      </c>
      <c r="B111" s="765"/>
      <c r="C111" s="844" t="str">
        <f>IF($B111,$B111*TreatyCatch!BF282/SUM(TreatyCatch!$BF282:$BG282,TreatyCatch!$BI282:$BJ282),"")</f>
        <v/>
      </c>
      <c r="D111" s="844" t="str">
        <f>IF($B111,$B111*TreatyCatch!BG282/SUM(TreatyCatch!$BF282:$BG282,TreatyCatch!$BI282:$BJ282),"")</f>
        <v/>
      </c>
      <c r="E111" s="846" t="str">
        <f t="shared" si="39"/>
        <v/>
      </c>
      <c r="F111" s="876" t="str">
        <f>IF($B111,$B111*TreatyCatch!BI282/SUM(TreatyCatch!$BF282:$BG282,TreatyCatch!$BI282:$BJ282),"")</f>
        <v/>
      </c>
      <c r="G111" s="889" t="str">
        <f>IF($B111,$B111*TreatyCatch!BJ282/SUM(TreatyCatch!$BF282:$BG282,TreatyCatch!$BI282:$BJ282),"")</f>
        <v/>
      </c>
      <c r="H111" s="877" t="str">
        <f t="shared" si="52"/>
        <v/>
      </c>
      <c r="I111" s="765"/>
      <c r="J111" s="882" t="str">
        <f>IF($I111,$I111*TreatyCatch!BL282/SUM(TreatyCatch!$BL282:$BM282,TreatyCatch!$BO282:$BP282),"")</f>
        <v/>
      </c>
      <c r="K111" s="883" t="str">
        <f>IF($I111,$I111*TreatyCatch!BM282/SUM(TreatyCatch!$BL282:$BM282,TreatyCatch!$BO282:$BP282),"")</f>
        <v/>
      </c>
      <c r="L111" s="871" t="str">
        <f t="shared" si="40"/>
        <v/>
      </c>
      <c r="M111" s="858" t="str">
        <f>IF($I111,$I111*TreatyCatch!BO282/SUM(TreatyCatch!$BL282:$BM282,TreatyCatch!$BO282:$BP282),"")</f>
        <v/>
      </c>
      <c r="N111" s="859" t="str">
        <f>IF($I111,$I111*TreatyCatch!BP282/SUM(TreatyCatch!$BL282:$BM282,TreatyCatch!$BO282:$BP282),"")</f>
        <v/>
      </c>
      <c r="O111" s="840" t="str">
        <f t="shared" si="53"/>
        <v/>
      </c>
      <c r="P111" s="765"/>
      <c r="Q111" s="852" t="str">
        <f>IF($P111,$P111*TreatyCatch!BR282/SUM(TreatyCatch!$BR282:$BS282,TreatyCatch!$BU282:$BV282),"")</f>
        <v/>
      </c>
      <c r="R111" s="853" t="str">
        <f>IF($P111,$P111*TreatyCatch!BS282/SUM(TreatyCatch!$BR282:$BS282,TreatyCatch!$BU282:$BV282),"")</f>
        <v/>
      </c>
      <c r="S111" s="846" t="str">
        <f t="shared" si="41"/>
        <v/>
      </c>
      <c r="T111" s="893" t="str">
        <f>IF($P111,$P111*TreatyCatch!BU282/SUM(TreatyCatch!$BR282:$BS282,TreatyCatch!$BU282:$BV282),"")</f>
        <v/>
      </c>
      <c r="U111" s="894" t="str">
        <f>IF($P111,$P111*TreatyCatch!BV282/SUM(TreatyCatch!$BR282:$BS282,TreatyCatch!$BU282:$BV282),"")</f>
        <v/>
      </c>
      <c r="V111" s="877" t="str">
        <f t="shared" si="54"/>
        <v/>
      </c>
      <c r="W111" s="958"/>
      <c r="X111" s="882" t="str">
        <f>IF($W111,$W111*TreatyCatch!BX282/SUM(TreatyCatch!$BX282:$BY282,TreatyCatch!$CA282:$CB282),"")</f>
        <v/>
      </c>
      <c r="Y111" s="883" t="str">
        <f>IF($W111,$W111*TreatyCatch!BY282/SUM(TreatyCatch!$BX282:$BY282,TreatyCatch!$CA282:$CB282),"")</f>
        <v/>
      </c>
      <c r="Z111" s="901" t="str">
        <f t="shared" si="42"/>
        <v/>
      </c>
      <c r="AA111" s="858" t="str">
        <f>IF($W111,$W111*TreatyCatch!CA282/SUM(TreatyCatch!$BX282:$BY282,TreatyCatch!$CA282:$CB282),"")</f>
        <v/>
      </c>
      <c r="AB111" s="859" t="str">
        <f>IF($W111,$W111*TreatyCatch!CB282/SUM(TreatyCatch!$BX282:$BY282,TreatyCatch!$CA282:$CB282),"")</f>
        <v/>
      </c>
      <c r="AC111" s="840" t="str">
        <f t="shared" si="55"/>
        <v/>
      </c>
      <c r="AD111" s="958"/>
      <c r="AE111" s="1071" t="str">
        <f>IF($AD111,$AD111*TreatyCatch!CD341/SUM(TreatyCatch!$CD341:$CE341,TreatyCatch!$CG341:$CH341),"")</f>
        <v/>
      </c>
      <c r="AF111" s="1072" t="str">
        <f>IF($AD111,$AD111*TreatyCatch!CE341/SUM(TreatyCatch!$CD341:$CE341,TreatyCatch!$CG341:$CH341),"")</f>
        <v/>
      </c>
      <c r="AG111" s="1073" t="str">
        <f t="shared" si="43"/>
        <v/>
      </c>
      <c r="AH111" s="1077" t="str">
        <f>IF($AD111,$AD111*TreatyCatch!CG341/SUM(TreatyCatch!$CD341:CE341,TreatyCatch!$CG341:$CH341),"")</f>
        <v/>
      </c>
      <c r="AI111" s="1078" t="str">
        <f>IF($AD111,$AD111*TreatyCatch!CH341/SUM(TreatyCatch!$CD341:CF341,TreatyCatch!$CG341:$CH341),"")</f>
        <v/>
      </c>
      <c r="AJ111" s="1080" t="str">
        <f t="shared" si="56"/>
        <v/>
      </c>
      <c r="AK111" s="958"/>
      <c r="AL111" s="882"/>
      <c r="AM111" s="883"/>
      <c r="AN111" s="901"/>
      <c r="AO111" s="858"/>
      <c r="AP111" s="859"/>
      <c r="AQ111" s="840"/>
      <c r="AR111" s="765"/>
      <c r="AS111" s="852"/>
      <c r="AT111" s="853"/>
      <c r="AU111" s="846"/>
      <c r="AV111" s="893"/>
      <c r="AW111" s="894"/>
      <c r="AX111" s="877"/>
      <c r="AY111" s="765"/>
      <c r="AZ111" s="882"/>
      <c r="BA111" s="883"/>
      <c r="BB111" s="901"/>
      <c r="BC111" s="858"/>
      <c r="BD111" s="859"/>
      <c r="BE111" s="840"/>
      <c r="BF111" s="765"/>
      <c r="BG111" s="852"/>
      <c r="BH111" s="853"/>
      <c r="BI111" s="846"/>
      <c r="BJ111" s="893"/>
      <c r="BK111" s="894"/>
      <c r="BL111" s="877"/>
      <c r="BM111" s="765"/>
      <c r="BN111" s="882"/>
      <c r="BO111" s="883"/>
      <c r="BP111" s="901"/>
      <c r="BQ111" s="858"/>
      <c r="BR111" s="859"/>
      <c r="BS111" s="840"/>
      <c r="BT111" s="765"/>
      <c r="BU111" s="852"/>
      <c r="BV111" s="853"/>
      <c r="BW111" s="846"/>
      <c r="BX111" s="893"/>
      <c r="BY111" s="894"/>
      <c r="BZ111" s="877"/>
      <c r="CA111" s="765"/>
      <c r="CB111" s="882"/>
      <c r="CC111" s="883"/>
      <c r="CD111" s="901"/>
      <c r="CE111" s="858"/>
      <c r="CF111" s="859"/>
      <c r="CG111" s="840"/>
      <c r="CH111" s="765"/>
      <c r="CI111" s="852"/>
      <c r="CJ111" s="853"/>
      <c r="CK111" s="846"/>
      <c r="CL111" s="893"/>
      <c r="CM111" s="894"/>
      <c r="CN111" s="877"/>
    </row>
    <row r="112" spans="1:92" x14ac:dyDescent="0.25">
      <c r="A112" s="757">
        <v>45</v>
      </c>
      <c r="B112" s="765"/>
      <c r="C112" s="844" t="str">
        <f>IF($B112,$B112*TreatyCatch!BF283/SUM(TreatyCatch!$BF283:$BG283,TreatyCatch!$BI283:$BJ283),"")</f>
        <v/>
      </c>
      <c r="D112" s="844" t="str">
        <f>IF($B112,$B112*TreatyCatch!BG283/SUM(TreatyCatch!$BF283:$BG283,TreatyCatch!$BI283:$BJ283),"")</f>
        <v/>
      </c>
      <c r="E112" s="846" t="str">
        <f t="shared" si="39"/>
        <v/>
      </c>
      <c r="F112" s="876" t="str">
        <f>IF($B112,$B112*TreatyCatch!BI283/SUM(TreatyCatch!$BF283:$BG283,TreatyCatch!$BI283:$BJ283),"")</f>
        <v/>
      </c>
      <c r="G112" s="889" t="str">
        <f>IF($B112,$B112*TreatyCatch!BJ283/SUM(TreatyCatch!$BF283:$BG283,TreatyCatch!$BI283:$BJ283),"")</f>
        <v/>
      </c>
      <c r="H112" s="877" t="str">
        <f t="shared" si="52"/>
        <v/>
      </c>
      <c r="I112" s="765"/>
      <c r="J112" s="882" t="str">
        <f>IF($I112,$I112*TreatyCatch!BL283/SUM(TreatyCatch!$BL283:$BM283,TreatyCatch!$BO283:$BP283),"")</f>
        <v/>
      </c>
      <c r="K112" s="883" t="str">
        <f>IF($I112,$I112*TreatyCatch!BM283/SUM(TreatyCatch!$BL283:$BM283,TreatyCatch!$BO283:$BP283),"")</f>
        <v/>
      </c>
      <c r="L112" s="871" t="str">
        <f t="shared" si="40"/>
        <v/>
      </c>
      <c r="M112" s="858" t="str">
        <f>IF($I112,$I112*TreatyCatch!BO283/SUM(TreatyCatch!$BL283:$BM283,TreatyCatch!$BO283:$BP283),"")</f>
        <v/>
      </c>
      <c r="N112" s="859" t="str">
        <f>IF($I112,$I112*TreatyCatch!BP283/SUM(TreatyCatch!$BL283:$BM283,TreatyCatch!$BO283:$BP283),"")</f>
        <v/>
      </c>
      <c r="O112" s="840" t="str">
        <f t="shared" si="53"/>
        <v/>
      </c>
      <c r="P112" s="765"/>
      <c r="Q112" s="852" t="str">
        <f>IF($P112,$P112*TreatyCatch!BR283/SUM(TreatyCatch!$BR283:$BS283,TreatyCatch!$BU283:$BV283),"")</f>
        <v/>
      </c>
      <c r="R112" s="853" t="str">
        <f>IF($P112,$P112*TreatyCatch!BS283/SUM(TreatyCatch!$BR283:$BS283,TreatyCatch!$BU283:$BV283),"")</f>
        <v/>
      </c>
      <c r="S112" s="846" t="str">
        <f t="shared" si="41"/>
        <v/>
      </c>
      <c r="T112" s="893" t="str">
        <f>IF($P112,$P112*TreatyCatch!BU283/SUM(TreatyCatch!$BR283:$BS283,TreatyCatch!$BU283:$BV283),"")</f>
        <v/>
      </c>
      <c r="U112" s="894" t="str">
        <f>IF($P112,$P112*TreatyCatch!BV283/SUM(TreatyCatch!$BR283:$BS283,TreatyCatch!$BU283:$BV283),"")</f>
        <v/>
      </c>
      <c r="V112" s="877" t="str">
        <f t="shared" si="54"/>
        <v/>
      </c>
      <c r="W112" s="958"/>
      <c r="X112" s="882" t="str">
        <f>IF($W112,$W112*TreatyCatch!BX283/SUM(TreatyCatch!$BX283:$BY283,TreatyCatch!$CA283:$CB283),"")</f>
        <v/>
      </c>
      <c r="Y112" s="883" t="str">
        <f>IF($W112,$W112*TreatyCatch!BY283/SUM(TreatyCatch!$BX283:$BY283,TreatyCatch!$CA283:$CB283),"")</f>
        <v/>
      </c>
      <c r="Z112" s="901" t="str">
        <f t="shared" si="42"/>
        <v/>
      </c>
      <c r="AA112" s="858" t="str">
        <f>IF($W112,$W112*TreatyCatch!CA283/SUM(TreatyCatch!$BX283:$BY283,TreatyCatch!$CA283:$CB283),"")</f>
        <v/>
      </c>
      <c r="AB112" s="859" t="str">
        <f>IF($W112,$W112*TreatyCatch!CB283/SUM(TreatyCatch!$BX283:$BY283,TreatyCatch!$CA283:$CB283),"")</f>
        <v/>
      </c>
      <c r="AC112" s="840" t="str">
        <f t="shared" si="55"/>
        <v/>
      </c>
      <c r="AD112" s="958"/>
      <c r="AE112" s="1071" t="str">
        <f>IF($AD112,$AD112*TreatyCatch!CD342/SUM(TreatyCatch!$CD342:$CE342,TreatyCatch!$CG342:$CH342),"")</f>
        <v/>
      </c>
      <c r="AF112" s="1072" t="str">
        <f>IF($AD112,$AD112*TreatyCatch!CE342/SUM(TreatyCatch!$CD342:$CE342,TreatyCatch!$CG342:$CH342),"")</f>
        <v/>
      </c>
      <c r="AG112" s="1073" t="str">
        <f t="shared" si="43"/>
        <v/>
      </c>
      <c r="AH112" s="1077" t="str">
        <f>IF($AD112,$AD112*TreatyCatch!CG342/SUM(TreatyCatch!$CD342:CE342,TreatyCatch!$CG342:$CH342),"")</f>
        <v/>
      </c>
      <c r="AI112" s="1078" t="str">
        <f>IF($AD112,$AD112*TreatyCatch!CH342/SUM(TreatyCatch!$CD342:CF342,TreatyCatch!$CG342:$CH342),"")</f>
        <v/>
      </c>
      <c r="AJ112" s="1080" t="str">
        <f t="shared" si="56"/>
        <v/>
      </c>
      <c r="AK112" s="958"/>
      <c r="AL112" s="882"/>
      <c r="AM112" s="883"/>
      <c r="AN112" s="901"/>
      <c r="AO112" s="858"/>
      <c r="AP112" s="859"/>
      <c r="AQ112" s="840"/>
      <c r="AR112" s="765"/>
      <c r="AS112" s="852"/>
      <c r="AT112" s="853"/>
      <c r="AU112" s="846"/>
      <c r="AV112" s="893"/>
      <c r="AW112" s="894"/>
      <c r="AX112" s="877"/>
      <c r="AY112" s="765"/>
      <c r="AZ112" s="882"/>
      <c r="BA112" s="883"/>
      <c r="BB112" s="901"/>
      <c r="BC112" s="858"/>
      <c r="BD112" s="859"/>
      <c r="BE112" s="840"/>
      <c r="BF112" s="765"/>
      <c r="BG112" s="852"/>
      <c r="BH112" s="853"/>
      <c r="BI112" s="846"/>
      <c r="BJ112" s="893"/>
      <c r="BK112" s="894"/>
      <c r="BL112" s="877"/>
      <c r="BM112" s="765"/>
      <c r="BN112" s="882"/>
      <c r="BO112" s="883"/>
      <c r="BP112" s="901"/>
      <c r="BQ112" s="858"/>
      <c r="BR112" s="859"/>
      <c r="BS112" s="840"/>
      <c r="BT112" s="765"/>
      <c r="BU112" s="852"/>
      <c r="BV112" s="853"/>
      <c r="BW112" s="846"/>
      <c r="BX112" s="893"/>
      <c r="BY112" s="894"/>
      <c r="BZ112" s="877"/>
      <c r="CA112" s="765"/>
      <c r="CB112" s="882"/>
      <c r="CC112" s="883"/>
      <c r="CD112" s="901"/>
      <c r="CE112" s="858"/>
      <c r="CF112" s="859"/>
      <c r="CG112" s="840"/>
      <c r="CH112" s="765"/>
      <c r="CI112" s="852"/>
      <c r="CJ112" s="853"/>
      <c r="CK112" s="846"/>
      <c r="CL112" s="893"/>
      <c r="CM112" s="894"/>
      <c r="CN112" s="877"/>
    </row>
    <row r="113" spans="1:92" x14ac:dyDescent="0.25">
      <c r="A113" s="757">
        <v>46</v>
      </c>
      <c r="B113" s="765"/>
      <c r="C113" s="844" t="str">
        <f>IF($B113,$B113*TreatyCatch!BF284/SUM(TreatyCatch!$BF284:$BG284,TreatyCatch!$BI284:$BJ284),"")</f>
        <v/>
      </c>
      <c r="D113" s="844" t="str">
        <f>IF($B113,$B113*TreatyCatch!BG284/SUM(TreatyCatch!$BF284:$BG284,TreatyCatch!$BI284:$BJ284),"")</f>
        <v/>
      </c>
      <c r="E113" s="846" t="str">
        <f t="shared" si="39"/>
        <v/>
      </c>
      <c r="F113" s="876" t="str">
        <f>IF($B113,$B113*TreatyCatch!BI284/SUM(TreatyCatch!$BF284:$BG284,TreatyCatch!$BI284:$BJ284),"")</f>
        <v/>
      </c>
      <c r="G113" s="889" t="str">
        <f>IF($B113,$B113*TreatyCatch!BJ284/SUM(TreatyCatch!$BF284:$BG284,TreatyCatch!$BI284:$BJ284),"")</f>
        <v/>
      </c>
      <c r="H113" s="877" t="str">
        <f t="shared" si="52"/>
        <v/>
      </c>
      <c r="I113" s="765"/>
      <c r="J113" s="882" t="str">
        <f>IF($I113,$I113*TreatyCatch!BL284/SUM(TreatyCatch!$BL284:$BM284,TreatyCatch!$BO284:$BP284),"")</f>
        <v/>
      </c>
      <c r="K113" s="883" t="str">
        <f>IF($I113,$I113*TreatyCatch!BM284/SUM(TreatyCatch!$BL284:$BM284,TreatyCatch!$BO284:$BP284),"")</f>
        <v/>
      </c>
      <c r="L113" s="871" t="str">
        <f t="shared" si="40"/>
        <v/>
      </c>
      <c r="M113" s="858" t="str">
        <f>IF($I113,$I113*TreatyCatch!BO284/SUM(TreatyCatch!$BL284:$BM284,TreatyCatch!$BO284:$BP284),"")</f>
        <v/>
      </c>
      <c r="N113" s="859" t="str">
        <f>IF($I113,$I113*TreatyCatch!BP284/SUM(TreatyCatch!$BL284:$BM284,TreatyCatch!$BO284:$BP284),"")</f>
        <v/>
      </c>
      <c r="O113" s="840" t="str">
        <f t="shared" si="53"/>
        <v/>
      </c>
      <c r="P113" s="765"/>
      <c r="Q113" s="852" t="str">
        <f>IF($P113,$P113*TreatyCatch!BR284/SUM(TreatyCatch!$BR284:$BS284,TreatyCatch!$BU284:$BV284),"")</f>
        <v/>
      </c>
      <c r="R113" s="853" t="str">
        <f>IF($P113,$P113*TreatyCatch!BS284/SUM(TreatyCatch!$BR284:$BS284,TreatyCatch!$BU284:$BV284),"")</f>
        <v/>
      </c>
      <c r="S113" s="846" t="str">
        <f t="shared" si="41"/>
        <v/>
      </c>
      <c r="T113" s="893" t="str">
        <f>IF($P113,$P113*TreatyCatch!BU284/SUM(TreatyCatch!$BR284:$BS284,TreatyCatch!$BU284:$BV284),"")</f>
        <v/>
      </c>
      <c r="U113" s="894" t="str">
        <f>IF($P113,$P113*TreatyCatch!BV284/SUM(TreatyCatch!$BR284:$BS284,TreatyCatch!$BU284:$BV284),"")</f>
        <v/>
      </c>
      <c r="V113" s="877" t="str">
        <f t="shared" si="54"/>
        <v/>
      </c>
      <c r="W113" s="958"/>
      <c r="X113" s="882" t="str">
        <f>IF($W113,$W113*TreatyCatch!BX284/SUM(TreatyCatch!$BX284:$BY284,TreatyCatch!$CA284:$CB284),"")</f>
        <v/>
      </c>
      <c r="Y113" s="883" t="str">
        <f>IF($W113,$W113*TreatyCatch!BY284/SUM(TreatyCatch!$BX284:$BY284,TreatyCatch!$CA284:$CB284),"")</f>
        <v/>
      </c>
      <c r="Z113" s="901" t="str">
        <f t="shared" si="42"/>
        <v/>
      </c>
      <c r="AA113" s="858" t="str">
        <f>IF($W113,$W113*TreatyCatch!CA284/SUM(TreatyCatch!$BX284:$BY284,TreatyCatch!$CA284:$CB284),"")</f>
        <v/>
      </c>
      <c r="AB113" s="859" t="str">
        <f>IF($W113,$W113*TreatyCatch!CB284/SUM(TreatyCatch!$BX284:$BY284,TreatyCatch!$CA284:$CB284),"")</f>
        <v/>
      </c>
      <c r="AC113" s="840" t="str">
        <f t="shared" si="55"/>
        <v/>
      </c>
      <c r="AD113" s="958"/>
      <c r="AE113" s="1071" t="str">
        <f>IF($AD113,$AD113*TreatyCatch!CD343/SUM(TreatyCatch!$CD343:$CE343,TreatyCatch!$CG343:$CH343),"")</f>
        <v/>
      </c>
      <c r="AF113" s="1072" t="str">
        <f>IF($AD113,$AD113*TreatyCatch!CE343/SUM(TreatyCatch!$CD343:$CE343,TreatyCatch!$CG343:$CH343),"")</f>
        <v/>
      </c>
      <c r="AG113" s="1073" t="str">
        <f t="shared" si="43"/>
        <v/>
      </c>
      <c r="AH113" s="1077" t="str">
        <f>IF($AD113,$AD113*TreatyCatch!CG343/SUM(TreatyCatch!$CD343:CE343,TreatyCatch!$CG343:$CH343),"")</f>
        <v/>
      </c>
      <c r="AI113" s="1078" t="str">
        <f>IF($AD113,$AD113*TreatyCatch!CH343/SUM(TreatyCatch!$CD343:CF343,TreatyCatch!$CG343:$CH343),"")</f>
        <v/>
      </c>
      <c r="AJ113" s="1080" t="str">
        <f t="shared" si="56"/>
        <v/>
      </c>
      <c r="AK113" s="958"/>
      <c r="AL113" s="882"/>
      <c r="AM113" s="883"/>
      <c r="AN113" s="901"/>
      <c r="AO113" s="858"/>
      <c r="AP113" s="859"/>
      <c r="AQ113" s="840"/>
      <c r="AR113" s="765"/>
      <c r="AS113" s="852"/>
      <c r="AT113" s="853"/>
      <c r="AU113" s="846"/>
      <c r="AV113" s="893"/>
      <c r="AW113" s="894"/>
      <c r="AX113" s="877"/>
      <c r="AY113" s="765"/>
      <c r="AZ113" s="882"/>
      <c r="BA113" s="883"/>
      <c r="BB113" s="901"/>
      <c r="BC113" s="858"/>
      <c r="BD113" s="859"/>
      <c r="BE113" s="840"/>
      <c r="BF113" s="765"/>
      <c r="BG113" s="852"/>
      <c r="BH113" s="853"/>
      <c r="BI113" s="846"/>
      <c r="BJ113" s="893"/>
      <c r="BK113" s="894"/>
      <c r="BL113" s="877"/>
      <c r="BM113" s="765"/>
      <c r="BN113" s="882"/>
      <c r="BO113" s="883"/>
      <c r="BP113" s="901"/>
      <c r="BQ113" s="858"/>
      <c r="BR113" s="859"/>
      <c r="BS113" s="840"/>
      <c r="BT113" s="765"/>
      <c r="BU113" s="852"/>
      <c r="BV113" s="853"/>
      <c r="BW113" s="846"/>
      <c r="BX113" s="893"/>
      <c r="BY113" s="894"/>
      <c r="BZ113" s="877"/>
      <c r="CA113" s="765"/>
      <c r="CB113" s="882"/>
      <c r="CC113" s="883"/>
      <c r="CD113" s="901"/>
      <c r="CE113" s="858"/>
      <c r="CF113" s="859"/>
      <c r="CG113" s="840"/>
      <c r="CH113" s="765"/>
      <c r="CI113" s="852"/>
      <c r="CJ113" s="853"/>
      <c r="CK113" s="846"/>
      <c r="CL113" s="893"/>
      <c r="CM113" s="894"/>
      <c r="CN113" s="877"/>
    </row>
    <row r="114" spans="1:92" x14ac:dyDescent="0.25">
      <c r="A114" s="757">
        <v>47</v>
      </c>
      <c r="B114" s="765"/>
      <c r="C114" s="844" t="str">
        <f>IF($B114,$B114*TreatyCatch!BF285/SUM(TreatyCatch!$BF285:$BG285,TreatyCatch!$BI285:$BJ285),"")</f>
        <v/>
      </c>
      <c r="D114" s="844" t="str">
        <f>IF($B114,$B114*TreatyCatch!BG285/SUM(TreatyCatch!$BF285:$BG285,TreatyCatch!$BI285:$BJ285),"")</f>
        <v/>
      </c>
      <c r="E114" s="846" t="str">
        <f t="shared" si="39"/>
        <v/>
      </c>
      <c r="F114" s="876" t="str">
        <f>IF($B114,$B114*TreatyCatch!BI285/SUM(TreatyCatch!$BF285:$BG285,TreatyCatch!$BI285:$BJ285),"")</f>
        <v/>
      </c>
      <c r="G114" s="889" t="str">
        <f>IF($B114,$B114*TreatyCatch!BJ285/SUM(TreatyCatch!$BF285:$BG285,TreatyCatch!$BI285:$BJ285),"")</f>
        <v/>
      </c>
      <c r="H114" s="877" t="str">
        <f t="shared" si="52"/>
        <v/>
      </c>
      <c r="I114" s="765"/>
      <c r="J114" s="882" t="str">
        <f>IF($I114,$I114*TreatyCatch!BL285/SUM(TreatyCatch!$BL285:$BM285,TreatyCatch!$BO285:$BP285),"")</f>
        <v/>
      </c>
      <c r="K114" s="883" t="str">
        <f>IF($I114,$I114*TreatyCatch!BM285/SUM(TreatyCatch!$BL285:$BM285,TreatyCatch!$BO285:$BP285),"")</f>
        <v/>
      </c>
      <c r="L114" s="871" t="str">
        <f t="shared" si="40"/>
        <v/>
      </c>
      <c r="M114" s="858" t="str">
        <f>IF($I114,$I114*TreatyCatch!BO285/SUM(TreatyCatch!$BL285:$BM285,TreatyCatch!$BO285:$BP285),"")</f>
        <v/>
      </c>
      <c r="N114" s="859" t="str">
        <f>IF($I114,$I114*TreatyCatch!BP285/SUM(TreatyCatch!$BL285:$BM285,TreatyCatch!$BO285:$BP285),"")</f>
        <v/>
      </c>
      <c r="O114" s="840" t="str">
        <f t="shared" si="53"/>
        <v/>
      </c>
      <c r="P114" s="765"/>
      <c r="Q114" s="852" t="str">
        <f>IF($P114,$P114*TreatyCatch!BR285/SUM(TreatyCatch!$BR285:$BS285,TreatyCatch!$BU285:$BV285),"")</f>
        <v/>
      </c>
      <c r="R114" s="853" t="str">
        <f>IF($P114,$P114*TreatyCatch!BS285/SUM(TreatyCatch!$BR285:$BS285,TreatyCatch!$BU285:$BV285),"")</f>
        <v/>
      </c>
      <c r="S114" s="846" t="str">
        <f t="shared" si="41"/>
        <v/>
      </c>
      <c r="T114" s="893" t="str">
        <f>IF($P114,$P114*TreatyCatch!BU285/SUM(TreatyCatch!$BR285:$BS285,TreatyCatch!$BU285:$BV285),"")</f>
        <v/>
      </c>
      <c r="U114" s="894" t="str">
        <f>IF($P114,$P114*TreatyCatch!BV285/SUM(TreatyCatch!$BR285:$BS285,TreatyCatch!$BU285:$BV285),"")</f>
        <v/>
      </c>
      <c r="V114" s="877" t="str">
        <f t="shared" si="54"/>
        <v/>
      </c>
      <c r="W114" s="958"/>
      <c r="X114" s="882" t="str">
        <f>IF($W114,$W114*TreatyCatch!BX285/SUM(TreatyCatch!$BX285:$BY285,TreatyCatch!$CA285:$CB285),"")</f>
        <v/>
      </c>
      <c r="Y114" s="883" t="str">
        <f>IF($W114,$W114*TreatyCatch!BY285/SUM(TreatyCatch!$BX285:$BY285,TreatyCatch!$CA285:$CB285),"")</f>
        <v/>
      </c>
      <c r="Z114" s="901" t="str">
        <f t="shared" si="42"/>
        <v/>
      </c>
      <c r="AA114" s="858" t="str">
        <f>IF($W114,$W114*TreatyCatch!CA285/SUM(TreatyCatch!$BX285:$BY285,TreatyCatch!$CA285:$CB285),"")</f>
        <v/>
      </c>
      <c r="AB114" s="859" t="str">
        <f>IF($W114,$W114*TreatyCatch!CB285/SUM(TreatyCatch!$BX285:$BY285,TreatyCatch!$CA285:$CB285),"")</f>
        <v/>
      </c>
      <c r="AC114" s="840" t="str">
        <f t="shared" si="55"/>
        <v/>
      </c>
      <c r="AD114" s="958"/>
      <c r="AE114" s="1071" t="str">
        <f>IF($AD114,$AD114*TreatyCatch!CD344/SUM(TreatyCatch!$CD344:$CE344,TreatyCatch!$CG344:$CH344),"")</f>
        <v/>
      </c>
      <c r="AF114" s="1072" t="str">
        <f>IF($AD114,$AD114*TreatyCatch!CE344/SUM(TreatyCatch!$CD344:$CE344,TreatyCatch!$CG344:$CH344),"")</f>
        <v/>
      </c>
      <c r="AG114" s="1073" t="str">
        <f t="shared" si="43"/>
        <v/>
      </c>
      <c r="AH114" s="1077" t="str">
        <f>IF($AD114,$AD114*TreatyCatch!CG344/SUM(TreatyCatch!$CD344:CE344,TreatyCatch!$CG344:$CH344),"")</f>
        <v/>
      </c>
      <c r="AI114" s="1078" t="str">
        <f>IF($AD114,$AD114*TreatyCatch!CH344/SUM(TreatyCatch!$CD344:CF344,TreatyCatch!$CG344:$CH344),"")</f>
        <v/>
      </c>
      <c r="AJ114" s="1080" t="str">
        <f t="shared" si="56"/>
        <v/>
      </c>
      <c r="AK114" s="958"/>
      <c r="AL114" s="882"/>
      <c r="AM114" s="883"/>
      <c r="AN114" s="901"/>
      <c r="AO114" s="858"/>
      <c r="AP114" s="859"/>
      <c r="AQ114" s="840"/>
      <c r="AR114" s="765"/>
      <c r="AS114" s="852"/>
      <c r="AT114" s="853"/>
      <c r="AU114" s="846"/>
      <c r="AV114" s="893"/>
      <c r="AW114" s="894"/>
      <c r="AX114" s="877"/>
      <c r="AY114" s="765"/>
      <c r="AZ114" s="882"/>
      <c r="BA114" s="883"/>
      <c r="BB114" s="901"/>
      <c r="BC114" s="858"/>
      <c r="BD114" s="859"/>
      <c r="BE114" s="840"/>
      <c r="BF114" s="765"/>
      <c r="BG114" s="852"/>
      <c r="BH114" s="853"/>
      <c r="BI114" s="846"/>
      <c r="BJ114" s="893"/>
      <c r="BK114" s="894"/>
      <c r="BL114" s="877"/>
      <c r="BM114" s="765"/>
      <c r="BN114" s="882"/>
      <c r="BO114" s="883"/>
      <c r="BP114" s="901"/>
      <c r="BQ114" s="858"/>
      <c r="BR114" s="859"/>
      <c r="BS114" s="840"/>
      <c r="BT114" s="765"/>
      <c r="BU114" s="852"/>
      <c r="BV114" s="853"/>
      <c r="BW114" s="846"/>
      <c r="BX114" s="893"/>
      <c r="BY114" s="894"/>
      <c r="BZ114" s="877"/>
      <c r="CA114" s="765"/>
      <c r="CB114" s="882"/>
      <c r="CC114" s="883"/>
      <c r="CD114" s="901"/>
      <c r="CE114" s="858"/>
      <c r="CF114" s="859"/>
      <c r="CG114" s="840"/>
      <c r="CH114" s="765"/>
      <c r="CI114" s="852"/>
      <c r="CJ114" s="853"/>
      <c r="CK114" s="846"/>
      <c r="CL114" s="893"/>
      <c r="CM114" s="894"/>
      <c r="CN114" s="877"/>
    </row>
    <row r="115" spans="1:92" x14ac:dyDescent="0.25">
      <c r="A115" s="757">
        <v>48</v>
      </c>
      <c r="B115" s="765"/>
      <c r="C115" s="844" t="str">
        <f>IF($B115,$B115*TreatyCatch!BF286/SUM(TreatyCatch!$BF286:$BG286,TreatyCatch!$BI286:$BJ286),"")</f>
        <v/>
      </c>
      <c r="D115" s="844" t="str">
        <f>IF($B115,$B115*TreatyCatch!BG286/SUM(TreatyCatch!$BF286:$BG286,TreatyCatch!$BI286:$BJ286),"")</f>
        <v/>
      </c>
      <c r="E115" s="846" t="str">
        <f t="shared" si="39"/>
        <v/>
      </c>
      <c r="F115" s="876" t="str">
        <f>IF($B115,$B115*TreatyCatch!BI286/SUM(TreatyCatch!$BF286:$BG286,TreatyCatch!$BI286:$BJ286),"")</f>
        <v/>
      </c>
      <c r="G115" s="889" t="str">
        <f>IF($B115,$B115*TreatyCatch!BJ286/SUM(TreatyCatch!$BF286:$BG286,TreatyCatch!$BI286:$BJ286),"")</f>
        <v/>
      </c>
      <c r="H115" s="877" t="str">
        <f t="shared" si="52"/>
        <v/>
      </c>
      <c r="I115" s="765"/>
      <c r="J115" s="882" t="str">
        <f>IF($I115,$I115*TreatyCatch!BL286/SUM(TreatyCatch!$BL286:$BM286,TreatyCatch!$BO286:$BP286),"")</f>
        <v/>
      </c>
      <c r="K115" s="883" t="str">
        <f>IF($I115,$I115*TreatyCatch!BM286/SUM(TreatyCatch!$BL286:$BM286,TreatyCatch!$BO286:$BP286),"")</f>
        <v/>
      </c>
      <c r="L115" s="871" t="str">
        <f t="shared" si="40"/>
        <v/>
      </c>
      <c r="M115" s="858" t="str">
        <f>IF($I115,$I115*TreatyCatch!BO286/SUM(TreatyCatch!$BL286:$BM286,TreatyCatch!$BO286:$BP286),"")</f>
        <v/>
      </c>
      <c r="N115" s="859" t="str">
        <f>IF($I115,$I115*TreatyCatch!BP286/SUM(TreatyCatch!$BL286:$BM286,TreatyCatch!$BO286:$BP286),"")</f>
        <v/>
      </c>
      <c r="O115" s="840" t="str">
        <f t="shared" si="53"/>
        <v/>
      </c>
      <c r="P115" s="765"/>
      <c r="Q115" s="852" t="str">
        <f>IF($P115,$P115*TreatyCatch!BR286/SUM(TreatyCatch!$BR286:$BS286,TreatyCatch!$BU286:$BV286),"")</f>
        <v/>
      </c>
      <c r="R115" s="853" t="str">
        <f>IF($P115,$P115*TreatyCatch!BS286/SUM(TreatyCatch!$BR286:$BS286,TreatyCatch!$BU286:$BV286),"")</f>
        <v/>
      </c>
      <c r="S115" s="846" t="str">
        <f t="shared" si="41"/>
        <v/>
      </c>
      <c r="T115" s="893" t="str">
        <f>IF($P115,$P115*TreatyCatch!BU286/SUM(TreatyCatch!$BR286:$BS286,TreatyCatch!$BU286:$BV286),"")</f>
        <v/>
      </c>
      <c r="U115" s="894" t="str">
        <f>IF($P115,$P115*TreatyCatch!BV286/SUM(TreatyCatch!$BR286:$BS286,TreatyCatch!$BU286:$BV286),"")</f>
        <v/>
      </c>
      <c r="V115" s="877" t="str">
        <f t="shared" si="54"/>
        <v/>
      </c>
      <c r="W115" s="958"/>
      <c r="X115" s="882" t="str">
        <f>IF($W115,$W115*TreatyCatch!BX286/SUM(TreatyCatch!$BX286:$BY286,TreatyCatch!$CA286:$CB286),"")</f>
        <v/>
      </c>
      <c r="Y115" s="883" t="str">
        <f>IF($W115,$W115*TreatyCatch!BY286/SUM(TreatyCatch!$BX286:$BY286,TreatyCatch!$CA286:$CB286),"")</f>
        <v/>
      </c>
      <c r="Z115" s="901" t="str">
        <f t="shared" si="42"/>
        <v/>
      </c>
      <c r="AA115" s="858" t="str">
        <f>IF($W115,$W115*TreatyCatch!CA286/SUM(TreatyCatch!$BX286:$BY286,TreatyCatch!$CA286:$CB286),"")</f>
        <v/>
      </c>
      <c r="AB115" s="859" t="str">
        <f>IF($W115,$W115*TreatyCatch!CB286/SUM(TreatyCatch!$BX286:$BY286,TreatyCatch!$CA286:$CB286),"")</f>
        <v/>
      </c>
      <c r="AC115" s="840" t="str">
        <f t="shared" si="55"/>
        <v/>
      </c>
      <c r="AD115" s="958"/>
      <c r="AE115" s="1071" t="str">
        <f>IF($AD115,$AD115*TreatyCatch!CD345/SUM(TreatyCatch!$CD345:$CE345,TreatyCatch!$CG345:$CH345),"")</f>
        <v/>
      </c>
      <c r="AF115" s="1072" t="str">
        <f>IF($AD115,$AD115*TreatyCatch!CE345/SUM(TreatyCatch!$CD345:$CE345,TreatyCatch!$CG345:$CH345),"")</f>
        <v/>
      </c>
      <c r="AG115" s="1073" t="str">
        <f t="shared" si="43"/>
        <v/>
      </c>
      <c r="AH115" s="1077" t="str">
        <f>IF($AD115,$AD115*TreatyCatch!CG345/SUM(TreatyCatch!$CD345:CE345,TreatyCatch!$CG345:$CH345),"")</f>
        <v/>
      </c>
      <c r="AI115" s="1078" t="str">
        <f>IF($AD115,$AD115*TreatyCatch!CH345/SUM(TreatyCatch!$CD345:CF345,TreatyCatch!$CG345:$CH345),"")</f>
        <v/>
      </c>
      <c r="AJ115" s="1080" t="str">
        <f t="shared" si="56"/>
        <v/>
      </c>
      <c r="AK115" s="958"/>
      <c r="AL115" s="882"/>
      <c r="AM115" s="883"/>
      <c r="AN115" s="901"/>
      <c r="AO115" s="858"/>
      <c r="AP115" s="859"/>
      <c r="AQ115" s="840"/>
      <c r="AR115" s="765"/>
      <c r="AS115" s="852"/>
      <c r="AT115" s="853"/>
      <c r="AU115" s="846"/>
      <c r="AV115" s="893"/>
      <c r="AW115" s="894"/>
      <c r="AX115" s="877"/>
      <c r="AY115" s="765"/>
      <c r="AZ115" s="882"/>
      <c r="BA115" s="883"/>
      <c r="BB115" s="901"/>
      <c r="BC115" s="858"/>
      <c r="BD115" s="859"/>
      <c r="BE115" s="840"/>
      <c r="BF115" s="765"/>
      <c r="BG115" s="852"/>
      <c r="BH115" s="853"/>
      <c r="BI115" s="846"/>
      <c r="BJ115" s="893"/>
      <c r="BK115" s="894"/>
      <c r="BL115" s="877"/>
      <c r="BM115" s="765"/>
      <c r="BN115" s="882"/>
      <c r="BO115" s="883"/>
      <c r="BP115" s="901"/>
      <c r="BQ115" s="858"/>
      <c r="BR115" s="859"/>
      <c r="BS115" s="840"/>
      <c r="BT115" s="765"/>
      <c r="BU115" s="852"/>
      <c r="BV115" s="853"/>
      <c r="BW115" s="846"/>
      <c r="BX115" s="893"/>
      <c r="BY115" s="894"/>
      <c r="BZ115" s="877"/>
      <c r="CA115" s="765"/>
      <c r="CB115" s="882"/>
      <c r="CC115" s="883"/>
      <c r="CD115" s="901"/>
      <c r="CE115" s="858"/>
      <c r="CF115" s="859"/>
      <c r="CG115" s="840"/>
      <c r="CH115" s="765"/>
      <c r="CI115" s="852"/>
      <c r="CJ115" s="853"/>
      <c r="CK115" s="846"/>
      <c r="CL115" s="893"/>
      <c r="CM115" s="894"/>
      <c r="CN115" s="877"/>
    </row>
    <row r="116" spans="1:92" x14ac:dyDescent="0.25">
      <c r="A116" s="757">
        <v>49</v>
      </c>
      <c r="B116" s="765"/>
      <c r="C116" s="844" t="str">
        <f>IF($B116,$B116*TreatyCatch!BF287/SUM(TreatyCatch!$BF287:$BG287,TreatyCatch!$BI287:$BJ287),"")</f>
        <v/>
      </c>
      <c r="D116" s="844" t="str">
        <f>IF($B116,$B116*TreatyCatch!BG287/SUM(TreatyCatch!$BF287:$BG287,TreatyCatch!$BI287:$BJ287),"")</f>
        <v/>
      </c>
      <c r="E116" s="846" t="str">
        <f t="shared" si="39"/>
        <v/>
      </c>
      <c r="F116" s="876" t="str">
        <f>IF($B116,$B116*TreatyCatch!BI287/SUM(TreatyCatch!$BF287:$BG287,TreatyCatch!$BI287:$BJ287),"")</f>
        <v/>
      </c>
      <c r="G116" s="889" t="str">
        <f>IF($B116,$B116*TreatyCatch!BJ287/SUM(TreatyCatch!$BF287:$BG287,TreatyCatch!$BI287:$BJ287),"")</f>
        <v/>
      </c>
      <c r="H116" s="877" t="str">
        <f t="shared" si="52"/>
        <v/>
      </c>
      <c r="I116" s="765"/>
      <c r="J116" s="882" t="str">
        <f>IF($I116,$I116*TreatyCatch!BL287/SUM(TreatyCatch!$BL287:$BM287,TreatyCatch!$BO287:$BP287),"")</f>
        <v/>
      </c>
      <c r="K116" s="883" t="str">
        <f>IF($I116,$I116*TreatyCatch!BM287/SUM(TreatyCatch!$BL287:$BM287,TreatyCatch!$BO287:$BP287),"")</f>
        <v/>
      </c>
      <c r="L116" s="871" t="str">
        <f t="shared" si="40"/>
        <v/>
      </c>
      <c r="M116" s="858" t="str">
        <f>IF($I116,$I116*TreatyCatch!BO287/SUM(TreatyCatch!$BL287:$BM287,TreatyCatch!$BO287:$BP287),"")</f>
        <v/>
      </c>
      <c r="N116" s="859" t="str">
        <f>IF($I116,$I116*TreatyCatch!BP287/SUM(TreatyCatch!$BL287:$BM287,TreatyCatch!$BO287:$BP287),"")</f>
        <v/>
      </c>
      <c r="O116" s="840" t="str">
        <f t="shared" si="53"/>
        <v/>
      </c>
      <c r="P116" s="765"/>
      <c r="Q116" s="852" t="str">
        <f>IF($P116,$P116*TreatyCatch!BR287/SUM(TreatyCatch!$BR287:$BS287,TreatyCatch!$BU287:$BV287),"")</f>
        <v/>
      </c>
      <c r="R116" s="853" t="str">
        <f>IF($P116,$P116*TreatyCatch!BS287/SUM(TreatyCatch!$BR287:$BS287,TreatyCatch!$BU287:$BV287),"")</f>
        <v/>
      </c>
      <c r="S116" s="846" t="str">
        <f t="shared" si="41"/>
        <v/>
      </c>
      <c r="T116" s="893" t="str">
        <f>IF($P116,$P116*TreatyCatch!BU287/SUM(TreatyCatch!$BR287:$BS287,TreatyCatch!$BU287:$BV287),"")</f>
        <v/>
      </c>
      <c r="U116" s="894" t="str">
        <f>IF($P116,$P116*TreatyCatch!BV287/SUM(TreatyCatch!$BR287:$BS287,TreatyCatch!$BU287:$BV287),"")</f>
        <v/>
      </c>
      <c r="V116" s="877" t="str">
        <f t="shared" si="54"/>
        <v/>
      </c>
      <c r="W116" s="958"/>
      <c r="X116" s="882" t="str">
        <f>IF($W116,$W116*TreatyCatch!BX287/SUM(TreatyCatch!$BX287:$BY287,TreatyCatch!$CA287:$CB287),"")</f>
        <v/>
      </c>
      <c r="Y116" s="883" t="str">
        <f>IF($W116,$W116*TreatyCatch!BY287/SUM(TreatyCatch!$BX287:$BY287,TreatyCatch!$CA287:$CB287),"")</f>
        <v/>
      </c>
      <c r="Z116" s="901" t="str">
        <f t="shared" si="42"/>
        <v/>
      </c>
      <c r="AA116" s="858" t="str">
        <f>IF($W116,$W116*TreatyCatch!CA287/SUM(TreatyCatch!$BX287:$BY287,TreatyCatch!$CA287:$CB287),"")</f>
        <v/>
      </c>
      <c r="AB116" s="859" t="str">
        <f>IF($W116,$W116*TreatyCatch!CB287/SUM(TreatyCatch!$BX287:$BY287,TreatyCatch!$CA287:$CB287),"")</f>
        <v/>
      </c>
      <c r="AC116" s="840" t="str">
        <f t="shared" si="55"/>
        <v/>
      </c>
      <c r="AD116" s="958"/>
      <c r="AE116" s="1071" t="str">
        <f>IF($AD116,$AD116*TreatyCatch!CD346/SUM(TreatyCatch!$CD346:$CE346,TreatyCatch!$CG346:$CH346),"")</f>
        <v/>
      </c>
      <c r="AF116" s="1072" t="str">
        <f>IF($AD116,$AD116*TreatyCatch!CE346/SUM(TreatyCatch!$CD346:$CE346,TreatyCatch!$CG346:$CH346),"")</f>
        <v/>
      </c>
      <c r="AG116" s="1073" t="str">
        <f t="shared" si="43"/>
        <v/>
      </c>
      <c r="AH116" s="1077" t="str">
        <f>IF($AD116,$AD116*TreatyCatch!CG346/SUM(TreatyCatch!$CD346:CE346,TreatyCatch!$CG346:$CH346),"")</f>
        <v/>
      </c>
      <c r="AI116" s="1078" t="str">
        <f>IF($AD116,$AD116*TreatyCatch!CH346/SUM(TreatyCatch!$CD346:CF346,TreatyCatch!$CG346:$CH346),"")</f>
        <v/>
      </c>
      <c r="AJ116" s="1080" t="str">
        <f t="shared" si="56"/>
        <v/>
      </c>
      <c r="AK116" s="958"/>
      <c r="AL116" s="882"/>
      <c r="AM116" s="883"/>
      <c r="AN116" s="901"/>
      <c r="AO116" s="858"/>
      <c r="AP116" s="859"/>
      <c r="AQ116" s="840"/>
      <c r="AR116" s="765"/>
      <c r="AS116" s="852"/>
      <c r="AT116" s="853"/>
      <c r="AU116" s="846"/>
      <c r="AV116" s="893"/>
      <c r="AW116" s="894"/>
      <c r="AX116" s="877"/>
      <c r="AY116" s="765"/>
      <c r="AZ116" s="882"/>
      <c r="BA116" s="883"/>
      <c r="BB116" s="901"/>
      <c r="BC116" s="858"/>
      <c r="BD116" s="859"/>
      <c r="BE116" s="840"/>
      <c r="BF116" s="765"/>
      <c r="BG116" s="852"/>
      <c r="BH116" s="853"/>
      <c r="BI116" s="846"/>
      <c r="BJ116" s="893"/>
      <c r="BK116" s="894"/>
      <c r="BL116" s="877"/>
      <c r="BM116" s="765"/>
      <c r="BN116" s="882"/>
      <c r="BO116" s="883"/>
      <c r="BP116" s="901"/>
      <c r="BQ116" s="858"/>
      <c r="BR116" s="859"/>
      <c r="BS116" s="840"/>
      <c r="BT116" s="765"/>
      <c r="BU116" s="852"/>
      <c r="BV116" s="853"/>
      <c r="BW116" s="846"/>
      <c r="BX116" s="893"/>
      <c r="BY116" s="894"/>
      <c r="BZ116" s="877"/>
      <c r="CA116" s="765"/>
      <c r="CB116" s="882"/>
      <c r="CC116" s="883"/>
      <c r="CD116" s="901"/>
      <c r="CE116" s="858"/>
      <c r="CF116" s="859"/>
      <c r="CG116" s="840"/>
      <c r="CH116" s="765"/>
      <c r="CI116" s="852"/>
      <c r="CJ116" s="853"/>
      <c r="CK116" s="846"/>
      <c r="CL116" s="893"/>
      <c r="CM116" s="894"/>
      <c r="CN116" s="877"/>
    </row>
    <row r="117" spans="1:92" x14ac:dyDescent="0.25">
      <c r="A117" s="757">
        <v>50</v>
      </c>
      <c r="B117" s="765"/>
      <c r="C117" s="844" t="str">
        <f>IF($B117,$B117*TreatyCatch!BF288/SUM(TreatyCatch!$BF288:$BG288,TreatyCatch!$BI288:$BJ288),"")</f>
        <v/>
      </c>
      <c r="D117" s="844" t="str">
        <f>IF($B117,$B117*TreatyCatch!BG288/SUM(TreatyCatch!$BF288:$BG288,TreatyCatch!$BI288:$BJ288),"")</f>
        <v/>
      </c>
      <c r="E117" s="846" t="str">
        <f t="shared" si="39"/>
        <v/>
      </c>
      <c r="F117" s="876" t="str">
        <f>IF($B117,$B117*TreatyCatch!BI288/SUM(TreatyCatch!$BF288:$BG288,TreatyCatch!$BI288:$BJ288),"")</f>
        <v/>
      </c>
      <c r="G117" s="889" t="str">
        <f>IF($B117,$B117*TreatyCatch!BJ288/SUM(TreatyCatch!$BF288:$BG288,TreatyCatch!$BI288:$BJ288),"")</f>
        <v/>
      </c>
      <c r="H117" s="877" t="str">
        <f t="shared" si="52"/>
        <v/>
      </c>
      <c r="I117" s="765"/>
      <c r="J117" s="882" t="str">
        <f>IF($I117,$I117*TreatyCatch!BL288/SUM(TreatyCatch!$BL288:$BM288,TreatyCatch!$BO288:$BP288),"")</f>
        <v/>
      </c>
      <c r="K117" s="883" t="str">
        <f>IF($I117,$I117*TreatyCatch!BM288/SUM(TreatyCatch!$BL288:$BM288,TreatyCatch!$BO288:$BP288),"")</f>
        <v/>
      </c>
      <c r="L117" s="871" t="str">
        <f t="shared" si="40"/>
        <v/>
      </c>
      <c r="M117" s="858" t="str">
        <f>IF($I117,$I117*TreatyCatch!BO288/SUM(TreatyCatch!$BL288:$BM288,TreatyCatch!$BO288:$BP288),"")</f>
        <v/>
      </c>
      <c r="N117" s="859" t="str">
        <f>IF($I117,$I117*TreatyCatch!BP288/SUM(TreatyCatch!$BL288:$BM288,TreatyCatch!$BO288:$BP288),"")</f>
        <v/>
      </c>
      <c r="O117" s="840" t="str">
        <f t="shared" si="53"/>
        <v/>
      </c>
      <c r="P117" s="765"/>
      <c r="Q117" s="852" t="str">
        <f>IF($P117,$P117*TreatyCatch!BR288/SUM(TreatyCatch!$BR288:$BS288,TreatyCatch!$BU288:$BV288),"")</f>
        <v/>
      </c>
      <c r="R117" s="853" t="str">
        <f>IF($P117,$P117*TreatyCatch!BS288/SUM(TreatyCatch!$BR288:$BS288,TreatyCatch!$BU288:$BV288),"")</f>
        <v/>
      </c>
      <c r="S117" s="846" t="str">
        <f t="shared" si="41"/>
        <v/>
      </c>
      <c r="T117" s="893" t="str">
        <f>IF($P117,$P117*TreatyCatch!BU288/SUM(TreatyCatch!$BR288:$BS288,TreatyCatch!$BU288:$BV288),"")</f>
        <v/>
      </c>
      <c r="U117" s="894" t="str">
        <f>IF($P117,$P117*TreatyCatch!BV288/SUM(TreatyCatch!$BR288:$BS288,TreatyCatch!$BU288:$BV288),"")</f>
        <v/>
      </c>
      <c r="V117" s="877" t="str">
        <f t="shared" si="54"/>
        <v/>
      </c>
      <c r="W117" s="958"/>
      <c r="X117" s="882" t="str">
        <f>IF($W117,$W117*TreatyCatch!BX288/SUM(TreatyCatch!$BX288:$BY288,TreatyCatch!$CA288:$CB288),"")</f>
        <v/>
      </c>
      <c r="Y117" s="883" t="str">
        <f>IF($W117,$W117*TreatyCatch!BY288/SUM(TreatyCatch!$BX288:$BY288,TreatyCatch!$CA288:$CB288),"")</f>
        <v/>
      </c>
      <c r="Z117" s="901" t="str">
        <f t="shared" si="42"/>
        <v/>
      </c>
      <c r="AA117" s="858" t="str">
        <f>IF($W117,$W117*TreatyCatch!CA288/SUM(TreatyCatch!$BX288:$BY288,TreatyCatch!$CA288:$CB288),"")</f>
        <v/>
      </c>
      <c r="AB117" s="859" t="str">
        <f>IF($W117,$W117*TreatyCatch!CB288/SUM(TreatyCatch!$BX288:$BY288,TreatyCatch!$CA288:$CB288),"")</f>
        <v/>
      </c>
      <c r="AC117" s="840" t="str">
        <f t="shared" si="55"/>
        <v/>
      </c>
      <c r="AD117" s="958"/>
      <c r="AE117" s="1071" t="str">
        <f>IF($AD117,$AD117*TreatyCatch!CD347/SUM(TreatyCatch!$CD347:$CE347,TreatyCatch!$CG347:$CH347),"")</f>
        <v/>
      </c>
      <c r="AF117" s="1072" t="str">
        <f>IF($AD117,$AD117*TreatyCatch!CE347/SUM(TreatyCatch!$CD347:$CE347,TreatyCatch!$CG347:$CH347),"")</f>
        <v/>
      </c>
      <c r="AG117" s="1073" t="str">
        <f t="shared" si="43"/>
        <v/>
      </c>
      <c r="AH117" s="1077" t="str">
        <f>IF($AD117,$AD117*TreatyCatch!CG347/SUM(TreatyCatch!$CD347:CE347,TreatyCatch!$CG347:$CH347),"")</f>
        <v/>
      </c>
      <c r="AI117" s="1078" t="str">
        <f>IF($AD117,$AD117*TreatyCatch!CH347/SUM(TreatyCatch!$CD347:CF347,TreatyCatch!$CG347:$CH347),"")</f>
        <v/>
      </c>
      <c r="AJ117" s="1080" t="str">
        <f t="shared" si="56"/>
        <v/>
      </c>
      <c r="AK117" s="958"/>
      <c r="AL117" s="882"/>
      <c r="AM117" s="883"/>
      <c r="AN117" s="901"/>
      <c r="AO117" s="858"/>
      <c r="AP117" s="859"/>
      <c r="AQ117" s="840"/>
      <c r="AR117" s="765"/>
      <c r="AS117" s="852"/>
      <c r="AT117" s="853"/>
      <c r="AU117" s="846"/>
      <c r="AV117" s="893"/>
      <c r="AW117" s="894"/>
      <c r="AX117" s="877"/>
      <c r="AY117" s="765"/>
      <c r="AZ117" s="882"/>
      <c r="BA117" s="883"/>
      <c r="BB117" s="901"/>
      <c r="BC117" s="858"/>
      <c r="BD117" s="859"/>
      <c r="BE117" s="840"/>
      <c r="BF117" s="765"/>
      <c r="BG117" s="852"/>
      <c r="BH117" s="853"/>
      <c r="BI117" s="846"/>
      <c r="BJ117" s="893"/>
      <c r="BK117" s="894"/>
      <c r="BL117" s="877"/>
      <c r="BM117" s="765"/>
      <c r="BN117" s="882"/>
      <c r="BO117" s="883"/>
      <c r="BP117" s="901"/>
      <c r="BQ117" s="858"/>
      <c r="BR117" s="859"/>
      <c r="BS117" s="840"/>
      <c r="BT117" s="765"/>
      <c r="BU117" s="852"/>
      <c r="BV117" s="853"/>
      <c r="BW117" s="846"/>
      <c r="BX117" s="893"/>
      <c r="BY117" s="894"/>
      <c r="BZ117" s="877"/>
      <c r="CA117" s="765"/>
      <c r="CB117" s="882"/>
      <c r="CC117" s="883"/>
      <c r="CD117" s="901"/>
      <c r="CE117" s="858"/>
      <c r="CF117" s="859"/>
      <c r="CG117" s="840"/>
      <c r="CH117" s="765"/>
      <c r="CI117" s="852"/>
      <c r="CJ117" s="853"/>
      <c r="CK117" s="846"/>
      <c r="CL117" s="893"/>
      <c r="CM117" s="894"/>
      <c r="CN117" s="877"/>
    </row>
    <row r="118" spans="1:92" x14ac:dyDescent="0.25">
      <c r="A118" s="757">
        <v>51</v>
      </c>
      <c r="B118" s="765"/>
      <c r="C118" s="844" t="str">
        <f>IF($B118,$B118*TreatyCatch!BF289/SUM(TreatyCatch!$BF289:$BG289,TreatyCatch!$BI289:$BJ289),"")</f>
        <v/>
      </c>
      <c r="D118" s="844" t="str">
        <f>IF($B118,$B118*TreatyCatch!BG289/SUM(TreatyCatch!$BF289:$BG289,TreatyCatch!$BI289:$BJ289),"")</f>
        <v/>
      </c>
      <c r="E118" s="846" t="str">
        <f t="shared" si="39"/>
        <v/>
      </c>
      <c r="F118" s="876" t="str">
        <f>IF($B118,$B118*TreatyCatch!BI289/SUM(TreatyCatch!$BF289:$BG289,TreatyCatch!$BI289:$BJ289),"")</f>
        <v/>
      </c>
      <c r="G118" s="889" t="str">
        <f>IF($B118,$B118*TreatyCatch!BJ289/SUM(TreatyCatch!$BF289:$BG289,TreatyCatch!$BI289:$BJ289),"")</f>
        <v/>
      </c>
      <c r="H118" s="877" t="str">
        <f t="shared" si="52"/>
        <v/>
      </c>
      <c r="I118" s="765"/>
      <c r="J118" s="882" t="str">
        <f>IF($I118,$I118*TreatyCatch!BL289/SUM(TreatyCatch!$BL289:$BM289,TreatyCatch!$BO289:$BP289),"")</f>
        <v/>
      </c>
      <c r="K118" s="883" t="str">
        <f>IF($I118,$I118*TreatyCatch!BM289/SUM(TreatyCatch!$BL289:$BM289,TreatyCatch!$BO289:$BP289),"")</f>
        <v/>
      </c>
      <c r="L118" s="871" t="str">
        <f t="shared" si="40"/>
        <v/>
      </c>
      <c r="M118" s="858" t="str">
        <f>IF($I118,$I118*TreatyCatch!BO289/SUM(TreatyCatch!$BL289:$BM289,TreatyCatch!$BO289:$BP289),"")</f>
        <v/>
      </c>
      <c r="N118" s="859" t="str">
        <f>IF($I118,$I118*TreatyCatch!BP289/SUM(TreatyCatch!$BL289:$BM289,TreatyCatch!$BO289:$BP289),"")</f>
        <v/>
      </c>
      <c r="O118" s="840" t="str">
        <f t="shared" si="53"/>
        <v/>
      </c>
      <c r="P118" s="765"/>
      <c r="Q118" s="852" t="str">
        <f>IF($P118,$P118*TreatyCatch!BR289/SUM(TreatyCatch!$BR289:$BS289,TreatyCatch!$BU289:$BV289),"")</f>
        <v/>
      </c>
      <c r="R118" s="853" t="str">
        <f>IF($P118,$P118*TreatyCatch!BS289/SUM(TreatyCatch!$BR289:$BS289,TreatyCatch!$BU289:$BV289),"")</f>
        <v/>
      </c>
      <c r="S118" s="846" t="str">
        <f t="shared" si="41"/>
        <v/>
      </c>
      <c r="T118" s="893" t="str">
        <f>IF($P118,$P118*TreatyCatch!BU289/SUM(TreatyCatch!$BR289:$BS289,TreatyCatch!$BU289:$BV289),"")</f>
        <v/>
      </c>
      <c r="U118" s="894" t="str">
        <f>IF($P118,$P118*TreatyCatch!BV289/SUM(TreatyCatch!$BR289:$BS289,TreatyCatch!$BU289:$BV289),"")</f>
        <v/>
      </c>
      <c r="V118" s="877" t="str">
        <f t="shared" si="54"/>
        <v/>
      </c>
      <c r="W118" s="958"/>
      <c r="X118" s="882" t="str">
        <f>IF($W118,$W118*TreatyCatch!BX289/SUM(TreatyCatch!$BX289:$BY289,TreatyCatch!$CA289:$CB289),"")</f>
        <v/>
      </c>
      <c r="Y118" s="883" t="str">
        <f>IF($W118,$W118*TreatyCatch!BY289/SUM(TreatyCatch!$BX289:$BY289,TreatyCatch!$CA289:$CB289),"")</f>
        <v/>
      </c>
      <c r="Z118" s="901" t="str">
        <f t="shared" si="42"/>
        <v/>
      </c>
      <c r="AA118" s="858" t="str">
        <f>IF($W118,$W118*TreatyCatch!CA289/SUM(TreatyCatch!$BX289:$BY289,TreatyCatch!$CA289:$CB289),"")</f>
        <v/>
      </c>
      <c r="AB118" s="859" t="str">
        <f>IF($W118,$W118*TreatyCatch!CB289/SUM(TreatyCatch!$BX289:$BY289,TreatyCatch!$CA289:$CB289),"")</f>
        <v/>
      </c>
      <c r="AC118" s="840" t="str">
        <f t="shared" si="55"/>
        <v/>
      </c>
      <c r="AD118" s="958"/>
      <c r="AE118" s="1071" t="str">
        <f>IF($AD118,$AD118*TreatyCatch!CD348/SUM(TreatyCatch!$CD348:$CE348,TreatyCatch!$CG348:$CH348),"")</f>
        <v/>
      </c>
      <c r="AF118" s="1072" t="str">
        <f>IF($AD118,$AD118*TreatyCatch!CE348/SUM(TreatyCatch!$CD348:$CE348,TreatyCatch!$CG348:$CH348),"")</f>
        <v/>
      </c>
      <c r="AG118" s="1073" t="str">
        <f t="shared" si="43"/>
        <v/>
      </c>
      <c r="AH118" s="1077" t="str">
        <f>IF($AD118,$AD118*TreatyCatch!CG348/SUM(TreatyCatch!$CD348:CE348,TreatyCatch!$CG348:$CH348),"")</f>
        <v/>
      </c>
      <c r="AI118" s="1078" t="str">
        <f>IF($AD118,$AD118*TreatyCatch!CH348/SUM(TreatyCatch!$CD348:CF348,TreatyCatch!$CG348:$CH348),"")</f>
        <v/>
      </c>
      <c r="AJ118" s="1080" t="str">
        <f t="shared" si="56"/>
        <v/>
      </c>
      <c r="AK118" s="958"/>
      <c r="AL118" s="882"/>
      <c r="AM118" s="883"/>
      <c r="AN118" s="901"/>
      <c r="AO118" s="858"/>
      <c r="AP118" s="859"/>
      <c r="AQ118" s="840"/>
      <c r="AR118" s="765"/>
      <c r="AS118" s="852"/>
      <c r="AT118" s="853"/>
      <c r="AU118" s="846"/>
      <c r="AV118" s="893"/>
      <c r="AW118" s="894"/>
      <c r="AX118" s="877"/>
      <c r="AY118" s="765"/>
      <c r="AZ118" s="882"/>
      <c r="BA118" s="883"/>
      <c r="BB118" s="901"/>
      <c r="BC118" s="858"/>
      <c r="BD118" s="859"/>
      <c r="BE118" s="840"/>
      <c r="BF118" s="765"/>
      <c r="BG118" s="852"/>
      <c r="BH118" s="853"/>
      <c r="BI118" s="846"/>
      <c r="BJ118" s="893"/>
      <c r="BK118" s="894"/>
      <c r="BL118" s="877"/>
      <c r="BM118" s="765"/>
      <c r="BN118" s="882"/>
      <c r="BO118" s="883"/>
      <c r="BP118" s="901"/>
      <c r="BQ118" s="858"/>
      <c r="BR118" s="859"/>
      <c r="BS118" s="840"/>
      <c r="BT118" s="765"/>
      <c r="BU118" s="852"/>
      <c r="BV118" s="853"/>
      <c r="BW118" s="846"/>
      <c r="BX118" s="893"/>
      <c r="BY118" s="894"/>
      <c r="BZ118" s="877"/>
      <c r="CA118" s="765"/>
      <c r="CB118" s="882"/>
      <c r="CC118" s="883"/>
      <c r="CD118" s="901"/>
      <c r="CE118" s="858"/>
      <c r="CF118" s="859"/>
      <c r="CG118" s="840"/>
      <c r="CH118" s="765"/>
      <c r="CI118" s="852"/>
      <c r="CJ118" s="853"/>
      <c r="CK118" s="846"/>
      <c r="CL118" s="893"/>
      <c r="CM118" s="894"/>
      <c r="CN118" s="877"/>
    </row>
    <row r="119" spans="1:92" x14ac:dyDescent="0.25">
      <c r="A119" s="757">
        <v>52</v>
      </c>
      <c r="B119" s="765"/>
      <c r="C119" s="844" t="str">
        <f>IF($B119,$B119*TreatyCatch!BF290/SUM(TreatyCatch!$BF290:$BG290,TreatyCatch!$BI290:$BJ290),"")</f>
        <v/>
      </c>
      <c r="D119" s="844" t="str">
        <f>IF($B119,$B119*TreatyCatch!BG290/SUM(TreatyCatch!$BF290:$BG290,TreatyCatch!$BI290:$BJ290),"")</f>
        <v/>
      </c>
      <c r="E119" s="846" t="str">
        <f t="shared" si="39"/>
        <v/>
      </c>
      <c r="F119" s="876" t="str">
        <f>IF($B119,$B119*TreatyCatch!BI290/SUM(TreatyCatch!$BF290:$BG290,TreatyCatch!$BI290:$BJ290),"")</f>
        <v/>
      </c>
      <c r="G119" s="889" t="str">
        <f>IF($B119,$B119*TreatyCatch!BJ290/SUM(TreatyCatch!$BF290:$BG290,TreatyCatch!$BI290:$BJ290),"")</f>
        <v/>
      </c>
      <c r="H119" s="877" t="str">
        <f t="shared" si="52"/>
        <v/>
      </c>
      <c r="I119" s="765"/>
      <c r="J119" s="882" t="str">
        <f>IF($I119,$I119*TreatyCatch!BL290/SUM(TreatyCatch!$BL290:$BM290,TreatyCatch!$BO290:$BP290),"")</f>
        <v/>
      </c>
      <c r="K119" s="883" t="str">
        <f>IF($I119,$I119*TreatyCatch!BM290/SUM(TreatyCatch!$BL290:$BM290,TreatyCatch!$BO290:$BP290),"")</f>
        <v/>
      </c>
      <c r="L119" s="871" t="str">
        <f t="shared" si="40"/>
        <v/>
      </c>
      <c r="M119" s="858" t="str">
        <f>IF($I119,$I119*TreatyCatch!BO290/SUM(TreatyCatch!$BL290:$BM290,TreatyCatch!$BO290:$BP290),"")</f>
        <v/>
      </c>
      <c r="N119" s="859" t="str">
        <f>IF($I119,$I119*TreatyCatch!BP290/SUM(TreatyCatch!$BL290:$BM290,TreatyCatch!$BO290:$BP290),"")</f>
        <v/>
      </c>
      <c r="O119" s="840" t="str">
        <f t="shared" si="53"/>
        <v/>
      </c>
      <c r="P119" s="765"/>
      <c r="Q119" s="852" t="str">
        <f>IF($P119,$P119*TreatyCatch!BR290/SUM(TreatyCatch!$BR290:$BS290,TreatyCatch!$BU290:$BV290),"")</f>
        <v/>
      </c>
      <c r="R119" s="853" t="str">
        <f>IF($P119,$P119*TreatyCatch!BS290/SUM(TreatyCatch!$BR290:$BS290,TreatyCatch!$BU290:$BV290),"")</f>
        <v/>
      </c>
      <c r="S119" s="846" t="str">
        <f t="shared" si="41"/>
        <v/>
      </c>
      <c r="T119" s="893" t="str">
        <f>IF($P119,$P119*TreatyCatch!BU290/SUM(TreatyCatch!$BR290:$BS290,TreatyCatch!$BU290:$BV290),"")</f>
        <v/>
      </c>
      <c r="U119" s="894" t="str">
        <f>IF($P119,$P119*TreatyCatch!BV290/SUM(TreatyCatch!$BR290:$BS290,TreatyCatch!$BU290:$BV290),"")</f>
        <v/>
      </c>
      <c r="V119" s="877" t="str">
        <f t="shared" si="54"/>
        <v/>
      </c>
      <c r="W119" s="958"/>
      <c r="X119" s="882" t="str">
        <f>IF($W119,$W119*TreatyCatch!BX290/SUM(TreatyCatch!$BX290:$BY290,TreatyCatch!$CA290:$CB290),"")</f>
        <v/>
      </c>
      <c r="Y119" s="883" t="str">
        <f>IF($W119,$W119*TreatyCatch!BY290/SUM(TreatyCatch!$BX290:$BY290,TreatyCatch!$CA290:$CB290),"")</f>
        <v/>
      </c>
      <c r="Z119" s="901" t="str">
        <f t="shared" si="42"/>
        <v/>
      </c>
      <c r="AA119" s="858" t="str">
        <f>IF($W119,$W119*TreatyCatch!CA290/SUM(TreatyCatch!$BX290:$BY290,TreatyCatch!$CA290:$CB290),"")</f>
        <v/>
      </c>
      <c r="AB119" s="859" t="str">
        <f>IF($W119,$W119*TreatyCatch!CB290/SUM(TreatyCatch!$BX290:$BY290,TreatyCatch!$CA290:$CB290),"")</f>
        <v/>
      </c>
      <c r="AC119" s="840" t="str">
        <f t="shared" si="55"/>
        <v/>
      </c>
      <c r="AD119" s="958"/>
      <c r="AE119" s="1071" t="str">
        <f>IF($AD119,$AD119*TreatyCatch!CD349/SUM(TreatyCatch!$CD349:$CE349,TreatyCatch!$CG349:$CH349),"")</f>
        <v/>
      </c>
      <c r="AF119" s="1072" t="str">
        <f>IF($AD119,$AD119*TreatyCatch!CE349/SUM(TreatyCatch!$CD349:$CE349,TreatyCatch!$CG349:$CH349),"")</f>
        <v/>
      </c>
      <c r="AG119" s="1073" t="str">
        <f t="shared" si="43"/>
        <v/>
      </c>
      <c r="AH119" s="1077" t="str">
        <f>IF($AD119,$AD119*TreatyCatch!CG349/SUM(TreatyCatch!$CD349:CE349,TreatyCatch!$CG349:$CH349),"")</f>
        <v/>
      </c>
      <c r="AI119" s="1078" t="str">
        <f>IF($AD119,$AD119*TreatyCatch!CH349/SUM(TreatyCatch!$CD349:CF349,TreatyCatch!$CG349:$CH349),"")</f>
        <v/>
      </c>
      <c r="AJ119" s="1080" t="str">
        <f t="shared" si="56"/>
        <v/>
      </c>
      <c r="AK119" s="958"/>
      <c r="AL119" s="882"/>
      <c r="AM119" s="883"/>
      <c r="AN119" s="901"/>
      <c r="AO119" s="858"/>
      <c r="AP119" s="859"/>
      <c r="AQ119" s="840"/>
      <c r="AR119" s="765"/>
      <c r="AS119" s="852"/>
      <c r="AT119" s="853"/>
      <c r="AU119" s="846"/>
      <c r="AV119" s="893"/>
      <c r="AW119" s="894"/>
      <c r="AX119" s="877"/>
      <c r="AY119" s="765"/>
      <c r="AZ119" s="882"/>
      <c r="BA119" s="883"/>
      <c r="BB119" s="901"/>
      <c r="BC119" s="858"/>
      <c r="BD119" s="859"/>
      <c r="BE119" s="840"/>
      <c r="BF119" s="765"/>
      <c r="BG119" s="852"/>
      <c r="BH119" s="853"/>
      <c r="BI119" s="846"/>
      <c r="BJ119" s="893"/>
      <c r="BK119" s="894"/>
      <c r="BL119" s="877"/>
      <c r="BM119" s="765"/>
      <c r="BN119" s="882"/>
      <c r="BO119" s="883"/>
      <c r="BP119" s="901"/>
      <c r="BQ119" s="858"/>
      <c r="BR119" s="859"/>
      <c r="BS119" s="840"/>
      <c r="BT119" s="765"/>
      <c r="BU119" s="852"/>
      <c r="BV119" s="853"/>
      <c r="BW119" s="846"/>
      <c r="BX119" s="893"/>
      <c r="BY119" s="894"/>
      <c r="BZ119" s="877"/>
      <c r="CA119" s="765"/>
      <c r="CB119" s="882"/>
      <c r="CC119" s="883"/>
      <c r="CD119" s="901"/>
      <c r="CE119" s="858"/>
      <c r="CF119" s="859"/>
      <c r="CG119" s="840"/>
      <c r="CH119" s="765"/>
      <c r="CI119" s="852"/>
      <c r="CJ119" s="853"/>
      <c r="CK119" s="846"/>
      <c r="CL119" s="893"/>
      <c r="CM119" s="894"/>
      <c r="CN119" s="877"/>
    </row>
    <row r="120" spans="1:92" x14ac:dyDescent="0.25">
      <c r="A120" s="758">
        <v>53</v>
      </c>
      <c r="B120" s="766"/>
      <c r="C120" s="849" t="str">
        <f>IF($B120,$B120*TreatyCatch!BF291/SUM(TreatyCatch!$BF291:$BG291,TreatyCatch!$BI291:$BJ291),"")</f>
        <v/>
      </c>
      <c r="D120" s="849" t="str">
        <f>IF($B120,$B120*TreatyCatch!BG291/SUM(TreatyCatch!$BF291:$BG291,TreatyCatch!$BI291:$BJ291),"")</f>
        <v/>
      </c>
      <c r="E120" s="847" t="str">
        <f t="shared" si="39"/>
        <v/>
      </c>
      <c r="F120" s="878" t="str">
        <f>IF($B120,$B120*TreatyCatch!BI291/SUM(TreatyCatch!$BF291:$BG291,TreatyCatch!$BI291:$BJ291),"")</f>
        <v/>
      </c>
      <c r="G120" s="890" t="str">
        <f>IF($B120,$B120*TreatyCatch!BJ291/SUM(TreatyCatch!$BF291:$BG291,TreatyCatch!$BI291:$BJ291),"")</f>
        <v/>
      </c>
      <c r="H120" s="879" t="str">
        <f t="shared" si="52"/>
        <v/>
      </c>
      <c r="I120" s="766"/>
      <c r="J120" s="885" t="str">
        <f>IF($I120,$I120*TreatyCatch!BL291/SUM(TreatyCatch!$BL291:$BM291,TreatyCatch!$BO291:$BP291),"")</f>
        <v/>
      </c>
      <c r="K120" s="886" t="str">
        <f>IF($I120,$I120*TreatyCatch!BM291/SUM(TreatyCatch!$BL291:$BM291,TreatyCatch!$BO291:$BP291),"")</f>
        <v/>
      </c>
      <c r="L120" s="873" t="str">
        <f t="shared" si="40"/>
        <v/>
      </c>
      <c r="M120" s="861" t="str">
        <f>IF($I120,$I120*TreatyCatch!BO291/SUM(TreatyCatch!$BL291:$BM291,TreatyCatch!$BO291:$BP291),"")</f>
        <v/>
      </c>
      <c r="N120" s="862" t="str">
        <f>IF($I120,$I120*TreatyCatch!BP291/SUM(TreatyCatch!$BL291:$BM291,TreatyCatch!$BO291:$BP291),"")</f>
        <v/>
      </c>
      <c r="O120" s="841" t="str">
        <f t="shared" si="53"/>
        <v/>
      </c>
      <c r="P120" s="766"/>
      <c r="Q120" s="854" t="str">
        <f>IF($P120,$P120*TreatyCatch!BR291/SUM(TreatyCatch!$BR291:$BS291,TreatyCatch!$BU291:$BV291),"")</f>
        <v/>
      </c>
      <c r="R120" s="855" t="str">
        <f>IF($P120,$P120*TreatyCatch!BS291/SUM(TreatyCatch!$BR291:$BS291,TreatyCatch!$BU291:$BV291),"")</f>
        <v/>
      </c>
      <c r="S120" s="847" t="str">
        <f t="shared" si="41"/>
        <v/>
      </c>
      <c r="T120" s="895" t="str">
        <f>IF($P120,$P120*TreatyCatch!BU291/SUM(TreatyCatch!$BR291:$BS291,TreatyCatch!$BU291:$BV291),"")</f>
        <v/>
      </c>
      <c r="U120" s="896" t="str">
        <f>IF($P120,$P120*TreatyCatch!BV291/SUM(TreatyCatch!$BR291:$BS291,TreatyCatch!$BU291:$BV291),"")</f>
        <v/>
      </c>
      <c r="V120" s="879" t="str">
        <f t="shared" si="54"/>
        <v/>
      </c>
      <c r="W120" s="964"/>
      <c r="X120" s="885" t="str">
        <f>IF($W120,$W120*TreatyCatch!BX291/SUM(TreatyCatch!$BX291:$BY291,TreatyCatch!$CA291:$CB291),"")</f>
        <v/>
      </c>
      <c r="Y120" s="886" t="str">
        <f>IF($W120,$W120*TreatyCatch!BY291/SUM(TreatyCatch!$BX291:$BY291,TreatyCatch!$CA291:$CB291),"")</f>
        <v/>
      </c>
      <c r="Z120" s="902" t="str">
        <f t="shared" si="42"/>
        <v/>
      </c>
      <c r="AA120" s="861" t="str">
        <f>IF($W120,$W120*TreatyCatch!CA291/SUM(TreatyCatch!$BX291:$BY291,TreatyCatch!$CA291:$CB291),"")</f>
        <v/>
      </c>
      <c r="AB120" s="862" t="str">
        <f>IF($W120,$W120*TreatyCatch!CB291/SUM(TreatyCatch!$BX291:$BY291,TreatyCatch!$CA291:$CB291),"")</f>
        <v/>
      </c>
      <c r="AC120" s="841" t="str">
        <f t="shared" si="55"/>
        <v/>
      </c>
      <c r="AD120" s="964"/>
      <c r="AE120" s="1074" t="str">
        <f>IF($AD120,$AD120*TreatyCatch!CD350/SUM(TreatyCatch!$CD350:$CE350,TreatyCatch!$CG350:$CH350),"")</f>
        <v/>
      </c>
      <c r="AF120" s="1075" t="str">
        <f>IF($AD120,$AD120*TreatyCatch!CE350/SUM(TreatyCatch!$CD350:$CE350,TreatyCatch!$CG350:$CH350),"")</f>
        <v/>
      </c>
      <c r="AG120" s="1076" t="str">
        <f t="shared" si="43"/>
        <v/>
      </c>
      <c r="AH120" s="1081" t="str">
        <f>IF($AD120,$AD120*TreatyCatch!CG350/SUM(TreatyCatch!$CD350:CE350,TreatyCatch!$CG350:$CH350),"")</f>
        <v/>
      </c>
      <c r="AI120" s="1082" t="str">
        <f>IF($AD120,$AD120*TreatyCatch!CH350/SUM(TreatyCatch!$CD350:CF350,TreatyCatch!$CG350:$CH350),"")</f>
        <v/>
      </c>
      <c r="AJ120" s="1083" t="str">
        <f t="shared" si="56"/>
        <v/>
      </c>
      <c r="AK120" s="964"/>
      <c r="AL120" s="885"/>
      <c r="AM120" s="886"/>
      <c r="AN120" s="902"/>
      <c r="AO120" s="861"/>
      <c r="AP120" s="862"/>
      <c r="AQ120" s="841"/>
      <c r="AR120" s="766"/>
      <c r="AS120" s="854"/>
      <c r="AT120" s="855"/>
      <c r="AU120" s="847"/>
      <c r="AV120" s="895"/>
      <c r="AW120" s="896"/>
      <c r="AX120" s="879"/>
      <c r="AY120" s="766"/>
      <c r="AZ120" s="885"/>
      <c r="BA120" s="886"/>
      <c r="BB120" s="902"/>
      <c r="BC120" s="861"/>
      <c r="BD120" s="862"/>
      <c r="BE120" s="841"/>
      <c r="BF120" s="766"/>
      <c r="BG120" s="854"/>
      <c r="BH120" s="855"/>
      <c r="BI120" s="847"/>
      <c r="BJ120" s="895"/>
      <c r="BK120" s="896"/>
      <c r="BL120" s="879"/>
      <c r="BM120" s="766"/>
      <c r="BN120" s="885"/>
      <c r="BO120" s="886"/>
      <c r="BP120" s="902"/>
      <c r="BQ120" s="861"/>
      <c r="BR120" s="862"/>
      <c r="BS120" s="841"/>
      <c r="BT120" s="766"/>
      <c r="BU120" s="854"/>
      <c r="BV120" s="855"/>
      <c r="BW120" s="847"/>
      <c r="BX120" s="895"/>
      <c r="BY120" s="896"/>
      <c r="BZ120" s="879"/>
      <c r="CA120" s="766"/>
      <c r="CB120" s="885"/>
      <c r="CC120" s="886"/>
      <c r="CD120" s="902"/>
      <c r="CE120" s="861"/>
      <c r="CF120" s="862"/>
      <c r="CG120" s="841"/>
      <c r="CH120" s="766"/>
      <c r="CI120" s="854"/>
      <c r="CJ120" s="855"/>
      <c r="CK120" s="847"/>
      <c r="CL120" s="895"/>
      <c r="CM120" s="896"/>
      <c r="CN120" s="879"/>
    </row>
    <row r="121" spans="1:92" x14ac:dyDescent="0.25">
      <c r="W121" s="899"/>
      <c r="X121" s="1084"/>
      <c r="Y121" s="1084"/>
      <c r="Z121" s="1084"/>
      <c r="AA121" s="1084"/>
      <c r="AB121" s="1084"/>
      <c r="AC121" s="1084"/>
    </row>
    <row r="122" spans="1:92" x14ac:dyDescent="0.25">
      <c r="W122" s="899"/>
      <c r="X122" s="1084"/>
      <c r="Y122" s="1084"/>
      <c r="Z122" s="1084"/>
      <c r="AA122" s="1084"/>
      <c r="AB122" s="1084"/>
      <c r="AC122" s="1084"/>
    </row>
    <row r="123" spans="1:92" x14ac:dyDescent="0.25">
      <c r="A123" s="756" t="s">
        <v>297</v>
      </c>
      <c r="W123" s="899"/>
      <c r="X123" s="1084"/>
      <c r="Y123" s="1084"/>
      <c r="Z123" s="1084"/>
      <c r="AA123" s="1084"/>
      <c r="AB123" s="1084"/>
      <c r="AC123" s="1084"/>
    </row>
    <row r="124" spans="1:92" x14ac:dyDescent="0.25">
      <c r="B124" s="769">
        <v>2012</v>
      </c>
      <c r="C124" s="770"/>
      <c r="D124" s="770"/>
      <c r="E124" s="770"/>
      <c r="F124" s="770"/>
      <c r="G124" s="772"/>
      <c r="H124" s="770"/>
      <c r="I124" s="771">
        <v>2013</v>
      </c>
      <c r="J124" s="772"/>
      <c r="K124" s="767"/>
      <c r="L124" s="767"/>
      <c r="M124" s="767"/>
      <c r="N124" s="767"/>
      <c r="O124" s="768"/>
      <c r="P124" s="771">
        <v>2014</v>
      </c>
      <c r="Q124" s="772"/>
      <c r="R124" s="767"/>
      <c r="S124" s="767"/>
      <c r="T124" s="767"/>
      <c r="U124" s="767"/>
      <c r="V124" s="768"/>
      <c r="W124" s="1040">
        <v>2015</v>
      </c>
      <c r="X124" s="1042"/>
      <c r="Y124" s="1043"/>
      <c r="Z124" s="1043"/>
      <c r="AA124" s="1043"/>
      <c r="AB124" s="1043"/>
      <c r="AC124" s="1044"/>
      <c r="AD124" s="1040">
        <v>2016</v>
      </c>
      <c r="AE124" s="1042"/>
      <c r="AF124" s="1043"/>
      <c r="AG124" s="1043"/>
      <c r="AH124" s="1043"/>
      <c r="AI124" s="1043"/>
      <c r="AJ124" s="1044"/>
      <c r="AK124" s="1040">
        <v>2017</v>
      </c>
      <c r="AL124" s="1042"/>
      <c r="AM124" s="1043"/>
      <c r="AN124" s="1043"/>
      <c r="AO124" s="1043"/>
      <c r="AP124" s="1043"/>
      <c r="AQ124" s="1044"/>
      <c r="AR124" s="771">
        <f>AR66</f>
        <v>2018</v>
      </c>
      <c r="AS124" s="772"/>
      <c r="AT124" s="767"/>
      <c r="AU124" s="767"/>
      <c r="AV124" s="767"/>
      <c r="AW124" s="767"/>
      <c r="AX124" s="768"/>
      <c r="AY124" s="771">
        <f>AY66</f>
        <v>2019</v>
      </c>
      <c r="AZ124" s="772"/>
      <c r="BA124" s="767"/>
      <c r="BB124" s="767"/>
      <c r="BC124" s="767"/>
      <c r="BD124" s="767"/>
      <c r="BE124" s="768"/>
      <c r="BF124" s="771">
        <f>BF66</f>
        <v>2020</v>
      </c>
      <c r="BG124" s="772"/>
      <c r="BH124" s="767"/>
      <c r="BI124" s="767"/>
      <c r="BJ124" s="767"/>
      <c r="BK124" s="767"/>
      <c r="BL124" s="768"/>
      <c r="BM124" s="771">
        <f>BM66</f>
        <v>2021</v>
      </c>
      <c r="BN124" s="772"/>
      <c r="BO124" s="767"/>
      <c r="BP124" s="767"/>
      <c r="BQ124" s="767"/>
      <c r="BR124" s="767"/>
      <c r="BS124" s="768"/>
      <c r="BT124" s="771">
        <f>BT66</f>
        <v>2022</v>
      </c>
      <c r="BU124" s="772"/>
      <c r="BV124" s="767"/>
      <c r="BW124" s="767"/>
      <c r="BX124" s="767"/>
      <c r="BY124" s="767"/>
      <c r="BZ124" s="768"/>
      <c r="CA124" s="771">
        <f>CA66</f>
        <v>2023</v>
      </c>
      <c r="CB124" s="772"/>
      <c r="CC124" s="767"/>
      <c r="CD124" s="767"/>
      <c r="CE124" s="767"/>
      <c r="CF124" s="767"/>
      <c r="CG124" s="768"/>
      <c r="CH124" s="771">
        <f>CH66</f>
        <v>2024</v>
      </c>
      <c r="CI124" s="772"/>
      <c r="CJ124" s="767"/>
      <c r="CK124" s="767"/>
      <c r="CL124" s="767"/>
      <c r="CM124" s="767"/>
      <c r="CN124" s="768"/>
    </row>
    <row r="125" spans="1:92" x14ac:dyDescent="0.25">
      <c r="A125" s="759" t="s">
        <v>265</v>
      </c>
      <c r="B125" s="764" t="s">
        <v>171</v>
      </c>
      <c r="C125" s="761" t="s">
        <v>257</v>
      </c>
      <c r="D125" s="761" t="s">
        <v>172</v>
      </c>
      <c r="E125" s="760" t="s">
        <v>261</v>
      </c>
      <c r="F125" s="761" t="s">
        <v>259</v>
      </c>
      <c r="G125" s="762" t="s">
        <v>173</v>
      </c>
      <c r="H125" s="774" t="s">
        <v>262</v>
      </c>
      <c r="I125" s="764" t="s">
        <v>171</v>
      </c>
      <c r="J125" s="759" t="s">
        <v>257</v>
      </c>
      <c r="K125" s="761" t="s">
        <v>172</v>
      </c>
      <c r="L125" s="760" t="s">
        <v>261</v>
      </c>
      <c r="M125" s="761" t="s">
        <v>259</v>
      </c>
      <c r="N125" s="762" t="s">
        <v>173</v>
      </c>
      <c r="O125" s="774" t="s">
        <v>262</v>
      </c>
      <c r="P125" s="764" t="s">
        <v>171</v>
      </c>
      <c r="Q125" s="759" t="s">
        <v>257</v>
      </c>
      <c r="R125" s="761" t="s">
        <v>172</v>
      </c>
      <c r="S125" s="760" t="s">
        <v>261</v>
      </c>
      <c r="T125" s="761" t="s">
        <v>259</v>
      </c>
      <c r="U125" s="762" t="s">
        <v>173</v>
      </c>
      <c r="V125" s="774" t="s">
        <v>262</v>
      </c>
      <c r="W125" s="1041" t="s">
        <v>171</v>
      </c>
      <c r="X125" s="1045" t="s">
        <v>257</v>
      </c>
      <c r="Y125" s="1046" t="s">
        <v>172</v>
      </c>
      <c r="Z125" s="1047" t="s">
        <v>261</v>
      </c>
      <c r="AA125" s="1046" t="s">
        <v>259</v>
      </c>
      <c r="AB125" s="1048" t="s">
        <v>173</v>
      </c>
      <c r="AC125" s="1049" t="s">
        <v>262</v>
      </c>
      <c r="AD125" s="1041" t="s">
        <v>171</v>
      </c>
      <c r="AE125" s="1045" t="s">
        <v>257</v>
      </c>
      <c r="AF125" s="1046" t="s">
        <v>172</v>
      </c>
      <c r="AG125" s="1047" t="s">
        <v>261</v>
      </c>
      <c r="AH125" s="1046" t="s">
        <v>259</v>
      </c>
      <c r="AI125" s="1048" t="s">
        <v>173</v>
      </c>
      <c r="AJ125" s="1049" t="s">
        <v>262</v>
      </c>
      <c r="AK125" s="1041" t="s">
        <v>171</v>
      </c>
      <c r="AL125" s="1045" t="s">
        <v>257</v>
      </c>
      <c r="AM125" s="1046" t="s">
        <v>172</v>
      </c>
      <c r="AN125" s="1047" t="s">
        <v>261</v>
      </c>
      <c r="AO125" s="1046" t="s">
        <v>259</v>
      </c>
      <c r="AP125" s="1048" t="s">
        <v>173</v>
      </c>
      <c r="AQ125" s="1049" t="s">
        <v>262</v>
      </c>
      <c r="AR125" s="764" t="s">
        <v>171</v>
      </c>
      <c r="AS125" s="759" t="s">
        <v>257</v>
      </c>
      <c r="AT125" s="761" t="s">
        <v>172</v>
      </c>
      <c r="AU125" s="760" t="s">
        <v>261</v>
      </c>
      <c r="AV125" s="761" t="s">
        <v>259</v>
      </c>
      <c r="AW125" s="762" t="s">
        <v>173</v>
      </c>
      <c r="AX125" s="774" t="s">
        <v>262</v>
      </c>
      <c r="AY125" s="764" t="s">
        <v>171</v>
      </c>
      <c r="AZ125" s="759" t="s">
        <v>257</v>
      </c>
      <c r="BA125" s="761" t="s">
        <v>172</v>
      </c>
      <c r="BB125" s="760" t="s">
        <v>261</v>
      </c>
      <c r="BC125" s="761" t="s">
        <v>259</v>
      </c>
      <c r="BD125" s="762" t="s">
        <v>173</v>
      </c>
      <c r="BE125" s="774" t="s">
        <v>262</v>
      </c>
      <c r="BF125" s="764" t="s">
        <v>171</v>
      </c>
      <c r="BG125" s="759" t="s">
        <v>257</v>
      </c>
      <c r="BH125" s="761" t="s">
        <v>172</v>
      </c>
      <c r="BI125" s="760" t="s">
        <v>261</v>
      </c>
      <c r="BJ125" s="761" t="s">
        <v>259</v>
      </c>
      <c r="BK125" s="762" t="s">
        <v>173</v>
      </c>
      <c r="BL125" s="774" t="s">
        <v>262</v>
      </c>
      <c r="BM125" s="764" t="s">
        <v>171</v>
      </c>
      <c r="BN125" s="759" t="s">
        <v>257</v>
      </c>
      <c r="BO125" s="761" t="s">
        <v>172</v>
      </c>
      <c r="BP125" s="760" t="s">
        <v>261</v>
      </c>
      <c r="BQ125" s="761" t="s">
        <v>259</v>
      </c>
      <c r="BR125" s="762" t="s">
        <v>173</v>
      </c>
      <c r="BS125" s="774" t="s">
        <v>262</v>
      </c>
      <c r="BT125" s="764" t="s">
        <v>171</v>
      </c>
      <c r="BU125" s="759" t="s">
        <v>257</v>
      </c>
      <c r="BV125" s="761" t="s">
        <v>172</v>
      </c>
      <c r="BW125" s="760" t="s">
        <v>261</v>
      </c>
      <c r="BX125" s="761" t="s">
        <v>259</v>
      </c>
      <c r="BY125" s="762" t="s">
        <v>173</v>
      </c>
      <c r="BZ125" s="774" t="s">
        <v>262</v>
      </c>
      <c r="CA125" s="764" t="s">
        <v>171</v>
      </c>
      <c r="CB125" s="759" t="s">
        <v>257</v>
      </c>
      <c r="CC125" s="761" t="s">
        <v>172</v>
      </c>
      <c r="CD125" s="760" t="s">
        <v>261</v>
      </c>
      <c r="CE125" s="761" t="s">
        <v>259</v>
      </c>
      <c r="CF125" s="762" t="s">
        <v>173</v>
      </c>
      <c r="CG125" s="774" t="s">
        <v>262</v>
      </c>
      <c r="CH125" s="764" t="s">
        <v>171</v>
      </c>
      <c r="CI125" s="759" t="s">
        <v>257</v>
      </c>
      <c r="CJ125" s="761" t="s">
        <v>172</v>
      </c>
      <c r="CK125" s="760" t="s">
        <v>261</v>
      </c>
      <c r="CL125" s="761" t="s">
        <v>259</v>
      </c>
      <c r="CM125" s="762" t="s">
        <v>173</v>
      </c>
      <c r="CN125" s="774" t="s">
        <v>262</v>
      </c>
    </row>
    <row r="126" spans="1:92" x14ac:dyDescent="0.25">
      <c r="A126" s="763">
        <v>1</v>
      </c>
      <c r="B126" s="765"/>
      <c r="C126" s="868" t="str">
        <f>IF($B126,$B126*TreatyCatch!BF239/SUM(TreatyCatch!$BF239:$BG239,TreatyCatch!$BI239:$BJ239),"")</f>
        <v/>
      </c>
      <c r="D126" s="868" t="str">
        <f>IF($B126,$B126*TreatyCatch!BG239/SUM(TreatyCatch!$BF239:$BG239,TreatyCatch!$BI239:$BJ239),"")</f>
        <v/>
      </c>
      <c r="E126" s="869" t="str">
        <f>IFERROR(C126+0.0661*D126,"")</f>
        <v/>
      </c>
      <c r="F126" s="842" t="str">
        <f>IF($B126,$B126*TreatyCatch!BI239/SUM(TreatyCatch!$BF239:$BG239,TreatyCatch!$BI239:$BJ239),"")</f>
        <v/>
      </c>
      <c r="G126" s="865" t="str">
        <f>IF($B126,$B126*TreatyCatch!BJ239/SUM(TreatyCatch!$BF239:$BG239,TreatyCatch!$BI239:$BJ239),"")</f>
        <v/>
      </c>
      <c r="H126" s="839" t="str">
        <f>IFERROR(F126+0.0661*G126,"")</f>
        <v/>
      </c>
      <c r="I126" s="773"/>
      <c r="J126" s="850" t="str">
        <f>IF($I126,$I126*TreatyCatch!BL239/SUM(TreatyCatch!$BL239:$BM239,TreatyCatch!$BO239:$BP239),"")</f>
        <v/>
      </c>
      <c r="K126" s="851" t="str">
        <f>IF($I126,$I126*TreatyCatch!BM239/SUM(TreatyCatch!$BL239:$BM239,TreatyCatch!$BO239:$BP239),"")</f>
        <v/>
      </c>
      <c r="L126" s="845" t="str">
        <f t="shared" ref="L126:L142" si="60">IFERROR(J126+N$5*K126,"")</f>
        <v/>
      </c>
      <c r="M126" s="891" t="str">
        <f>IF($I126,$I126*TreatyCatch!BO239/SUM(TreatyCatch!$BL239:$BM239,TreatyCatch!$BO239:$BP239),"")</f>
        <v/>
      </c>
      <c r="N126" s="892" t="str">
        <f>IF($I126,$I126*TreatyCatch!BP239/SUM(TreatyCatch!$BL239:$BM239,TreatyCatch!$BO239:$BP239),"")</f>
        <v/>
      </c>
      <c r="O126" s="875" t="str">
        <f t="shared" ref="O126:O151" si="61">IFERROR(M126+N$5*N126,"")</f>
        <v/>
      </c>
      <c r="P126" s="773"/>
      <c r="Q126" s="880" t="str">
        <f>IF($P126,$P126*TreatyCatch!BR239/SUM(TreatyCatch!$BR239:$BS239,TreatyCatch!$BU239:$BV239),"")</f>
        <v/>
      </c>
      <c r="R126" s="881" t="str">
        <f>IF($P126,$P126*TreatyCatch!BS239/SUM(TreatyCatch!$BR239:$BS239,TreatyCatch!$BU239:$BV239),"")</f>
        <v/>
      </c>
      <c r="S126" s="869" t="str">
        <f>IFERROR(Q126+U$5*R126,"")</f>
        <v/>
      </c>
      <c r="T126" s="863" t="str">
        <f>IF($P126,$P126*TreatyCatch!BU239/SUM(TreatyCatch!$BR239:$BS239,TreatyCatch!$BU239:$BV239),"")</f>
        <v/>
      </c>
      <c r="U126" s="864" t="str">
        <f>IF($P126,$P126*TreatyCatch!BV239/SUM(TreatyCatch!$BR239:$BS239,TreatyCatch!$BU239:$BV239),"")</f>
        <v/>
      </c>
      <c r="V126" s="839" t="str">
        <f>IFERROR(T126+U$5*U126,"")</f>
        <v/>
      </c>
      <c r="W126" s="969"/>
      <c r="X126" s="850" t="str">
        <f>IF($W126,$W126*TreatyCatch!BX239/SUM(TreatyCatch!$BX239:$BY239,TreatyCatch!$CA239:$CB239),"")</f>
        <v/>
      </c>
      <c r="Y126" s="851" t="str">
        <f>IF($W126,$W126*TreatyCatch!BY239/SUM(TreatyCatch!$BX239:$BY239,TreatyCatch!$CA239:$CB239),"")</f>
        <v/>
      </c>
      <c r="Z126" s="845" t="str">
        <f>IFERROR(X126+AB$5*Y126,"")</f>
        <v/>
      </c>
      <c r="AA126" s="891" t="str">
        <f>IF($W126,$W126*TreatyCatch!CA239/SUM(TreatyCatch!$BX239:$BY239,TreatyCatch!$CA239:$CB239),"")</f>
        <v/>
      </c>
      <c r="AB126" s="892" t="str">
        <f>IF($W126,$W126*TreatyCatch!CB239/SUM(TreatyCatch!$BX239:$BY239,TreatyCatch!$CA239:$CB239),"")</f>
        <v/>
      </c>
      <c r="AC126" s="875" t="str">
        <f>IFERROR(AA126+AB$5*AB126,"")</f>
        <v/>
      </c>
      <c r="AD126" s="969"/>
      <c r="AE126" s="1050" t="str">
        <f>IF($AD126,$AD126*TreatyCatch!CD356/SUM(TreatyCatch!$CD356:$CE356,TreatyCatch!$CG356:$CH356),"")</f>
        <v/>
      </c>
      <c r="AF126" s="1051" t="str">
        <f>IF($AD126,$AD126*TreatyCatch!CE356/SUM(TreatyCatch!$CD356:$CE356,TreatyCatch!$CG356:$CH356),"")</f>
        <v/>
      </c>
      <c r="AG126" s="1052" t="str">
        <f>IFERROR(AE126+AI$5*AF126,"")</f>
        <v/>
      </c>
      <c r="AH126" s="1053" t="str">
        <f>IF($AD126,$AD126*TreatyCatch!CG356/SUM(TreatyCatch!$CD356:CE356,TreatyCatch!$CG356:$CH356),"")</f>
        <v/>
      </c>
      <c r="AI126" s="1053" t="str">
        <f>IF($AD126,$AD126*TreatyCatch!CH356/SUM(TreatyCatch!$CD356:CF356,TreatyCatch!$CG356:$CH356),"")</f>
        <v/>
      </c>
      <c r="AJ126" s="1055" t="str">
        <f>IFERROR(AH126+AI$5*AI126,"")</f>
        <v/>
      </c>
      <c r="AK126" s="969"/>
      <c r="AL126" s="850"/>
      <c r="AM126" s="851"/>
      <c r="AN126" s="845"/>
      <c r="AO126" s="891"/>
      <c r="AP126" s="892"/>
      <c r="AQ126" s="875"/>
      <c r="AR126" s="773"/>
      <c r="AS126" s="880"/>
      <c r="AT126" s="881"/>
      <c r="AU126" s="869"/>
      <c r="AV126" s="863"/>
      <c r="AW126" s="864"/>
      <c r="AX126" s="839"/>
      <c r="AY126" s="773"/>
      <c r="AZ126" s="850"/>
      <c r="BA126" s="851"/>
      <c r="BB126" s="845"/>
      <c r="BC126" s="891"/>
      <c r="BD126" s="892"/>
      <c r="BE126" s="875"/>
      <c r="BF126" s="773"/>
      <c r="BG126" s="880"/>
      <c r="BH126" s="881"/>
      <c r="BI126" s="869"/>
      <c r="BJ126" s="863"/>
      <c r="BK126" s="864"/>
      <c r="BL126" s="839"/>
      <c r="BM126" s="773"/>
      <c r="BN126" s="850"/>
      <c r="BO126" s="851"/>
      <c r="BP126" s="845"/>
      <c r="BQ126" s="891"/>
      <c r="BR126" s="892"/>
      <c r="BS126" s="875"/>
      <c r="BT126" s="773"/>
      <c r="BU126" s="880"/>
      <c r="BV126" s="881"/>
      <c r="BW126" s="869"/>
      <c r="BX126" s="863"/>
      <c r="BY126" s="864"/>
      <c r="BZ126" s="839"/>
      <c r="CA126" s="773"/>
      <c r="CB126" s="850"/>
      <c r="CC126" s="851"/>
      <c r="CD126" s="845"/>
      <c r="CE126" s="891"/>
      <c r="CF126" s="892"/>
      <c r="CG126" s="875"/>
      <c r="CH126" s="773"/>
      <c r="CI126" s="880"/>
      <c r="CJ126" s="881"/>
      <c r="CK126" s="869"/>
      <c r="CL126" s="863"/>
      <c r="CM126" s="864"/>
      <c r="CN126" s="839"/>
    </row>
    <row r="127" spans="1:92" x14ac:dyDescent="0.25">
      <c r="A127" s="757">
        <v>2</v>
      </c>
      <c r="B127" s="765"/>
      <c r="C127" s="870" t="str">
        <f>IF($B127,$B127*TreatyCatch!BF240/SUM(TreatyCatch!$BF240:$BG240,TreatyCatch!$BI240:$BJ240),"")</f>
        <v/>
      </c>
      <c r="D127" s="870" t="str">
        <f>IF($B127,$B127*TreatyCatch!BG240/SUM(TreatyCatch!$BF240:$BG240,TreatyCatch!$BI240:$BJ240),"")</f>
        <v/>
      </c>
      <c r="E127" s="871" t="str">
        <f t="shared" ref="E127:E142" si="62">IFERROR(C127+0.0661*D127,"")</f>
        <v/>
      </c>
      <c r="F127" s="838" t="str">
        <f>IF($B127,$B127*TreatyCatch!BI240/SUM(TreatyCatch!$BF240:$BG240,TreatyCatch!$BI240:$BJ240),"")</f>
        <v/>
      </c>
      <c r="G127" s="866" t="str">
        <f>IF($B127,$B127*TreatyCatch!BJ240/SUM(TreatyCatch!$BF240:$BG240,TreatyCatch!$BI240:$BJ240),"")</f>
        <v/>
      </c>
      <c r="H127" s="840" t="str">
        <f t="shared" ref="H127:H151" si="63">IFERROR(F127+0.0661*G127,"")</f>
        <v/>
      </c>
      <c r="I127" s="765"/>
      <c r="J127" s="852" t="str">
        <f>IF($I127,$I127*TreatyCatch!BL240/SUM(TreatyCatch!$BL240:$BM240,TreatyCatch!$BO240:$BP240),"")</f>
        <v/>
      </c>
      <c r="K127" s="853" t="str">
        <f>IF($I127,$I127*TreatyCatch!BM240/SUM(TreatyCatch!$BL240:$BM240,TreatyCatch!$BO240:$BP240),"")</f>
        <v/>
      </c>
      <c r="L127" s="846" t="str">
        <f t="shared" si="60"/>
        <v/>
      </c>
      <c r="M127" s="893" t="str">
        <f>IF($I127,$I127*TreatyCatch!BO240/SUM(TreatyCatch!$BL240:$BM240,TreatyCatch!$BO240:$BP240),"")</f>
        <v/>
      </c>
      <c r="N127" s="894" t="str">
        <f>IF($I127,$I127*TreatyCatch!BP240/SUM(TreatyCatch!$BL240:$BM240,TreatyCatch!$BO240:$BP240),"")</f>
        <v/>
      </c>
      <c r="O127" s="877" t="str">
        <f t="shared" si="61"/>
        <v/>
      </c>
      <c r="P127" s="765"/>
      <c r="Q127" s="882" t="str">
        <f>IF($P127,$P127*TreatyCatch!BR240/SUM(TreatyCatch!$BR240:$BS240,TreatyCatch!$BU240:$BV240),"")</f>
        <v/>
      </c>
      <c r="R127" s="883" t="str">
        <f>IF($P127,$P127*TreatyCatch!BS240/SUM(TreatyCatch!$BR240:$BS240,TreatyCatch!$BU240:$BV240),"")</f>
        <v/>
      </c>
      <c r="S127" s="871" t="str">
        <f t="shared" ref="S127:S142" si="64">IFERROR(Q127+U$5*R127,"")</f>
        <v/>
      </c>
      <c r="T127" s="858" t="str">
        <f>IF($P127,$P127*TreatyCatch!BU240/SUM(TreatyCatch!$BR240:$BS240,TreatyCatch!$BU240:$BV240),"")</f>
        <v/>
      </c>
      <c r="U127" s="859" t="str">
        <f>IF($P127,$P127*TreatyCatch!BV240/SUM(TreatyCatch!$BR240:$BS240,TreatyCatch!$BU240:$BV240),"")</f>
        <v/>
      </c>
      <c r="V127" s="840" t="str">
        <f t="shared" ref="V127:V151" si="65">IFERROR(T127+U$5*U127,"")</f>
        <v/>
      </c>
      <c r="W127" s="958"/>
      <c r="X127" s="852" t="str">
        <f>IF($W127,$W127*TreatyCatch!BX240/SUM(TreatyCatch!$BX240:$BY240,TreatyCatch!$CA240:$CB240),"")</f>
        <v/>
      </c>
      <c r="Y127" s="853" t="str">
        <f>IF($W127,$W127*TreatyCatch!BY240/SUM(TreatyCatch!$BX240:$BY240,TreatyCatch!$CA240:$CB240),"")</f>
        <v/>
      </c>
      <c r="Z127" s="846" t="str">
        <f t="shared" ref="Z127:Z142" si="66">IFERROR(X127+AB$5*Y127,"")</f>
        <v/>
      </c>
      <c r="AA127" s="893" t="str">
        <f>IF($W127,$W127*TreatyCatch!CA240/SUM(TreatyCatch!$BX240:$BY240,TreatyCatch!$CA240:$CB240),"")</f>
        <v/>
      </c>
      <c r="AB127" s="894" t="str">
        <f>IF($W127,$W127*TreatyCatch!CB240/SUM(TreatyCatch!$BX240:$BY240,TreatyCatch!$CA240:$CB240),"")</f>
        <v/>
      </c>
      <c r="AC127" s="877" t="str">
        <f t="shared" ref="AC127:AC151" si="67">IFERROR(AA127+AB$5*AB127,"")</f>
        <v/>
      </c>
      <c r="AD127" s="958"/>
      <c r="AE127" s="1056" t="str">
        <f>IF($AD127,$AD127*TreatyCatch!CD357/SUM(TreatyCatch!$CD357:$CE357,TreatyCatch!$CG357:$CH357),"")</f>
        <v/>
      </c>
      <c r="AF127" s="1057" t="str">
        <f>IF($AD127,$AD127*TreatyCatch!CE357/SUM(TreatyCatch!$CD357:$CE357,TreatyCatch!$CG357:$CH357),"")</f>
        <v/>
      </c>
      <c r="AG127" s="1058" t="str">
        <f t="shared" ref="AG127:AG142" si="68">IFERROR(AE127+AI$5*AF127,"")</f>
        <v/>
      </c>
      <c r="AH127" s="1059" t="str">
        <f>IF($AD127,$AD127*TreatyCatch!CG357/SUM(TreatyCatch!$CD357:CE357,TreatyCatch!$CG357:$CH357),"")</f>
        <v/>
      </c>
      <c r="AI127" s="1060" t="str">
        <f>IF($AD127,$AD127*TreatyCatch!CH357/SUM(TreatyCatch!$CD357:CF357,TreatyCatch!$CG357:$CH357),"")</f>
        <v/>
      </c>
      <c r="AJ127" s="1061" t="str">
        <f t="shared" ref="AJ127:AJ151" si="69">IFERROR(AH127+AI$5*AI127,"")</f>
        <v/>
      </c>
      <c r="AK127" s="958"/>
      <c r="AL127" s="852"/>
      <c r="AM127" s="853"/>
      <c r="AN127" s="846"/>
      <c r="AO127" s="893"/>
      <c r="AP127" s="894"/>
      <c r="AQ127" s="877"/>
      <c r="AR127" s="765"/>
      <c r="AS127" s="882"/>
      <c r="AT127" s="883"/>
      <c r="AU127" s="871"/>
      <c r="AV127" s="858"/>
      <c r="AW127" s="859"/>
      <c r="AX127" s="840"/>
      <c r="AY127" s="765"/>
      <c r="AZ127" s="852"/>
      <c r="BA127" s="853"/>
      <c r="BB127" s="846"/>
      <c r="BC127" s="893"/>
      <c r="BD127" s="894"/>
      <c r="BE127" s="877"/>
      <c r="BF127" s="765"/>
      <c r="BG127" s="882"/>
      <c r="BH127" s="883"/>
      <c r="BI127" s="871"/>
      <c r="BJ127" s="858"/>
      <c r="BK127" s="859"/>
      <c r="BL127" s="840"/>
      <c r="BM127" s="765"/>
      <c r="BN127" s="852"/>
      <c r="BO127" s="853"/>
      <c r="BP127" s="846"/>
      <c r="BQ127" s="893"/>
      <c r="BR127" s="894"/>
      <c r="BS127" s="877"/>
      <c r="BT127" s="765"/>
      <c r="BU127" s="882"/>
      <c r="BV127" s="883"/>
      <c r="BW127" s="871"/>
      <c r="BX127" s="858"/>
      <c r="BY127" s="859"/>
      <c r="BZ127" s="840"/>
      <c r="CA127" s="765"/>
      <c r="CB127" s="852"/>
      <c r="CC127" s="853"/>
      <c r="CD127" s="846"/>
      <c r="CE127" s="893"/>
      <c r="CF127" s="894"/>
      <c r="CG127" s="877"/>
      <c r="CH127" s="765"/>
      <c r="CI127" s="882"/>
      <c r="CJ127" s="883"/>
      <c r="CK127" s="871"/>
      <c r="CL127" s="858"/>
      <c r="CM127" s="859"/>
      <c r="CN127" s="840"/>
    </row>
    <row r="128" spans="1:92" x14ac:dyDescent="0.25">
      <c r="A128" s="757">
        <v>3</v>
      </c>
      <c r="B128" s="765"/>
      <c r="C128" s="870" t="str">
        <f>IF($B128,$B128*TreatyCatch!BF241/SUM(TreatyCatch!$BF241:$BG241,TreatyCatch!$BI241:$BJ241),"")</f>
        <v/>
      </c>
      <c r="D128" s="870" t="str">
        <f>IF($B128,$B128*TreatyCatch!BG241/SUM(TreatyCatch!$BF241:$BG241,TreatyCatch!$BI241:$BJ241),"")</f>
        <v/>
      </c>
      <c r="E128" s="871" t="str">
        <f t="shared" si="62"/>
        <v/>
      </c>
      <c r="F128" s="838" t="str">
        <f>IF($B128,$B128*TreatyCatch!BI241/SUM(TreatyCatch!$BF241:$BG241,TreatyCatch!$BI241:$BJ241),"")</f>
        <v/>
      </c>
      <c r="G128" s="866" t="str">
        <f>IF($B128,$B128*TreatyCatch!BJ241/SUM(TreatyCatch!$BF241:$BG241,TreatyCatch!$BI241:$BJ241),"")</f>
        <v/>
      </c>
      <c r="H128" s="840" t="str">
        <f t="shared" si="63"/>
        <v/>
      </c>
      <c r="I128" s="765"/>
      <c r="J128" s="852" t="str">
        <f>IF($I128,$I128*TreatyCatch!BL241/SUM(TreatyCatch!$BL241:$BM241,TreatyCatch!$BO241:$BP241),"")</f>
        <v/>
      </c>
      <c r="K128" s="853" t="str">
        <f>IF($I128,$I128*TreatyCatch!BM241/SUM(TreatyCatch!$BL241:$BM241,TreatyCatch!$BO241:$BP241),"")</f>
        <v/>
      </c>
      <c r="L128" s="846" t="str">
        <f t="shared" si="60"/>
        <v/>
      </c>
      <c r="M128" s="893" t="str">
        <f>IF($I128,$I128*TreatyCatch!BO241/SUM(TreatyCatch!$BL241:$BM241,TreatyCatch!$BO241:$BP241),"")</f>
        <v/>
      </c>
      <c r="N128" s="894" t="str">
        <f>IF($I128,$I128*TreatyCatch!BP241/SUM(TreatyCatch!$BL241:$BM241,TreatyCatch!$BO241:$BP241),"")</f>
        <v/>
      </c>
      <c r="O128" s="877" t="str">
        <f t="shared" si="61"/>
        <v/>
      </c>
      <c r="P128" s="765"/>
      <c r="Q128" s="882" t="str">
        <f>IF($P128,$P128*TreatyCatch!BR241/SUM(TreatyCatch!$BR241:$BS241,TreatyCatch!$BU241:$BV241),"")</f>
        <v/>
      </c>
      <c r="R128" s="883" t="str">
        <f>IF($P128,$P128*TreatyCatch!BS241/SUM(TreatyCatch!$BR241:$BS241,TreatyCatch!$BU241:$BV241),"")</f>
        <v/>
      </c>
      <c r="S128" s="871" t="str">
        <f t="shared" si="64"/>
        <v/>
      </c>
      <c r="T128" s="858" t="str">
        <f>IF($P128,$P128*TreatyCatch!BU241/SUM(TreatyCatch!$BR241:$BS241,TreatyCatch!$BU241:$BV241),"")</f>
        <v/>
      </c>
      <c r="U128" s="859" t="str">
        <f>IF($P128,$P128*TreatyCatch!BV241/SUM(TreatyCatch!$BR241:$BS241,TreatyCatch!$BU241:$BV241),"")</f>
        <v/>
      </c>
      <c r="V128" s="840" t="str">
        <f t="shared" si="65"/>
        <v/>
      </c>
      <c r="W128" s="958"/>
      <c r="X128" s="852" t="str">
        <f>IF($W128,$W128*TreatyCatch!BX241/SUM(TreatyCatch!$BX241:$BY241,TreatyCatch!$CA241:$CB241),"")</f>
        <v/>
      </c>
      <c r="Y128" s="853" t="str">
        <f>IF($W128,$W128*TreatyCatch!BY241/SUM(TreatyCatch!$BX241:$BY241,TreatyCatch!$CA241:$CB241),"")</f>
        <v/>
      </c>
      <c r="Z128" s="846" t="str">
        <f t="shared" si="66"/>
        <v/>
      </c>
      <c r="AA128" s="893" t="str">
        <f>IF($W128,$W128*TreatyCatch!CA241/SUM(TreatyCatch!$BX241:$BY241,TreatyCatch!$CA241:$CB241),"")</f>
        <v/>
      </c>
      <c r="AB128" s="894" t="str">
        <f>IF($W128,$W128*TreatyCatch!CB241/SUM(TreatyCatch!$BX241:$BY241,TreatyCatch!$CA241:$CB241),"")</f>
        <v/>
      </c>
      <c r="AC128" s="877" t="str">
        <f t="shared" si="67"/>
        <v/>
      </c>
      <c r="AD128" s="958"/>
      <c r="AE128" s="1056" t="str">
        <f>IF($AD128,$AD128*TreatyCatch!CD358/SUM(TreatyCatch!$CD358:$CE358,TreatyCatch!$CG358:$CH358),"")</f>
        <v/>
      </c>
      <c r="AF128" s="1057" t="str">
        <f>IF($AD128,$AD128*TreatyCatch!CE358/SUM(TreatyCatch!$CD358:$CE358,TreatyCatch!$CG358:$CH358),"")</f>
        <v/>
      </c>
      <c r="AG128" s="1058" t="str">
        <f t="shared" si="68"/>
        <v/>
      </c>
      <c r="AH128" s="1059" t="str">
        <f>IF($AD128,$AD128*TreatyCatch!CG358/SUM(TreatyCatch!$CD358:CE358,TreatyCatch!$CG358:$CH358),"")</f>
        <v/>
      </c>
      <c r="AI128" s="1060" t="str">
        <f>IF($AD128,$AD128*TreatyCatch!CH358/SUM(TreatyCatch!$CD358:CF358,TreatyCatch!$CG358:$CH358),"")</f>
        <v/>
      </c>
      <c r="AJ128" s="1061" t="str">
        <f t="shared" si="69"/>
        <v/>
      </c>
      <c r="AK128" s="958"/>
      <c r="AL128" s="852"/>
      <c r="AM128" s="853"/>
      <c r="AN128" s="846"/>
      <c r="AO128" s="893"/>
      <c r="AP128" s="894"/>
      <c r="AQ128" s="877"/>
      <c r="AR128" s="765"/>
      <c r="AS128" s="882"/>
      <c r="AT128" s="883"/>
      <c r="AU128" s="871"/>
      <c r="AV128" s="858"/>
      <c r="AW128" s="859"/>
      <c r="AX128" s="840"/>
      <c r="AY128" s="765"/>
      <c r="AZ128" s="852"/>
      <c r="BA128" s="853"/>
      <c r="BB128" s="846"/>
      <c r="BC128" s="893"/>
      <c r="BD128" s="894"/>
      <c r="BE128" s="877"/>
      <c r="BF128" s="765"/>
      <c r="BG128" s="882"/>
      <c r="BH128" s="883"/>
      <c r="BI128" s="871"/>
      <c r="BJ128" s="858"/>
      <c r="BK128" s="859"/>
      <c r="BL128" s="840"/>
      <c r="BM128" s="765"/>
      <c r="BN128" s="852"/>
      <c r="BO128" s="853"/>
      <c r="BP128" s="846"/>
      <c r="BQ128" s="893"/>
      <c r="BR128" s="894"/>
      <c r="BS128" s="877"/>
      <c r="BT128" s="765"/>
      <c r="BU128" s="882"/>
      <c r="BV128" s="883"/>
      <c r="BW128" s="871"/>
      <c r="BX128" s="858"/>
      <c r="BY128" s="859"/>
      <c r="BZ128" s="840"/>
      <c r="CA128" s="765"/>
      <c r="CB128" s="852"/>
      <c r="CC128" s="853"/>
      <c r="CD128" s="846"/>
      <c r="CE128" s="893"/>
      <c r="CF128" s="894"/>
      <c r="CG128" s="877"/>
      <c r="CH128" s="765"/>
      <c r="CI128" s="882"/>
      <c r="CJ128" s="883"/>
      <c r="CK128" s="871"/>
      <c r="CL128" s="858"/>
      <c r="CM128" s="859"/>
      <c r="CN128" s="840"/>
    </row>
    <row r="129" spans="1:92" x14ac:dyDescent="0.25">
      <c r="A129" s="757">
        <v>4</v>
      </c>
      <c r="B129" s="765"/>
      <c r="C129" s="870" t="str">
        <f>IF($B129,$B129*TreatyCatch!BF242/SUM(TreatyCatch!$BF242:$BG242,TreatyCatch!$BI242:$BJ242),"")</f>
        <v/>
      </c>
      <c r="D129" s="870" t="str">
        <f>IF($B129,$B129*TreatyCatch!BG242/SUM(TreatyCatch!$BF242:$BG242,TreatyCatch!$BI242:$BJ242),"")</f>
        <v/>
      </c>
      <c r="E129" s="871" t="str">
        <f t="shared" si="62"/>
        <v/>
      </c>
      <c r="F129" s="838" t="str">
        <f>IF($B129,$B129*TreatyCatch!BI242/SUM(TreatyCatch!$BF242:$BG242,TreatyCatch!$BI242:$BJ242),"")</f>
        <v/>
      </c>
      <c r="G129" s="866" t="str">
        <f>IF($B129,$B129*TreatyCatch!BJ242/SUM(TreatyCatch!$BF242:$BG242,TreatyCatch!$BI242:$BJ242),"")</f>
        <v/>
      </c>
      <c r="H129" s="840" t="str">
        <f t="shared" si="63"/>
        <v/>
      </c>
      <c r="I129" s="765"/>
      <c r="J129" s="852" t="str">
        <f>IF($I129,$I129*TreatyCatch!BL242/SUM(TreatyCatch!$BL242:$BM242,TreatyCatch!$BO242:$BP242),"")</f>
        <v/>
      </c>
      <c r="K129" s="853" t="str">
        <f>IF($I129,$I129*TreatyCatch!BM242/SUM(TreatyCatch!$BL242:$BM242,TreatyCatch!$BO242:$BP242),"")</f>
        <v/>
      </c>
      <c r="L129" s="846" t="str">
        <f t="shared" si="60"/>
        <v/>
      </c>
      <c r="M129" s="893" t="str">
        <f>IF($I129,$I129*TreatyCatch!BO242/SUM(TreatyCatch!$BL242:$BM242,TreatyCatch!$BO242:$BP242),"")</f>
        <v/>
      </c>
      <c r="N129" s="894" t="str">
        <f>IF($I129,$I129*TreatyCatch!BP242/SUM(TreatyCatch!$BL242:$BM242,TreatyCatch!$BO242:$BP242),"")</f>
        <v/>
      </c>
      <c r="O129" s="877" t="str">
        <f t="shared" si="61"/>
        <v/>
      </c>
      <c r="P129" s="765"/>
      <c r="Q129" s="882" t="str">
        <f>IF($P129,$P129*TreatyCatch!BR242/SUM(TreatyCatch!$BR242:$BS242,TreatyCatch!$BU242:$BV242),"")</f>
        <v/>
      </c>
      <c r="R129" s="883" t="str">
        <f>IF($P129,$P129*TreatyCatch!BS242/SUM(TreatyCatch!$BR242:$BS242,TreatyCatch!$BU242:$BV242),"")</f>
        <v/>
      </c>
      <c r="S129" s="871" t="str">
        <f t="shared" si="64"/>
        <v/>
      </c>
      <c r="T129" s="858" t="str">
        <f>IF($P129,$P129*TreatyCatch!BU242/SUM(TreatyCatch!$BR242:$BS242,TreatyCatch!$BU242:$BV242),"")</f>
        <v/>
      </c>
      <c r="U129" s="859" t="str">
        <f>IF($P129,$P129*TreatyCatch!BV242/SUM(TreatyCatch!$BR242:$BS242,TreatyCatch!$BU242:$BV242),"")</f>
        <v/>
      </c>
      <c r="V129" s="840" t="str">
        <f t="shared" si="65"/>
        <v/>
      </c>
      <c r="W129" s="958"/>
      <c r="X129" s="852" t="str">
        <f>IF($W129,$W129*TreatyCatch!BX242/SUM(TreatyCatch!$BX242:$BY242,TreatyCatch!$CA242:$CB242),"")</f>
        <v/>
      </c>
      <c r="Y129" s="853" t="str">
        <f>IF($W129,$W129*TreatyCatch!BY242/SUM(TreatyCatch!$BX242:$BY242,TreatyCatch!$CA242:$CB242),"")</f>
        <v/>
      </c>
      <c r="Z129" s="846" t="str">
        <f t="shared" si="66"/>
        <v/>
      </c>
      <c r="AA129" s="893" t="str">
        <f>IF($W129,$W129*TreatyCatch!CA242/SUM(TreatyCatch!$BX242:$BY242,TreatyCatch!$CA242:$CB242),"")</f>
        <v/>
      </c>
      <c r="AB129" s="894" t="str">
        <f>IF($W129,$W129*TreatyCatch!CB242/SUM(TreatyCatch!$BX242:$BY242,TreatyCatch!$CA242:$CB242),"")</f>
        <v/>
      </c>
      <c r="AC129" s="877" t="str">
        <f t="shared" si="67"/>
        <v/>
      </c>
      <c r="AD129" s="958"/>
      <c r="AE129" s="1056" t="str">
        <f>IF($AD129,$AD129*TreatyCatch!CD359/SUM(TreatyCatch!$CD359:$CE359,TreatyCatch!$CG359:$CH359),"")</f>
        <v/>
      </c>
      <c r="AF129" s="1057" t="str">
        <f>IF($AD129,$AD129*TreatyCatch!CE359/SUM(TreatyCatch!$CD359:$CE359,TreatyCatch!$CG359:$CH359),"")</f>
        <v/>
      </c>
      <c r="AG129" s="1058" t="str">
        <f t="shared" si="68"/>
        <v/>
      </c>
      <c r="AH129" s="1059" t="str">
        <f>IF($AD129,$AD129*TreatyCatch!CG359/SUM(TreatyCatch!$CD359:CE359,TreatyCatch!$CG359:$CH359),"")</f>
        <v/>
      </c>
      <c r="AI129" s="1060" t="str">
        <f>IF($AD129,$AD129*TreatyCatch!CH359/SUM(TreatyCatch!$CD359:CF359,TreatyCatch!$CG359:$CH359),"")</f>
        <v/>
      </c>
      <c r="AJ129" s="1061" t="str">
        <f t="shared" si="69"/>
        <v/>
      </c>
      <c r="AK129" s="958"/>
      <c r="AL129" s="852"/>
      <c r="AM129" s="853"/>
      <c r="AN129" s="846"/>
      <c r="AO129" s="893"/>
      <c r="AP129" s="894"/>
      <c r="AQ129" s="877"/>
      <c r="AR129" s="765"/>
      <c r="AS129" s="882"/>
      <c r="AT129" s="883"/>
      <c r="AU129" s="871"/>
      <c r="AV129" s="858"/>
      <c r="AW129" s="859"/>
      <c r="AX129" s="840"/>
      <c r="AY129" s="765"/>
      <c r="AZ129" s="852"/>
      <c r="BA129" s="853"/>
      <c r="BB129" s="846"/>
      <c r="BC129" s="893"/>
      <c r="BD129" s="894"/>
      <c r="BE129" s="877"/>
      <c r="BF129" s="765"/>
      <c r="BG129" s="882"/>
      <c r="BH129" s="883"/>
      <c r="BI129" s="871"/>
      <c r="BJ129" s="858"/>
      <c r="BK129" s="859"/>
      <c r="BL129" s="840"/>
      <c r="BM129" s="765"/>
      <c r="BN129" s="852"/>
      <c r="BO129" s="853"/>
      <c r="BP129" s="846"/>
      <c r="BQ129" s="893"/>
      <c r="BR129" s="894"/>
      <c r="BS129" s="877"/>
      <c r="BT129" s="765"/>
      <c r="BU129" s="882"/>
      <c r="BV129" s="883"/>
      <c r="BW129" s="871"/>
      <c r="BX129" s="858"/>
      <c r="BY129" s="859"/>
      <c r="BZ129" s="840"/>
      <c r="CA129" s="765"/>
      <c r="CB129" s="852"/>
      <c r="CC129" s="853"/>
      <c r="CD129" s="846"/>
      <c r="CE129" s="893"/>
      <c r="CF129" s="894"/>
      <c r="CG129" s="877"/>
      <c r="CH129" s="765"/>
      <c r="CI129" s="882"/>
      <c r="CJ129" s="883"/>
      <c r="CK129" s="871"/>
      <c r="CL129" s="858"/>
      <c r="CM129" s="859"/>
      <c r="CN129" s="840"/>
    </row>
    <row r="130" spans="1:92" x14ac:dyDescent="0.25">
      <c r="A130" s="757">
        <v>5</v>
      </c>
      <c r="B130" s="765"/>
      <c r="C130" s="870" t="str">
        <f>IF($B130,$B130*TreatyCatch!BF243/SUM(TreatyCatch!$BF243:$BG243,TreatyCatch!$BI243:$BJ243),"")</f>
        <v/>
      </c>
      <c r="D130" s="870" t="str">
        <f>IF($B130,$B130*TreatyCatch!BG243/SUM(TreatyCatch!$BF243:$BG243,TreatyCatch!$BI243:$BJ243),"")</f>
        <v/>
      </c>
      <c r="E130" s="871" t="str">
        <f t="shared" si="62"/>
        <v/>
      </c>
      <c r="F130" s="838" t="str">
        <f>IF($B130,$B130*TreatyCatch!BI243/SUM(TreatyCatch!$BF243:$BG243,TreatyCatch!$BI243:$BJ243),"")</f>
        <v/>
      </c>
      <c r="G130" s="866" t="str">
        <f>IF($B130,$B130*TreatyCatch!BJ243/SUM(TreatyCatch!$BF243:$BG243,TreatyCatch!$BI243:$BJ243),"")</f>
        <v/>
      </c>
      <c r="H130" s="840" t="str">
        <f t="shared" si="63"/>
        <v/>
      </c>
      <c r="I130" s="765"/>
      <c r="J130" s="852" t="str">
        <f>IF($I130,$I130*TreatyCatch!BL243/SUM(TreatyCatch!$BL243:$BM243,TreatyCatch!$BO243:$BP243),"")</f>
        <v/>
      </c>
      <c r="K130" s="853" t="str">
        <f>IF($I130,$I130*TreatyCatch!BM243/SUM(TreatyCatch!$BL243:$BM243,TreatyCatch!$BO243:$BP243),"")</f>
        <v/>
      </c>
      <c r="L130" s="846" t="str">
        <f t="shared" si="60"/>
        <v/>
      </c>
      <c r="M130" s="893" t="str">
        <f>IF($I130,$I130*TreatyCatch!BO243/SUM(TreatyCatch!$BL243:$BM243,TreatyCatch!$BO243:$BP243),"")</f>
        <v/>
      </c>
      <c r="N130" s="894" t="str">
        <f>IF($I130,$I130*TreatyCatch!BP243/SUM(TreatyCatch!$BL243:$BM243,TreatyCatch!$BO243:$BP243),"")</f>
        <v/>
      </c>
      <c r="O130" s="877" t="str">
        <f t="shared" si="61"/>
        <v/>
      </c>
      <c r="P130" s="765"/>
      <c r="Q130" s="882" t="str">
        <f>IF($P130,$P130*TreatyCatch!BR243/SUM(TreatyCatch!$BR243:$BS243,TreatyCatch!$BU243:$BV243),"")</f>
        <v/>
      </c>
      <c r="R130" s="883" t="str">
        <f>IF($P130,$P130*TreatyCatch!BS243/SUM(TreatyCatch!$BR243:$BS243,TreatyCatch!$BU243:$BV243),"")</f>
        <v/>
      </c>
      <c r="S130" s="871" t="str">
        <f t="shared" si="64"/>
        <v/>
      </c>
      <c r="T130" s="858" t="str">
        <f>IF($P130,$P130*TreatyCatch!BU243/SUM(TreatyCatch!$BR243:$BS243,TreatyCatch!$BU243:$BV243),"")</f>
        <v/>
      </c>
      <c r="U130" s="859" t="str">
        <f>IF($P130,$P130*TreatyCatch!BV243/SUM(TreatyCatch!$BR243:$BS243,TreatyCatch!$BU243:$BV243),"")</f>
        <v/>
      </c>
      <c r="V130" s="840" t="str">
        <f t="shared" si="65"/>
        <v/>
      </c>
      <c r="W130" s="958"/>
      <c r="X130" s="852" t="str">
        <f>IF($W130,$W130*TreatyCatch!BX243/SUM(TreatyCatch!$BX243:$BY243,TreatyCatch!$CA243:$CB243),"")</f>
        <v/>
      </c>
      <c r="Y130" s="853" t="str">
        <f>IF($W130,$W130*TreatyCatch!BY243/SUM(TreatyCatch!$BX243:$BY243,TreatyCatch!$CA243:$CB243),"")</f>
        <v/>
      </c>
      <c r="Z130" s="846" t="str">
        <f t="shared" si="66"/>
        <v/>
      </c>
      <c r="AA130" s="893" t="str">
        <f>IF($W130,$W130*TreatyCatch!CA243/SUM(TreatyCatch!$BX243:$BY243,TreatyCatch!$CA243:$CB243),"")</f>
        <v/>
      </c>
      <c r="AB130" s="894" t="str">
        <f>IF($W130,$W130*TreatyCatch!CB243/SUM(TreatyCatch!$BX243:$BY243,TreatyCatch!$CA243:$CB243),"")</f>
        <v/>
      </c>
      <c r="AC130" s="877" t="str">
        <f t="shared" si="67"/>
        <v/>
      </c>
      <c r="AD130" s="958"/>
      <c r="AE130" s="1056" t="str">
        <f>IF($AD130,$AD130*TreatyCatch!CD360/SUM(TreatyCatch!$CD360:$CE360,TreatyCatch!$CG360:$CH360),"")</f>
        <v/>
      </c>
      <c r="AF130" s="1057" t="str">
        <f>IF($AD130,$AD130*TreatyCatch!CE360/SUM(TreatyCatch!$CD360:$CE360,TreatyCatch!$CG360:$CH360),"")</f>
        <v/>
      </c>
      <c r="AG130" s="1058" t="str">
        <f t="shared" si="68"/>
        <v/>
      </c>
      <c r="AH130" s="1059" t="str">
        <f>IF($AD130,$AD130*TreatyCatch!CG360/SUM(TreatyCatch!$CD360:CE360,TreatyCatch!$CG360:$CH360),"")</f>
        <v/>
      </c>
      <c r="AI130" s="1060" t="str">
        <f>IF($AD130,$AD130*TreatyCatch!CH360/SUM(TreatyCatch!$CD360:CF360,TreatyCatch!$CG360:$CH360),"")</f>
        <v/>
      </c>
      <c r="AJ130" s="1061" t="str">
        <f t="shared" si="69"/>
        <v/>
      </c>
      <c r="AK130" s="958"/>
      <c r="AL130" s="852"/>
      <c r="AM130" s="853"/>
      <c r="AN130" s="846"/>
      <c r="AO130" s="893"/>
      <c r="AP130" s="894"/>
      <c r="AQ130" s="877"/>
      <c r="AR130" s="765"/>
      <c r="AS130" s="882"/>
      <c r="AT130" s="883"/>
      <c r="AU130" s="871"/>
      <c r="AV130" s="858"/>
      <c r="AW130" s="859"/>
      <c r="AX130" s="840"/>
      <c r="AY130" s="765"/>
      <c r="AZ130" s="852"/>
      <c r="BA130" s="853"/>
      <c r="BB130" s="846"/>
      <c r="BC130" s="893"/>
      <c r="BD130" s="894"/>
      <c r="BE130" s="877"/>
      <c r="BF130" s="765"/>
      <c r="BG130" s="882"/>
      <c r="BH130" s="883"/>
      <c r="BI130" s="871"/>
      <c r="BJ130" s="858"/>
      <c r="BK130" s="859"/>
      <c r="BL130" s="840"/>
      <c r="BM130" s="765"/>
      <c r="BN130" s="852"/>
      <c r="BO130" s="853"/>
      <c r="BP130" s="846"/>
      <c r="BQ130" s="893"/>
      <c r="BR130" s="894"/>
      <c r="BS130" s="877"/>
      <c r="BT130" s="765"/>
      <c r="BU130" s="882"/>
      <c r="BV130" s="883"/>
      <c r="BW130" s="871"/>
      <c r="BX130" s="858"/>
      <c r="BY130" s="859"/>
      <c r="BZ130" s="840"/>
      <c r="CA130" s="765"/>
      <c r="CB130" s="852"/>
      <c r="CC130" s="853"/>
      <c r="CD130" s="846"/>
      <c r="CE130" s="893"/>
      <c r="CF130" s="894"/>
      <c r="CG130" s="877"/>
      <c r="CH130" s="765"/>
      <c r="CI130" s="882"/>
      <c r="CJ130" s="883"/>
      <c r="CK130" s="871"/>
      <c r="CL130" s="858"/>
      <c r="CM130" s="859"/>
      <c r="CN130" s="840"/>
    </row>
    <row r="131" spans="1:92" x14ac:dyDescent="0.25">
      <c r="A131" s="757">
        <v>6</v>
      </c>
      <c r="B131" s="765"/>
      <c r="C131" s="870" t="str">
        <f>IF($B131,$B131*TreatyCatch!BF244/SUM(TreatyCatch!$BF244:$BG244,TreatyCatch!$BI244:$BJ244),"")</f>
        <v/>
      </c>
      <c r="D131" s="870" t="str">
        <f>IF($B131,$B131*TreatyCatch!BG244/SUM(TreatyCatch!$BF244:$BG244,TreatyCatch!$BI244:$BJ244),"")</f>
        <v/>
      </c>
      <c r="E131" s="871" t="str">
        <f t="shared" si="62"/>
        <v/>
      </c>
      <c r="F131" s="838" t="str">
        <f>IF($B131,$B131*TreatyCatch!BI244/SUM(TreatyCatch!$BF244:$BG244,TreatyCatch!$BI244:$BJ244),"")</f>
        <v/>
      </c>
      <c r="G131" s="866" t="str">
        <f>IF($B131,$B131*TreatyCatch!BJ244/SUM(TreatyCatch!$BF244:$BG244,TreatyCatch!$BI244:$BJ244),"")</f>
        <v/>
      </c>
      <c r="H131" s="840" t="str">
        <f t="shared" si="63"/>
        <v/>
      </c>
      <c r="I131" s="765"/>
      <c r="J131" s="852" t="str">
        <f>IF($I131,$I131*TreatyCatch!BL244/SUM(TreatyCatch!$BL244:$BM244,TreatyCatch!$BO244:$BP244),"")</f>
        <v/>
      </c>
      <c r="K131" s="853" t="str">
        <f>IF($I131,$I131*TreatyCatch!BM244/SUM(TreatyCatch!$BL244:$BM244,TreatyCatch!$BO244:$BP244),"")</f>
        <v/>
      </c>
      <c r="L131" s="846" t="str">
        <f t="shared" si="60"/>
        <v/>
      </c>
      <c r="M131" s="893" t="str">
        <f>IF($I131,$I131*TreatyCatch!BO244/SUM(TreatyCatch!$BL244:$BM244,TreatyCatch!$BO244:$BP244),"")</f>
        <v/>
      </c>
      <c r="N131" s="894" t="str">
        <f>IF($I131,$I131*TreatyCatch!BP244/SUM(TreatyCatch!$BL244:$BM244,TreatyCatch!$BO244:$BP244),"")</f>
        <v/>
      </c>
      <c r="O131" s="877" t="str">
        <f t="shared" si="61"/>
        <v/>
      </c>
      <c r="P131" s="765"/>
      <c r="Q131" s="882" t="str">
        <f>IF($P131,$P131*TreatyCatch!BR244/SUM(TreatyCatch!$BR244:$BS244,TreatyCatch!$BU244:$BV244),"")</f>
        <v/>
      </c>
      <c r="R131" s="883" t="str">
        <f>IF($P131,$P131*TreatyCatch!BS244/SUM(TreatyCatch!$BR244:$BS244,TreatyCatch!$BU244:$BV244),"")</f>
        <v/>
      </c>
      <c r="S131" s="871" t="str">
        <f t="shared" si="64"/>
        <v/>
      </c>
      <c r="T131" s="858" t="str">
        <f>IF($P131,$P131*TreatyCatch!BU244/SUM(TreatyCatch!$BR244:$BS244,TreatyCatch!$BU244:$BV244),"")</f>
        <v/>
      </c>
      <c r="U131" s="859" t="str">
        <f>IF($P131,$P131*TreatyCatch!BV244/SUM(TreatyCatch!$BR244:$BS244,TreatyCatch!$BU244:$BV244),"")</f>
        <v/>
      </c>
      <c r="V131" s="840" t="str">
        <f t="shared" si="65"/>
        <v/>
      </c>
      <c r="W131" s="958"/>
      <c r="X131" s="852" t="str">
        <f>IF($W131,$W131*TreatyCatch!BX244/SUM(TreatyCatch!$BX244:$BY244,TreatyCatch!$CA244:$CB244),"")</f>
        <v/>
      </c>
      <c r="Y131" s="853" t="str">
        <f>IF($W131,$W131*TreatyCatch!BY244/SUM(TreatyCatch!$BX244:$BY244,TreatyCatch!$CA244:$CB244),"")</f>
        <v/>
      </c>
      <c r="Z131" s="846" t="str">
        <f t="shared" si="66"/>
        <v/>
      </c>
      <c r="AA131" s="893" t="str">
        <f>IF($W131,$W131*TreatyCatch!CA244/SUM(TreatyCatch!$BX244:$BY244,TreatyCatch!$CA244:$CB244),"")</f>
        <v/>
      </c>
      <c r="AB131" s="894" t="str">
        <f>IF($W131,$W131*TreatyCatch!CB244/SUM(TreatyCatch!$BX244:$BY244,TreatyCatch!$CA244:$CB244),"")</f>
        <v/>
      </c>
      <c r="AC131" s="877" t="str">
        <f t="shared" si="67"/>
        <v/>
      </c>
      <c r="AD131" s="958"/>
      <c r="AE131" s="1056" t="str">
        <f>IF($AD131,$AD131*TreatyCatch!CD361/SUM(TreatyCatch!$CD361:$CE361,TreatyCatch!$CG361:$CH361),"")</f>
        <v/>
      </c>
      <c r="AF131" s="1057" t="str">
        <f>IF($AD131,$AD131*TreatyCatch!CE361/SUM(TreatyCatch!$CD361:$CE361,TreatyCatch!$CG361:$CH361),"")</f>
        <v/>
      </c>
      <c r="AG131" s="1058" t="str">
        <f t="shared" si="68"/>
        <v/>
      </c>
      <c r="AH131" s="1059" t="str">
        <f>IF($AD131,$AD131*TreatyCatch!CG361/SUM(TreatyCatch!$CD361:CE361,TreatyCatch!$CG361:$CH361),"")</f>
        <v/>
      </c>
      <c r="AI131" s="1060" t="str">
        <f>IF($AD131,$AD131*TreatyCatch!CH361/SUM(TreatyCatch!$CD361:CF361,TreatyCatch!$CG361:$CH361),"")</f>
        <v/>
      </c>
      <c r="AJ131" s="1061" t="str">
        <f t="shared" si="69"/>
        <v/>
      </c>
      <c r="AK131" s="958"/>
      <c r="AL131" s="852"/>
      <c r="AM131" s="853"/>
      <c r="AN131" s="846"/>
      <c r="AO131" s="893"/>
      <c r="AP131" s="894"/>
      <c r="AQ131" s="877"/>
      <c r="AR131" s="765"/>
      <c r="AS131" s="882"/>
      <c r="AT131" s="883"/>
      <c r="AU131" s="871"/>
      <c r="AV131" s="858"/>
      <c r="AW131" s="859"/>
      <c r="AX131" s="840"/>
      <c r="AY131" s="765"/>
      <c r="AZ131" s="852"/>
      <c r="BA131" s="853"/>
      <c r="BB131" s="846"/>
      <c r="BC131" s="893"/>
      <c r="BD131" s="894"/>
      <c r="BE131" s="877"/>
      <c r="BF131" s="765"/>
      <c r="BG131" s="882"/>
      <c r="BH131" s="883"/>
      <c r="BI131" s="871"/>
      <c r="BJ131" s="858"/>
      <c r="BK131" s="859"/>
      <c r="BL131" s="840"/>
      <c r="BM131" s="765"/>
      <c r="BN131" s="852"/>
      <c r="BO131" s="853"/>
      <c r="BP131" s="846"/>
      <c r="BQ131" s="893"/>
      <c r="BR131" s="894"/>
      <c r="BS131" s="877"/>
      <c r="BT131" s="765"/>
      <c r="BU131" s="882"/>
      <c r="BV131" s="883"/>
      <c r="BW131" s="871"/>
      <c r="BX131" s="858"/>
      <c r="BY131" s="859"/>
      <c r="BZ131" s="840"/>
      <c r="CA131" s="765"/>
      <c r="CB131" s="852"/>
      <c r="CC131" s="853"/>
      <c r="CD131" s="846"/>
      <c r="CE131" s="893"/>
      <c r="CF131" s="894"/>
      <c r="CG131" s="877"/>
      <c r="CH131" s="765"/>
      <c r="CI131" s="882"/>
      <c r="CJ131" s="883"/>
      <c r="CK131" s="871"/>
      <c r="CL131" s="858"/>
      <c r="CM131" s="859"/>
      <c r="CN131" s="840"/>
    </row>
    <row r="132" spans="1:92" x14ac:dyDescent="0.25">
      <c r="A132" s="757">
        <v>7</v>
      </c>
      <c r="B132" s="765"/>
      <c r="C132" s="870" t="str">
        <f>IF($B132,$B132*TreatyCatch!BF245/SUM(TreatyCatch!$BF245:$BG245,TreatyCatch!$BI245:$BJ245),"")</f>
        <v/>
      </c>
      <c r="D132" s="870" t="str">
        <f>IF($B132,$B132*TreatyCatch!BG245/SUM(TreatyCatch!$BF245:$BG245,TreatyCatch!$BI245:$BJ245),"")</f>
        <v/>
      </c>
      <c r="E132" s="871" t="str">
        <f t="shared" si="62"/>
        <v/>
      </c>
      <c r="F132" s="838" t="str">
        <f>IF($B132,$B132*TreatyCatch!BI245/SUM(TreatyCatch!$BF245:$BG245,TreatyCatch!$BI245:$BJ245),"")</f>
        <v/>
      </c>
      <c r="G132" s="866" t="str">
        <f>IF($B132,$B132*TreatyCatch!BJ245/SUM(TreatyCatch!$BF245:$BG245,TreatyCatch!$BI245:$BJ245),"")</f>
        <v/>
      </c>
      <c r="H132" s="840" t="str">
        <f t="shared" si="63"/>
        <v/>
      </c>
      <c r="I132" s="765"/>
      <c r="J132" s="852" t="str">
        <f>IF($I132,$I132*TreatyCatch!BL245/SUM(TreatyCatch!$BL245:$BM245,TreatyCatch!$BO245:$BP245),"")</f>
        <v/>
      </c>
      <c r="K132" s="853" t="str">
        <f>IF($I132,$I132*TreatyCatch!BM245/SUM(TreatyCatch!$BL245:$BM245,TreatyCatch!$BO245:$BP245),"")</f>
        <v/>
      </c>
      <c r="L132" s="846" t="str">
        <f t="shared" si="60"/>
        <v/>
      </c>
      <c r="M132" s="893" t="str">
        <f>IF($I132,$I132*TreatyCatch!BO245/SUM(TreatyCatch!$BL245:$BM245,TreatyCatch!$BO245:$BP245),"")</f>
        <v/>
      </c>
      <c r="N132" s="894" t="str">
        <f>IF($I132,$I132*TreatyCatch!BP245/SUM(TreatyCatch!$BL245:$BM245,TreatyCatch!$BO245:$BP245),"")</f>
        <v/>
      </c>
      <c r="O132" s="877" t="str">
        <f t="shared" si="61"/>
        <v/>
      </c>
      <c r="P132" s="765"/>
      <c r="Q132" s="882" t="str">
        <f>IF($P132,$P132*TreatyCatch!BR245/SUM(TreatyCatch!$BR245:$BS245,TreatyCatch!$BU245:$BV245),"")</f>
        <v/>
      </c>
      <c r="R132" s="883" t="str">
        <f>IF($P132,$P132*TreatyCatch!BS245/SUM(TreatyCatch!$BR245:$BS245,TreatyCatch!$BU245:$BV245),"")</f>
        <v/>
      </c>
      <c r="S132" s="871" t="str">
        <f t="shared" si="64"/>
        <v/>
      </c>
      <c r="T132" s="858" t="str">
        <f>IF($P132,$P132*TreatyCatch!BU245/SUM(TreatyCatch!$BR245:$BS245,TreatyCatch!$BU245:$BV245),"")</f>
        <v/>
      </c>
      <c r="U132" s="859" t="str">
        <f>IF($P132,$P132*TreatyCatch!BV245/SUM(TreatyCatch!$BR245:$BS245,TreatyCatch!$BU245:$BV245),"")</f>
        <v/>
      </c>
      <c r="V132" s="840" t="str">
        <f t="shared" si="65"/>
        <v/>
      </c>
      <c r="W132" s="958"/>
      <c r="X132" s="852" t="str">
        <f>IF($W132,$W132*TreatyCatch!BX245/SUM(TreatyCatch!$BX245:$BY245,TreatyCatch!$CA245:$CB245),"")</f>
        <v/>
      </c>
      <c r="Y132" s="853" t="str">
        <f>IF($W132,$W132*TreatyCatch!BY245/SUM(TreatyCatch!$BX245:$BY245,TreatyCatch!$CA245:$CB245),"")</f>
        <v/>
      </c>
      <c r="Z132" s="846" t="str">
        <f t="shared" si="66"/>
        <v/>
      </c>
      <c r="AA132" s="893" t="str">
        <f>IF($W132,$W132*TreatyCatch!CA245/SUM(TreatyCatch!$BX245:$BY245,TreatyCatch!$CA245:$CB245),"")</f>
        <v/>
      </c>
      <c r="AB132" s="894" t="str">
        <f>IF($W132,$W132*TreatyCatch!CB245/SUM(TreatyCatch!$BX245:$BY245,TreatyCatch!$CA245:$CB245),"")</f>
        <v/>
      </c>
      <c r="AC132" s="877" t="str">
        <f t="shared" si="67"/>
        <v/>
      </c>
      <c r="AD132" s="958"/>
      <c r="AE132" s="1056" t="str">
        <f>IF($AD132,$AD132*TreatyCatch!CD362/SUM(TreatyCatch!$CD362:$CE362,TreatyCatch!$CG362:$CH362),"")</f>
        <v/>
      </c>
      <c r="AF132" s="1057" t="str">
        <f>IF($AD132,$AD132*TreatyCatch!CE362/SUM(TreatyCatch!$CD362:$CE362,TreatyCatch!$CG362:$CH362),"")</f>
        <v/>
      </c>
      <c r="AG132" s="1058" t="str">
        <f t="shared" si="68"/>
        <v/>
      </c>
      <c r="AH132" s="1059" t="str">
        <f>IF($AD132,$AD132*TreatyCatch!CG362/SUM(TreatyCatch!$CD362:CE362,TreatyCatch!$CG362:$CH362),"")</f>
        <v/>
      </c>
      <c r="AI132" s="1060" t="str">
        <f>IF($AD132,$AD132*TreatyCatch!CH362/SUM(TreatyCatch!$CD362:CF362,TreatyCatch!$CG362:$CH362),"")</f>
        <v/>
      </c>
      <c r="AJ132" s="1061" t="str">
        <f t="shared" si="69"/>
        <v/>
      </c>
      <c r="AK132" s="958"/>
      <c r="AL132" s="852"/>
      <c r="AM132" s="853"/>
      <c r="AN132" s="846"/>
      <c r="AO132" s="893"/>
      <c r="AP132" s="894"/>
      <c r="AQ132" s="877"/>
      <c r="AR132" s="765"/>
      <c r="AS132" s="882"/>
      <c r="AT132" s="883"/>
      <c r="AU132" s="871"/>
      <c r="AV132" s="858"/>
      <c r="AW132" s="859"/>
      <c r="AX132" s="840"/>
      <c r="AY132" s="765"/>
      <c r="AZ132" s="852"/>
      <c r="BA132" s="853"/>
      <c r="BB132" s="846"/>
      <c r="BC132" s="893"/>
      <c r="BD132" s="894"/>
      <c r="BE132" s="877"/>
      <c r="BF132" s="765"/>
      <c r="BG132" s="882"/>
      <c r="BH132" s="883"/>
      <c r="BI132" s="871"/>
      <c r="BJ132" s="858"/>
      <c r="BK132" s="859"/>
      <c r="BL132" s="840"/>
      <c r="BM132" s="765"/>
      <c r="BN132" s="852"/>
      <c r="BO132" s="853"/>
      <c r="BP132" s="846"/>
      <c r="BQ132" s="893"/>
      <c r="BR132" s="894"/>
      <c r="BS132" s="877"/>
      <c r="BT132" s="765"/>
      <c r="BU132" s="882"/>
      <c r="BV132" s="883"/>
      <c r="BW132" s="871"/>
      <c r="BX132" s="858"/>
      <c r="BY132" s="859"/>
      <c r="BZ132" s="840"/>
      <c r="CA132" s="765"/>
      <c r="CB132" s="852"/>
      <c r="CC132" s="853"/>
      <c r="CD132" s="846"/>
      <c r="CE132" s="893"/>
      <c r="CF132" s="894"/>
      <c r="CG132" s="877"/>
      <c r="CH132" s="765"/>
      <c r="CI132" s="882"/>
      <c r="CJ132" s="883"/>
      <c r="CK132" s="871"/>
      <c r="CL132" s="858"/>
      <c r="CM132" s="859"/>
      <c r="CN132" s="840"/>
    </row>
    <row r="133" spans="1:92" x14ac:dyDescent="0.25">
      <c r="A133" s="757">
        <v>8</v>
      </c>
      <c r="B133" s="765"/>
      <c r="C133" s="870" t="str">
        <f>IF($B133,$B133*TreatyCatch!BF246/SUM(TreatyCatch!$BF246:$BG246,TreatyCatch!$BI246:$BJ246),"")</f>
        <v/>
      </c>
      <c r="D133" s="870" t="str">
        <f>IF($B133,$B133*TreatyCatch!BG246/SUM(TreatyCatch!$BF246:$BG246,TreatyCatch!$BI246:$BJ246),"")</f>
        <v/>
      </c>
      <c r="E133" s="871" t="str">
        <f t="shared" si="62"/>
        <v/>
      </c>
      <c r="F133" s="838" t="str">
        <f>IF($B133,$B133*TreatyCatch!BI246/SUM(TreatyCatch!$BF246:$BG246,TreatyCatch!$BI246:$BJ246),"")</f>
        <v/>
      </c>
      <c r="G133" s="866" t="str">
        <f>IF($B133,$B133*TreatyCatch!BJ246/SUM(TreatyCatch!$BF246:$BG246,TreatyCatch!$BI246:$BJ246),"")</f>
        <v/>
      </c>
      <c r="H133" s="840" t="str">
        <f t="shared" si="63"/>
        <v/>
      </c>
      <c r="I133" s="765"/>
      <c r="J133" s="852" t="str">
        <f>IF($I133,$I133*TreatyCatch!BL246/SUM(TreatyCatch!$BL246:$BM246,TreatyCatch!$BO246:$BP246),"")</f>
        <v/>
      </c>
      <c r="K133" s="853" t="str">
        <f>IF($I133,$I133*TreatyCatch!BM246/SUM(TreatyCatch!$BL246:$BM246,TreatyCatch!$BO246:$BP246),"")</f>
        <v/>
      </c>
      <c r="L133" s="846" t="str">
        <f t="shared" si="60"/>
        <v/>
      </c>
      <c r="M133" s="893" t="str">
        <f>IF($I133,$I133*TreatyCatch!BO246/SUM(TreatyCatch!$BL246:$BM246,TreatyCatch!$BO246:$BP246),"")</f>
        <v/>
      </c>
      <c r="N133" s="894" t="str">
        <f>IF($I133,$I133*TreatyCatch!BP246/SUM(TreatyCatch!$BL246:$BM246,TreatyCatch!$BO246:$BP246),"")</f>
        <v/>
      </c>
      <c r="O133" s="877" t="str">
        <f t="shared" si="61"/>
        <v/>
      </c>
      <c r="P133" s="765"/>
      <c r="Q133" s="882" t="str">
        <f>IF($P133,$P133*TreatyCatch!BR246/SUM(TreatyCatch!$BR246:$BS246,TreatyCatch!$BU246:$BV246),"")</f>
        <v/>
      </c>
      <c r="R133" s="883" t="str">
        <f>IF($P133,$P133*TreatyCatch!BS246/SUM(TreatyCatch!$BR246:$BS246,TreatyCatch!$BU246:$BV246),"")</f>
        <v/>
      </c>
      <c r="S133" s="871" t="str">
        <f t="shared" si="64"/>
        <v/>
      </c>
      <c r="T133" s="858" t="str">
        <f>IF($P133,$P133*TreatyCatch!BU246/SUM(TreatyCatch!$BR246:$BS246,TreatyCatch!$BU246:$BV246),"")</f>
        <v/>
      </c>
      <c r="U133" s="859" t="str">
        <f>IF($P133,$P133*TreatyCatch!BV246/SUM(TreatyCatch!$BR246:$BS246,TreatyCatch!$BU246:$BV246),"")</f>
        <v/>
      </c>
      <c r="V133" s="840" t="str">
        <f t="shared" si="65"/>
        <v/>
      </c>
      <c r="W133" s="958"/>
      <c r="X133" s="852" t="str">
        <f>IF($W133,$W133*TreatyCatch!BX246/SUM(TreatyCatch!$BX246:$BY246,TreatyCatch!$CA246:$CB246),"")</f>
        <v/>
      </c>
      <c r="Y133" s="853" t="str">
        <f>IF($W133,$W133*TreatyCatch!BY246/SUM(TreatyCatch!$BX246:$BY246,TreatyCatch!$CA246:$CB246),"")</f>
        <v/>
      </c>
      <c r="Z133" s="846" t="str">
        <f t="shared" si="66"/>
        <v/>
      </c>
      <c r="AA133" s="893" t="str">
        <f>IF($W133,$W133*TreatyCatch!CA246/SUM(TreatyCatch!$BX246:$BY246,TreatyCatch!$CA246:$CB246),"")</f>
        <v/>
      </c>
      <c r="AB133" s="894" t="str">
        <f>IF($W133,$W133*TreatyCatch!CB246/SUM(TreatyCatch!$BX246:$BY246,TreatyCatch!$CA246:$CB246),"")</f>
        <v/>
      </c>
      <c r="AC133" s="877" t="str">
        <f t="shared" si="67"/>
        <v/>
      </c>
      <c r="AD133" s="958"/>
      <c r="AE133" s="1056" t="str">
        <f>IF($AD133,$AD133*TreatyCatch!CD363/SUM(TreatyCatch!$CD363:$CE363,TreatyCatch!$CG363:$CH363),"")</f>
        <v/>
      </c>
      <c r="AF133" s="1057" t="str">
        <f>IF($AD133,$AD133*TreatyCatch!CE363/SUM(TreatyCatch!$CD363:$CE363,TreatyCatch!$CG363:$CH363),"")</f>
        <v/>
      </c>
      <c r="AG133" s="1058" t="str">
        <f t="shared" si="68"/>
        <v/>
      </c>
      <c r="AH133" s="1059" t="str">
        <f>IF($AD133,$AD133*TreatyCatch!CG363/SUM(TreatyCatch!$CD363:CE363,TreatyCatch!$CG363:$CH363),"")</f>
        <v/>
      </c>
      <c r="AI133" s="1060" t="str">
        <f>IF($AD133,$AD133*TreatyCatch!CH363/SUM(TreatyCatch!$CD363:CF363,TreatyCatch!$CG363:$CH363),"")</f>
        <v/>
      </c>
      <c r="AJ133" s="1061" t="str">
        <f t="shared" si="69"/>
        <v/>
      </c>
      <c r="AK133" s="958"/>
      <c r="AL133" s="852"/>
      <c r="AM133" s="853"/>
      <c r="AN133" s="846"/>
      <c r="AO133" s="893"/>
      <c r="AP133" s="894"/>
      <c r="AQ133" s="877"/>
      <c r="AR133" s="765"/>
      <c r="AS133" s="882"/>
      <c r="AT133" s="883"/>
      <c r="AU133" s="871"/>
      <c r="AV133" s="858"/>
      <c r="AW133" s="859"/>
      <c r="AX133" s="840"/>
      <c r="AY133" s="765"/>
      <c r="AZ133" s="852"/>
      <c r="BA133" s="853"/>
      <c r="BB133" s="846"/>
      <c r="BC133" s="893"/>
      <c r="BD133" s="894"/>
      <c r="BE133" s="877"/>
      <c r="BF133" s="765"/>
      <c r="BG133" s="882"/>
      <c r="BH133" s="883"/>
      <c r="BI133" s="871"/>
      <c r="BJ133" s="858"/>
      <c r="BK133" s="859"/>
      <c r="BL133" s="840"/>
      <c r="BM133" s="765"/>
      <c r="BN133" s="852"/>
      <c r="BO133" s="853"/>
      <c r="BP133" s="846"/>
      <c r="BQ133" s="893"/>
      <c r="BR133" s="894"/>
      <c r="BS133" s="877"/>
      <c r="BT133" s="765"/>
      <c r="BU133" s="882"/>
      <c r="BV133" s="883"/>
      <c r="BW133" s="871"/>
      <c r="BX133" s="858"/>
      <c r="BY133" s="859"/>
      <c r="BZ133" s="840"/>
      <c r="CA133" s="765"/>
      <c r="CB133" s="852"/>
      <c r="CC133" s="853"/>
      <c r="CD133" s="846"/>
      <c r="CE133" s="893"/>
      <c r="CF133" s="894"/>
      <c r="CG133" s="877"/>
      <c r="CH133" s="765"/>
      <c r="CI133" s="882"/>
      <c r="CJ133" s="883"/>
      <c r="CK133" s="871"/>
      <c r="CL133" s="858"/>
      <c r="CM133" s="859"/>
      <c r="CN133" s="840"/>
    </row>
    <row r="134" spans="1:92" x14ac:dyDescent="0.25">
      <c r="A134" s="757">
        <v>9</v>
      </c>
      <c r="B134" s="765"/>
      <c r="C134" s="870" t="str">
        <f>IF($B134,$B134*TreatyCatch!BF247/SUM(TreatyCatch!$BF247:$BG247,TreatyCatch!$BI247:$BJ247),"")</f>
        <v/>
      </c>
      <c r="D134" s="870" t="str">
        <f>IF($B134,$B134*TreatyCatch!BG247/SUM(TreatyCatch!$BF247:$BG247,TreatyCatch!$BI247:$BJ247),"")</f>
        <v/>
      </c>
      <c r="E134" s="871" t="str">
        <f t="shared" si="62"/>
        <v/>
      </c>
      <c r="F134" s="838" t="str">
        <f>IF($B134,$B134*TreatyCatch!BI247/SUM(TreatyCatch!$BF247:$BG247,TreatyCatch!$BI247:$BJ247),"")</f>
        <v/>
      </c>
      <c r="G134" s="866" t="str">
        <f>IF($B134,$B134*TreatyCatch!BJ247/SUM(TreatyCatch!$BF247:$BG247,TreatyCatch!$BI247:$BJ247),"")</f>
        <v/>
      </c>
      <c r="H134" s="840" t="str">
        <f t="shared" si="63"/>
        <v/>
      </c>
      <c r="I134" s="765"/>
      <c r="J134" s="852" t="str">
        <f>IF($I134,$I134*TreatyCatch!BL247/SUM(TreatyCatch!$BL247:$BM247,TreatyCatch!$BO247:$BP247),"")</f>
        <v/>
      </c>
      <c r="K134" s="853" t="str">
        <f>IF($I134,$I134*TreatyCatch!BM247/SUM(TreatyCatch!$BL247:$BM247,TreatyCatch!$BO247:$BP247),"")</f>
        <v/>
      </c>
      <c r="L134" s="846" t="str">
        <f t="shared" si="60"/>
        <v/>
      </c>
      <c r="M134" s="893" t="str">
        <f>IF($I134,$I134*TreatyCatch!BO247/SUM(TreatyCatch!$BL247:$BM247,TreatyCatch!$BO247:$BP247),"")</f>
        <v/>
      </c>
      <c r="N134" s="894" t="str">
        <f>IF($I134,$I134*TreatyCatch!BP247/SUM(TreatyCatch!$BL247:$BM247,TreatyCatch!$BO247:$BP247),"")</f>
        <v/>
      </c>
      <c r="O134" s="877" t="str">
        <f t="shared" si="61"/>
        <v/>
      </c>
      <c r="P134" s="765"/>
      <c r="Q134" s="882" t="str">
        <f>IF($P134,$P134*TreatyCatch!BR247/SUM(TreatyCatch!$BR247:$BS247,TreatyCatch!$BU247:$BV247),"")</f>
        <v/>
      </c>
      <c r="R134" s="883" t="str">
        <f>IF($P134,$P134*TreatyCatch!BS247/SUM(TreatyCatch!$BR247:$BS247,TreatyCatch!$BU247:$BV247),"")</f>
        <v/>
      </c>
      <c r="S134" s="871" t="str">
        <f t="shared" si="64"/>
        <v/>
      </c>
      <c r="T134" s="858" t="str">
        <f>IF($P134,$P134*TreatyCatch!BU247/SUM(TreatyCatch!$BR247:$BS247,TreatyCatch!$BU247:$BV247),"")</f>
        <v/>
      </c>
      <c r="U134" s="859" t="str">
        <f>IF($P134,$P134*TreatyCatch!BV247/SUM(TreatyCatch!$BR247:$BS247,TreatyCatch!$BU247:$BV247),"")</f>
        <v/>
      </c>
      <c r="V134" s="840" t="str">
        <f t="shared" si="65"/>
        <v/>
      </c>
      <c r="W134" s="958"/>
      <c r="X134" s="852" t="str">
        <f>IF($W134,$W134*TreatyCatch!BX247/SUM(TreatyCatch!$BX247:$BY247,TreatyCatch!$CA247:$CB247),"")</f>
        <v/>
      </c>
      <c r="Y134" s="853" t="str">
        <f>IF($W134,$W134*TreatyCatch!BY247/SUM(TreatyCatch!$BX247:$BY247,TreatyCatch!$CA247:$CB247),"")</f>
        <v/>
      </c>
      <c r="Z134" s="846" t="str">
        <f t="shared" si="66"/>
        <v/>
      </c>
      <c r="AA134" s="893" t="str">
        <f>IF($W134,$W134*TreatyCatch!CA247/SUM(TreatyCatch!$BX247:$BY247,TreatyCatch!$CA247:$CB247),"")</f>
        <v/>
      </c>
      <c r="AB134" s="894" t="str">
        <f>IF($W134,$W134*TreatyCatch!CB247/SUM(TreatyCatch!$BX247:$BY247,TreatyCatch!$CA247:$CB247),"")</f>
        <v/>
      </c>
      <c r="AC134" s="877" t="str">
        <f t="shared" si="67"/>
        <v/>
      </c>
      <c r="AD134" s="958"/>
      <c r="AE134" s="1056" t="str">
        <f>IF($AD134,$AD134*TreatyCatch!CD364/SUM(TreatyCatch!$CD364:$CE364,TreatyCatch!$CG364:$CH364),"")</f>
        <v/>
      </c>
      <c r="AF134" s="1057" t="str">
        <f>IF($AD134,$AD134*TreatyCatch!CE364/SUM(TreatyCatch!$CD364:$CE364,TreatyCatch!$CG364:$CH364),"")</f>
        <v/>
      </c>
      <c r="AG134" s="1058" t="str">
        <f t="shared" si="68"/>
        <v/>
      </c>
      <c r="AH134" s="1059" t="str">
        <f>IF($AD134,$AD134*TreatyCatch!CG364/SUM(TreatyCatch!$CD364:CE364,TreatyCatch!$CG364:$CH364),"")</f>
        <v/>
      </c>
      <c r="AI134" s="1060" t="str">
        <f>IF($AD134,$AD134*TreatyCatch!CH364/SUM(TreatyCatch!$CD364:CF364,TreatyCatch!$CG364:$CH364),"")</f>
        <v/>
      </c>
      <c r="AJ134" s="1061" t="str">
        <f t="shared" si="69"/>
        <v/>
      </c>
      <c r="AK134" s="958"/>
      <c r="AL134" s="852"/>
      <c r="AM134" s="853"/>
      <c r="AN134" s="846"/>
      <c r="AO134" s="893"/>
      <c r="AP134" s="894"/>
      <c r="AQ134" s="877"/>
      <c r="AR134" s="765"/>
      <c r="AS134" s="882"/>
      <c r="AT134" s="883"/>
      <c r="AU134" s="871"/>
      <c r="AV134" s="858"/>
      <c r="AW134" s="859"/>
      <c r="AX134" s="840"/>
      <c r="AY134" s="765"/>
      <c r="AZ134" s="852"/>
      <c r="BA134" s="853"/>
      <c r="BB134" s="846"/>
      <c r="BC134" s="893"/>
      <c r="BD134" s="894"/>
      <c r="BE134" s="877"/>
      <c r="BF134" s="765"/>
      <c r="BG134" s="882"/>
      <c r="BH134" s="883"/>
      <c r="BI134" s="871"/>
      <c r="BJ134" s="858"/>
      <c r="BK134" s="859"/>
      <c r="BL134" s="840"/>
      <c r="BM134" s="765"/>
      <c r="BN134" s="852"/>
      <c r="BO134" s="853"/>
      <c r="BP134" s="846"/>
      <c r="BQ134" s="893"/>
      <c r="BR134" s="894"/>
      <c r="BS134" s="877"/>
      <c r="BT134" s="765"/>
      <c r="BU134" s="882"/>
      <c r="BV134" s="883"/>
      <c r="BW134" s="871"/>
      <c r="BX134" s="858"/>
      <c r="BY134" s="859"/>
      <c r="BZ134" s="840"/>
      <c r="CA134" s="765"/>
      <c r="CB134" s="852"/>
      <c r="CC134" s="853"/>
      <c r="CD134" s="846"/>
      <c r="CE134" s="893"/>
      <c r="CF134" s="894"/>
      <c r="CG134" s="877"/>
      <c r="CH134" s="765"/>
      <c r="CI134" s="882"/>
      <c r="CJ134" s="883"/>
      <c r="CK134" s="871"/>
      <c r="CL134" s="858"/>
      <c r="CM134" s="859"/>
      <c r="CN134" s="840"/>
    </row>
    <row r="135" spans="1:92" x14ac:dyDescent="0.25">
      <c r="A135" s="757">
        <v>10</v>
      </c>
      <c r="B135" s="765"/>
      <c r="C135" s="870" t="str">
        <f>IF($B135,$B135*TreatyCatch!BF248/SUM(TreatyCatch!$BF248:$BG248,TreatyCatch!$BI248:$BJ248),"")</f>
        <v/>
      </c>
      <c r="D135" s="870" t="str">
        <f>IF($B135,$B135*TreatyCatch!BG248/SUM(TreatyCatch!$BF248:$BG248,TreatyCatch!$BI248:$BJ248),"")</f>
        <v/>
      </c>
      <c r="E135" s="871" t="str">
        <f t="shared" si="62"/>
        <v/>
      </c>
      <c r="F135" s="838" t="str">
        <f>IF($B135,$B135*TreatyCatch!BI248/SUM(TreatyCatch!$BF248:$BG248,TreatyCatch!$BI248:$BJ248),"")</f>
        <v/>
      </c>
      <c r="G135" s="866" t="str">
        <f>IF($B135,$B135*TreatyCatch!BJ248/SUM(TreatyCatch!$BF248:$BG248,TreatyCatch!$BI248:$BJ248),"")</f>
        <v/>
      </c>
      <c r="H135" s="840" t="str">
        <f t="shared" si="63"/>
        <v/>
      </c>
      <c r="I135" s="765"/>
      <c r="J135" s="852" t="str">
        <f>IF($I135,$I135*TreatyCatch!BL248/SUM(TreatyCatch!$BL248:$BM248,TreatyCatch!$BO248:$BP248),"")</f>
        <v/>
      </c>
      <c r="K135" s="853" t="str">
        <f>IF($I135,$I135*TreatyCatch!BM248/SUM(TreatyCatch!$BL248:$BM248,TreatyCatch!$BO248:$BP248),"")</f>
        <v/>
      </c>
      <c r="L135" s="846" t="str">
        <f t="shared" si="60"/>
        <v/>
      </c>
      <c r="M135" s="893" t="str">
        <f>IF($I135,$I135*TreatyCatch!BO248/SUM(TreatyCatch!$BL248:$BM248,TreatyCatch!$BO248:$BP248),"")</f>
        <v/>
      </c>
      <c r="N135" s="894" t="str">
        <f>IF($I135,$I135*TreatyCatch!BP248/SUM(TreatyCatch!$BL248:$BM248,TreatyCatch!$BO248:$BP248),"")</f>
        <v/>
      </c>
      <c r="O135" s="877" t="str">
        <f t="shared" si="61"/>
        <v/>
      </c>
      <c r="P135" s="765"/>
      <c r="Q135" s="882" t="str">
        <f>IF($P135,$P135*TreatyCatch!BR248/SUM(TreatyCatch!$BR248:$BS248,TreatyCatch!$BU248:$BV248),"")</f>
        <v/>
      </c>
      <c r="R135" s="883" t="str">
        <f>IF($P135,$P135*TreatyCatch!BS248/SUM(TreatyCatch!$BR248:$BS248,TreatyCatch!$BU248:$BV248),"")</f>
        <v/>
      </c>
      <c r="S135" s="871" t="str">
        <f t="shared" si="64"/>
        <v/>
      </c>
      <c r="T135" s="858" t="str">
        <f>IF($P135,$P135*TreatyCatch!BU248/SUM(TreatyCatch!$BR248:$BS248,TreatyCatch!$BU248:$BV248),"")</f>
        <v/>
      </c>
      <c r="U135" s="859" t="str">
        <f>IF($P135,$P135*TreatyCatch!BV248/SUM(TreatyCatch!$BR248:$BS248,TreatyCatch!$BU248:$BV248),"")</f>
        <v/>
      </c>
      <c r="V135" s="840" t="str">
        <f t="shared" si="65"/>
        <v/>
      </c>
      <c r="W135" s="958"/>
      <c r="X135" s="852" t="str">
        <f>IF($W135,$W135*TreatyCatch!BX248/SUM(TreatyCatch!$BX248:$BY248,TreatyCatch!$CA248:$CB248),"")</f>
        <v/>
      </c>
      <c r="Y135" s="853" t="str">
        <f>IF($W135,$W135*TreatyCatch!BY248/SUM(TreatyCatch!$BX248:$BY248,TreatyCatch!$CA248:$CB248),"")</f>
        <v/>
      </c>
      <c r="Z135" s="846" t="str">
        <f t="shared" si="66"/>
        <v/>
      </c>
      <c r="AA135" s="893" t="str">
        <f>IF($W135,$W135*TreatyCatch!CA248/SUM(TreatyCatch!$BX248:$BY248,TreatyCatch!$CA248:$CB248),"")</f>
        <v/>
      </c>
      <c r="AB135" s="894" t="str">
        <f>IF($W135,$W135*TreatyCatch!CB248/SUM(TreatyCatch!$BX248:$BY248,TreatyCatch!$CA248:$CB248),"")</f>
        <v/>
      </c>
      <c r="AC135" s="877" t="str">
        <f t="shared" si="67"/>
        <v/>
      </c>
      <c r="AD135" s="958"/>
      <c r="AE135" s="1056" t="str">
        <f>IF($AD135,$AD135*TreatyCatch!CD365/SUM(TreatyCatch!$CD365:$CE365,TreatyCatch!$CG365:$CH365),"")</f>
        <v/>
      </c>
      <c r="AF135" s="1057" t="str">
        <f>IF($AD135,$AD135*TreatyCatch!CE365/SUM(TreatyCatch!$CD365:$CE365,TreatyCatch!$CG365:$CH365),"")</f>
        <v/>
      </c>
      <c r="AG135" s="1058" t="str">
        <f t="shared" si="68"/>
        <v/>
      </c>
      <c r="AH135" s="1059" t="str">
        <f>IF($AD135,$AD135*TreatyCatch!CG365/SUM(TreatyCatch!$CD365:CE365,TreatyCatch!$CG365:$CH365),"")</f>
        <v/>
      </c>
      <c r="AI135" s="1060" t="str">
        <f>IF($AD135,$AD135*TreatyCatch!CH365/SUM(TreatyCatch!$CD365:CF365,TreatyCatch!$CG365:$CH365),"")</f>
        <v/>
      </c>
      <c r="AJ135" s="1061" t="str">
        <f t="shared" si="69"/>
        <v/>
      </c>
      <c r="AK135" s="958"/>
      <c r="AL135" s="852"/>
      <c r="AM135" s="853"/>
      <c r="AN135" s="846"/>
      <c r="AO135" s="893"/>
      <c r="AP135" s="894"/>
      <c r="AQ135" s="877"/>
      <c r="AR135" s="765"/>
      <c r="AS135" s="882"/>
      <c r="AT135" s="883"/>
      <c r="AU135" s="871"/>
      <c r="AV135" s="858"/>
      <c r="AW135" s="859"/>
      <c r="AX135" s="840"/>
      <c r="AY135" s="765"/>
      <c r="AZ135" s="852"/>
      <c r="BA135" s="853"/>
      <c r="BB135" s="846"/>
      <c r="BC135" s="893"/>
      <c r="BD135" s="894"/>
      <c r="BE135" s="877"/>
      <c r="BF135" s="765"/>
      <c r="BG135" s="882"/>
      <c r="BH135" s="883"/>
      <c r="BI135" s="871"/>
      <c r="BJ135" s="858"/>
      <c r="BK135" s="859"/>
      <c r="BL135" s="840"/>
      <c r="BM135" s="765"/>
      <c r="BN135" s="852"/>
      <c r="BO135" s="853"/>
      <c r="BP135" s="846"/>
      <c r="BQ135" s="893"/>
      <c r="BR135" s="894"/>
      <c r="BS135" s="877"/>
      <c r="BT135" s="765"/>
      <c r="BU135" s="882"/>
      <c r="BV135" s="883"/>
      <c r="BW135" s="871"/>
      <c r="BX135" s="858"/>
      <c r="BY135" s="859"/>
      <c r="BZ135" s="840"/>
      <c r="CA135" s="765"/>
      <c r="CB135" s="852"/>
      <c r="CC135" s="853"/>
      <c r="CD135" s="846"/>
      <c r="CE135" s="893"/>
      <c r="CF135" s="894"/>
      <c r="CG135" s="877"/>
      <c r="CH135" s="765"/>
      <c r="CI135" s="882"/>
      <c r="CJ135" s="883"/>
      <c r="CK135" s="871"/>
      <c r="CL135" s="858"/>
      <c r="CM135" s="859"/>
      <c r="CN135" s="840"/>
    </row>
    <row r="136" spans="1:92" x14ac:dyDescent="0.25">
      <c r="A136" s="757">
        <v>11</v>
      </c>
      <c r="B136" s="765"/>
      <c r="C136" s="870" t="str">
        <f>IF($B136,$B136*TreatyCatch!BF249/SUM(TreatyCatch!$BF249:$BG249,TreatyCatch!$BI249:$BJ249),"")</f>
        <v/>
      </c>
      <c r="D136" s="870" t="str">
        <f>IF($B136,$B136*TreatyCatch!BG249/SUM(TreatyCatch!$BF249:$BG249,TreatyCatch!$BI249:$BJ249),"")</f>
        <v/>
      </c>
      <c r="E136" s="871" t="str">
        <f t="shared" si="62"/>
        <v/>
      </c>
      <c r="F136" s="838" t="str">
        <f>IF($B136,$B136*TreatyCatch!BI249/SUM(TreatyCatch!$BF249:$BG249,TreatyCatch!$BI249:$BJ249),"")</f>
        <v/>
      </c>
      <c r="G136" s="866" t="str">
        <f>IF($B136,$B136*TreatyCatch!BJ249/SUM(TreatyCatch!$BF249:$BG249,TreatyCatch!$BI249:$BJ249),"")</f>
        <v/>
      </c>
      <c r="H136" s="840" t="str">
        <f t="shared" si="63"/>
        <v/>
      </c>
      <c r="I136" s="765"/>
      <c r="J136" s="852" t="str">
        <f>IF($I136,$I136*TreatyCatch!BL249/SUM(TreatyCatch!$BL249:$BM249,TreatyCatch!$BO249:$BP249),"")</f>
        <v/>
      </c>
      <c r="K136" s="853" t="str">
        <f>IF($I136,$I136*TreatyCatch!BM249/SUM(TreatyCatch!$BL249:$BM249,TreatyCatch!$BO249:$BP249),"")</f>
        <v/>
      </c>
      <c r="L136" s="846" t="str">
        <f t="shared" si="60"/>
        <v/>
      </c>
      <c r="M136" s="893" t="str">
        <f>IF($I136,$I136*TreatyCatch!BO249/SUM(TreatyCatch!$BL249:$BM249,TreatyCatch!$BO249:$BP249),"")</f>
        <v/>
      </c>
      <c r="N136" s="894" t="str">
        <f>IF($I136,$I136*TreatyCatch!BP249/SUM(TreatyCatch!$BL249:$BM249,TreatyCatch!$BO249:$BP249),"")</f>
        <v/>
      </c>
      <c r="O136" s="877" t="str">
        <f t="shared" si="61"/>
        <v/>
      </c>
      <c r="P136" s="765"/>
      <c r="Q136" s="882" t="str">
        <f>IF($P136,$P136*TreatyCatch!BR249/SUM(TreatyCatch!$BR249:$BS249,TreatyCatch!$BU249:$BV249),"")</f>
        <v/>
      </c>
      <c r="R136" s="883" t="str">
        <f>IF($P136,$P136*TreatyCatch!BS249/SUM(TreatyCatch!$BR249:$BS249,TreatyCatch!$BU249:$BV249),"")</f>
        <v/>
      </c>
      <c r="S136" s="871" t="str">
        <f t="shared" si="64"/>
        <v/>
      </c>
      <c r="T136" s="858" t="str">
        <f>IF($P136,$P136*TreatyCatch!BU249/SUM(TreatyCatch!$BR249:$BS249,TreatyCatch!$BU249:$BV249),"")</f>
        <v/>
      </c>
      <c r="U136" s="859" t="str">
        <f>IF($P136,$P136*TreatyCatch!BV249/SUM(TreatyCatch!$BR249:$BS249,TreatyCatch!$BU249:$BV249),"")</f>
        <v/>
      </c>
      <c r="V136" s="840" t="str">
        <f t="shared" si="65"/>
        <v/>
      </c>
      <c r="W136" s="958"/>
      <c r="X136" s="852" t="str">
        <f>IF($W136,$W136*TreatyCatch!BX249/SUM(TreatyCatch!$BX249:$BY249,TreatyCatch!$CA249:$CB249),"")</f>
        <v/>
      </c>
      <c r="Y136" s="853" t="str">
        <f>IF($W136,$W136*TreatyCatch!BY249/SUM(TreatyCatch!$BX249:$BY249,TreatyCatch!$CA249:$CB249),"")</f>
        <v/>
      </c>
      <c r="Z136" s="846" t="str">
        <f t="shared" si="66"/>
        <v/>
      </c>
      <c r="AA136" s="893" t="str">
        <f>IF($W136,$W136*TreatyCatch!CA249/SUM(TreatyCatch!$BX249:$BY249,TreatyCatch!$CA249:$CB249),"")</f>
        <v/>
      </c>
      <c r="AB136" s="894" t="str">
        <f>IF($W136,$W136*TreatyCatch!CB249/SUM(TreatyCatch!$BX249:$BY249,TreatyCatch!$CA249:$CB249),"")</f>
        <v/>
      </c>
      <c r="AC136" s="877" t="str">
        <f t="shared" si="67"/>
        <v/>
      </c>
      <c r="AD136" s="958"/>
      <c r="AE136" s="1056" t="str">
        <f>IF($AD136,$AD136*TreatyCatch!CD366/SUM(TreatyCatch!$CD366:$CE366,TreatyCatch!$CG366:$CH366),"")</f>
        <v/>
      </c>
      <c r="AF136" s="1057" t="str">
        <f>IF($AD136,$AD136*TreatyCatch!CE366/SUM(TreatyCatch!$CD366:$CE366,TreatyCatch!$CG366:$CH366),"")</f>
        <v/>
      </c>
      <c r="AG136" s="1058" t="str">
        <f t="shared" si="68"/>
        <v/>
      </c>
      <c r="AH136" s="1059" t="str">
        <f>IF($AD136,$AD136*TreatyCatch!CG366/SUM(TreatyCatch!$CD366:CE366,TreatyCatch!$CG366:$CH366),"")</f>
        <v/>
      </c>
      <c r="AI136" s="1060" t="str">
        <f>IF($AD136,$AD136*TreatyCatch!CH366/SUM(TreatyCatch!$CD366:CF366,TreatyCatch!$CG366:$CH366),"")</f>
        <v/>
      </c>
      <c r="AJ136" s="1061" t="str">
        <f t="shared" si="69"/>
        <v/>
      </c>
      <c r="AK136" s="958"/>
      <c r="AL136" s="852"/>
      <c r="AM136" s="853"/>
      <c r="AN136" s="846"/>
      <c r="AO136" s="893"/>
      <c r="AP136" s="894"/>
      <c r="AQ136" s="877"/>
      <c r="AR136" s="765"/>
      <c r="AS136" s="882"/>
      <c r="AT136" s="883"/>
      <c r="AU136" s="871"/>
      <c r="AV136" s="858"/>
      <c r="AW136" s="859"/>
      <c r="AX136" s="840"/>
      <c r="AY136" s="765"/>
      <c r="AZ136" s="852"/>
      <c r="BA136" s="853"/>
      <c r="BB136" s="846"/>
      <c r="BC136" s="893"/>
      <c r="BD136" s="894"/>
      <c r="BE136" s="877"/>
      <c r="BF136" s="765"/>
      <c r="BG136" s="882"/>
      <c r="BH136" s="883"/>
      <c r="BI136" s="871"/>
      <c r="BJ136" s="858"/>
      <c r="BK136" s="859"/>
      <c r="BL136" s="840"/>
      <c r="BM136" s="765"/>
      <c r="BN136" s="852"/>
      <c r="BO136" s="853"/>
      <c r="BP136" s="846"/>
      <c r="BQ136" s="893"/>
      <c r="BR136" s="894"/>
      <c r="BS136" s="877"/>
      <c r="BT136" s="765"/>
      <c r="BU136" s="882"/>
      <c r="BV136" s="883"/>
      <c r="BW136" s="871"/>
      <c r="BX136" s="858"/>
      <c r="BY136" s="859"/>
      <c r="BZ136" s="840"/>
      <c r="CA136" s="765"/>
      <c r="CB136" s="852"/>
      <c r="CC136" s="853"/>
      <c r="CD136" s="846"/>
      <c r="CE136" s="893"/>
      <c r="CF136" s="894"/>
      <c r="CG136" s="877"/>
      <c r="CH136" s="765"/>
      <c r="CI136" s="882"/>
      <c r="CJ136" s="883"/>
      <c r="CK136" s="871"/>
      <c r="CL136" s="858"/>
      <c r="CM136" s="859"/>
      <c r="CN136" s="840"/>
    </row>
    <row r="137" spans="1:92" x14ac:dyDescent="0.25">
      <c r="A137" s="757">
        <v>12</v>
      </c>
      <c r="B137" s="765"/>
      <c r="C137" s="870" t="str">
        <f>IF($B137,$B137*TreatyCatch!BF250/SUM(TreatyCatch!$BF250:$BG250,TreatyCatch!$BI250:$BJ250),"")</f>
        <v/>
      </c>
      <c r="D137" s="870" t="str">
        <f>IF($B137,$B137*TreatyCatch!BG250/SUM(TreatyCatch!$BF250:$BG250,TreatyCatch!$BI250:$BJ250),"")</f>
        <v/>
      </c>
      <c r="E137" s="871" t="str">
        <f t="shared" si="62"/>
        <v/>
      </c>
      <c r="F137" s="838" t="str">
        <f>IF($B137,$B137*TreatyCatch!BI250/SUM(TreatyCatch!$BF250:$BG250,TreatyCatch!$BI250:$BJ250),"")</f>
        <v/>
      </c>
      <c r="G137" s="866" t="str">
        <f>IF($B137,$B137*TreatyCatch!BJ250/SUM(TreatyCatch!$BF250:$BG250,TreatyCatch!$BI250:$BJ250),"")</f>
        <v/>
      </c>
      <c r="H137" s="840" t="str">
        <f t="shared" si="63"/>
        <v/>
      </c>
      <c r="I137" s="765"/>
      <c r="J137" s="852" t="str">
        <f>IF($I137,$I137*TreatyCatch!BL250/SUM(TreatyCatch!$BL250:$BM250,TreatyCatch!$BO250:$BP250),"")</f>
        <v/>
      </c>
      <c r="K137" s="853" t="str">
        <f>IF($I137,$I137*TreatyCatch!BM250/SUM(TreatyCatch!$BL250:$BM250,TreatyCatch!$BO250:$BP250),"")</f>
        <v/>
      </c>
      <c r="L137" s="846" t="str">
        <f t="shared" si="60"/>
        <v/>
      </c>
      <c r="M137" s="893" t="str">
        <f>IF($I137,$I137*TreatyCatch!BO250/SUM(TreatyCatch!$BL250:$BM250,TreatyCatch!$BO250:$BP250),"")</f>
        <v/>
      </c>
      <c r="N137" s="894" t="str">
        <f>IF($I137,$I137*TreatyCatch!BP250/SUM(TreatyCatch!$BL250:$BM250,TreatyCatch!$BO250:$BP250),"")</f>
        <v/>
      </c>
      <c r="O137" s="877" t="str">
        <f t="shared" si="61"/>
        <v/>
      </c>
      <c r="P137" s="765"/>
      <c r="Q137" s="882" t="str">
        <f>IF($P137,$P137*TreatyCatch!BR250/SUM(TreatyCatch!$BR250:$BS250,TreatyCatch!$BU250:$BV250),"")</f>
        <v/>
      </c>
      <c r="R137" s="883" t="str">
        <f>IF($P137,$P137*TreatyCatch!BS250/SUM(TreatyCatch!$BR250:$BS250,TreatyCatch!$BU250:$BV250),"")</f>
        <v/>
      </c>
      <c r="S137" s="871" t="str">
        <f t="shared" si="64"/>
        <v/>
      </c>
      <c r="T137" s="858" t="str">
        <f>IF($P137,$P137*TreatyCatch!BU250/SUM(TreatyCatch!$BR250:$BS250,TreatyCatch!$BU250:$BV250),"")</f>
        <v/>
      </c>
      <c r="U137" s="859" t="str">
        <f>IF($P137,$P137*TreatyCatch!BV250/SUM(TreatyCatch!$BR250:$BS250,TreatyCatch!$BU250:$BV250),"")</f>
        <v/>
      </c>
      <c r="V137" s="840" t="str">
        <f t="shared" si="65"/>
        <v/>
      </c>
      <c r="W137" s="958"/>
      <c r="X137" s="852" t="str">
        <f>IF($W137,$W137*TreatyCatch!BX250/SUM(TreatyCatch!$BX250:$BY250,TreatyCatch!$CA250:$CB250),"")</f>
        <v/>
      </c>
      <c r="Y137" s="853" t="str">
        <f>IF($W137,$W137*TreatyCatch!BY250/SUM(TreatyCatch!$BX250:$BY250,TreatyCatch!$CA250:$CB250),"")</f>
        <v/>
      </c>
      <c r="Z137" s="846" t="str">
        <f t="shared" si="66"/>
        <v/>
      </c>
      <c r="AA137" s="893" t="str">
        <f>IF($W137,$W137*TreatyCatch!CA250/SUM(TreatyCatch!$BX250:$BY250,TreatyCatch!$CA250:$CB250),"")</f>
        <v/>
      </c>
      <c r="AB137" s="894" t="str">
        <f>IF($W137,$W137*TreatyCatch!CB250/SUM(TreatyCatch!$BX250:$BY250,TreatyCatch!$CA250:$CB250),"")</f>
        <v/>
      </c>
      <c r="AC137" s="877" t="str">
        <f t="shared" si="67"/>
        <v/>
      </c>
      <c r="AD137" s="958"/>
      <c r="AE137" s="1056" t="str">
        <f>IF($AD137,$AD137*TreatyCatch!CD367/SUM(TreatyCatch!$CD367:$CE367,TreatyCatch!$CG367:$CH367),"")</f>
        <v/>
      </c>
      <c r="AF137" s="1057" t="str">
        <f>IF($AD137,$AD137*TreatyCatch!CE367/SUM(TreatyCatch!$CD367:$CE367,TreatyCatch!$CG367:$CH367),"")</f>
        <v/>
      </c>
      <c r="AG137" s="1058" t="str">
        <f t="shared" si="68"/>
        <v/>
      </c>
      <c r="AH137" s="1059" t="str">
        <f>IF($AD137,$AD137*TreatyCatch!CG367/SUM(TreatyCatch!$CD367:CE367,TreatyCatch!$CG367:$CH367),"")</f>
        <v/>
      </c>
      <c r="AI137" s="1060" t="str">
        <f>IF($AD137,$AD137*TreatyCatch!CH367/SUM(TreatyCatch!$CD367:CF367,TreatyCatch!$CG367:$CH367),"")</f>
        <v/>
      </c>
      <c r="AJ137" s="1061" t="str">
        <f t="shared" si="69"/>
        <v/>
      </c>
      <c r="AK137" s="958"/>
      <c r="AL137" s="852"/>
      <c r="AM137" s="853"/>
      <c r="AN137" s="846"/>
      <c r="AO137" s="893"/>
      <c r="AP137" s="894"/>
      <c r="AQ137" s="877"/>
      <c r="AR137" s="765"/>
      <c r="AS137" s="882"/>
      <c r="AT137" s="883"/>
      <c r="AU137" s="871"/>
      <c r="AV137" s="858"/>
      <c r="AW137" s="859"/>
      <c r="AX137" s="840"/>
      <c r="AY137" s="765"/>
      <c r="AZ137" s="852"/>
      <c r="BA137" s="853"/>
      <c r="BB137" s="846"/>
      <c r="BC137" s="893"/>
      <c r="BD137" s="894"/>
      <c r="BE137" s="877"/>
      <c r="BF137" s="765"/>
      <c r="BG137" s="882"/>
      <c r="BH137" s="883"/>
      <c r="BI137" s="871"/>
      <c r="BJ137" s="858"/>
      <c r="BK137" s="859"/>
      <c r="BL137" s="840"/>
      <c r="BM137" s="765"/>
      <c r="BN137" s="852"/>
      <c r="BO137" s="853"/>
      <c r="BP137" s="846"/>
      <c r="BQ137" s="893"/>
      <c r="BR137" s="894"/>
      <c r="BS137" s="877"/>
      <c r="BT137" s="765"/>
      <c r="BU137" s="882"/>
      <c r="BV137" s="883"/>
      <c r="BW137" s="871"/>
      <c r="BX137" s="858"/>
      <c r="BY137" s="859"/>
      <c r="BZ137" s="840"/>
      <c r="CA137" s="765"/>
      <c r="CB137" s="852"/>
      <c r="CC137" s="853"/>
      <c r="CD137" s="846"/>
      <c r="CE137" s="893"/>
      <c r="CF137" s="894"/>
      <c r="CG137" s="877"/>
      <c r="CH137" s="765"/>
      <c r="CI137" s="882"/>
      <c r="CJ137" s="883"/>
      <c r="CK137" s="871"/>
      <c r="CL137" s="858"/>
      <c r="CM137" s="859"/>
      <c r="CN137" s="840"/>
    </row>
    <row r="138" spans="1:92" x14ac:dyDescent="0.25">
      <c r="A138" s="757">
        <v>13</v>
      </c>
      <c r="B138" s="765"/>
      <c r="C138" s="870" t="str">
        <f>IF($B138,$B138*TreatyCatch!BF251/SUM(TreatyCatch!$BF251:$BG251,TreatyCatch!$BI251:$BJ251),"")</f>
        <v/>
      </c>
      <c r="D138" s="870" t="str">
        <f>IF($B138,$B138*TreatyCatch!BG251/SUM(TreatyCatch!$BF251:$BG251,TreatyCatch!$BI251:$BJ251),"")</f>
        <v/>
      </c>
      <c r="E138" s="871" t="str">
        <f t="shared" si="62"/>
        <v/>
      </c>
      <c r="F138" s="838" t="str">
        <f>IF($B138,$B138*TreatyCatch!BI251/SUM(TreatyCatch!$BF251:$BG251,TreatyCatch!$BI251:$BJ251),"")</f>
        <v/>
      </c>
      <c r="G138" s="866" t="str">
        <f>IF($B138,$B138*TreatyCatch!BJ251/SUM(TreatyCatch!$BF251:$BG251,TreatyCatch!$BI251:$BJ251),"")</f>
        <v/>
      </c>
      <c r="H138" s="840" t="str">
        <f t="shared" si="63"/>
        <v/>
      </c>
      <c r="I138" s="765"/>
      <c r="J138" s="852" t="str">
        <f>IF($I138,$I138*TreatyCatch!BL251/SUM(TreatyCatch!$BL251:$BM251,TreatyCatch!$BO251:$BP251),"")</f>
        <v/>
      </c>
      <c r="K138" s="853" t="str">
        <f>IF($I138,$I138*TreatyCatch!BM251/SUM(TreatyCatch!$BL251:$BM251,TreatyCatch!$BO251:$BP251),"")</f>
        <v/>
      </c>
      <c r="L138" s="846" t="str">
        <f t="shared" si="60"/>
        <v/>
      </c>
      <c r="M138" s="893" t="str">
        <f>IF($I138,$I138*TreatyCatch!BO251/SUM(TreatyCatch!$BL251:$BM251,TreatyCatch!$BO251:$BP251),"")</f>
        <v/>
      </c>
      <c r="N138" s="894" t="str">
        <f>IF($I138,$I138*TreatyCatch!BP251/SUM(TreatyCatch!$BL251:$BM251,TreatyCatch!$BO251:$BP251),"")</f>
        <v/>
      </c>
      <c r="O138" s="877" t="str">
        <f t="shared" si="61"/>
        <v/>
      </c>
      <c r="P138" s="765"/>
      <c r="Q138" s="882" t="str">
        <f>IF($P138,$P138*TreatyCatch!BR251/SUM(TreatyCatch!$BR251:$BS251,TreatyCatch!$BU251:$BV251),"")</f>
        <v/>
      </c>
      <c r="R138" s="883" t="str">
        <f>IF($P138,$P138*TreatyCatch!BS251/SUM(TreatyCatch!$BR251:$BS251,TreatyCatch!$BU251:$BV251),"")</f>
        <v/>
      </c>
      <c r="S138" s="871" t="str">
        <f t="shared" si="64"/>
        <v/>
      </c>
      <c r="T138" s="858" t="str">
        <f>IF($P138,$P138*TreatyCatch!BU251/SUM(TreatyCatch!$BR251:$BS251,TreatyCatch!$BU251:$BV251),"")</f>
        <v/>
      </c>
      <c r="U138" s="859" t="str">
        <f>IF($P138,$P138*TreatyCatch!BV251/SUM(TreatyCatch!$BR251:$BS251,TreatyCatch!$BU251:$BV251),"")</f>
        <v/>
      </c>
      <c r="V138" s="840" t="str">
        <f t="shared" si="65"/>
        <v/>
      </c>
      <c r="W138" s="958"/>
      <c r="X138" s="852" t="str">
        <f>IF($W138,$W138*TreatyCatch!BX251/SUM(TreatyCatch!$BX251:$BY251,TreatyCatch!$CA251:$CB251),"")</f>
        <v/>
      </c>
      <c r="Y138" s="853" t="str">
        <f>IF($W138,$W138*TreatyCatch!BY251/SUM(TreatyCatch!$BX251:$BY251,TreatyCatch!$CA251:$CB251),"")</f>
        <v/>
      </c>
      <c r="Z138" s="846" t="str">
        <f t="shared" si="66"/>
        <v/>
      </c>
      <c r="AA138" s="893" t="str">
        <f>IF($W138,$W138*TreatyCatch!CA251/SUM(TreatyCatch!$BX251:$BY251,TreatyCatch!$CA251:$CB251),"")</f>
        <v/>
      </c>
      <c r="AB138" s="894" t="str">
        <f>IF($W138,$W138*TreatyCatch!CB251/SUM(TreatyCatch!$BX251:$BY251,TreatyCatch!$CA251:$CB251),"")</f>
        <v/>
      </c>
      <c r="AC138" s="877" t="str">
        <f t="shared" si="67"/>
        <v/>
      </c>
      <c r="AD138" s="958"/>
      <c r="AE138" s="1056" t="str">
        <f>IF($AD138,$AD138*TreatyCatch!CD368/SUM(TreatyCatch!$CD368:$CE368,TreatyCatch!$CG368:$CH368),"")</f>
        <v/>
      </c>
      <c r="AF138" s="1057" t="str">
        <f>IF($AD138,$AD138*TreatyCatch!CE368/SUM(TreatyCatch!$CD368:$CE368,TreatyCatch!$CG368:$CH368),"")</f>
        <v/>
      </c>
      <c r="AG138" s="1058" t="str">
        <f t="shared" si="68"/>
        <v/>
      </c>
      <c r="AH138" s="1059" t="str">
        <f>IF($AD138,$AD138*TreatyCatch!CG368/SUM(TreatyCatch!$CD368:CE368,TreatyCatch!$CG368:$CH368),"")</f>
        <v/>
      </c>
      <c r="AI138" s="1060" t="str">
        <f>IF($AD138,$AD138*TreatyCatch!CH368/SUM(TreatyCatch!$CD368:CF368,TreatyCatch!$CG368:$CH368),"")</f>
        <v/>
      </c>
      <c r="AJ138" s="1061" t="str">
        <f t="shared" si="69"/>
        <v/>
      </c>
      <c r="AK138" s="958"/>
      <c r="AL138" s="852"/>
      <c r="AM138" s="853"/>
      <c r="AN138" s="846"/>
      <c r="AO138" s="893"/>
      <c r="AP138" s="894"/>
      <c r="AQ138" s="877"/>
      <c r="AR138" s="765"/>
      <c r="AS138" s="882"/>
      <c r="AT138" s="883"/>
      <c r="AU138" s="871"/>
      <c r="AV138" s="858"/>
      <c r="AW138" s="859"/>
      <c r="AX138" s="840"/>
      <c r="AY138" s="765"/>
      <c r="AZ138" s="852"/>
      <c r="BA138" s="853"/>
      <c r="BB138" s="846"/>
      <c r="BC138" s="893"/>
      <c r="BD138" s="894"/>
      <c r="BE138" s="877"/>
      <c r="BF138" s="765"/>
      <c r="BG138" s="882"/>
      <c r="BH138" s="883"/>
      <c r="BI138" s="871"/>
      <c r="BJ138" s="858"/>
      <c r="BK138" s="859"/>
      <c r="BL138" s="840"/>
      <c r="BM138" s="765"/>
      <c r="BN138" s="852"/>
      <c r="BO138" s="853"/>
      <c r="BP138" s="846"/>
      <c r="BQ138" s="893"/>
      <c r="BR138" s="894"/>
      <c r="BS138" s="877"/>
      <c r="BT138" s="765"/>
      <c r="BU138" s="882"/>
      <c r="BV138" s="883"/>
      <c r="BW138" s="871"/>
      <c r="BX138" s="858"/>
      <c r="BY138" s="859"/>
      <c r="BZ138" s="840"/>
      <c r="CA138" s="765"/>
      <c r="CB138" s="852"/>
      <c r="CC138" s="853"/>
      <c r="CD138" s="846"/>
      <c r="CE138" s="893"/>
      <c r="CF138" s="894"/>
      <c r="CG138" s="877"/>
      <c r="CH138" s="765"/>
      <c r="CI138" s="882"/>
      <c r="CJ138" s="883"/>
      <c r="CK138" s="871"/>
      <c r="CL138" s="858"/>
      <c r="CM138" s="859"/>
      <c r="CN138" s="840"/>
    </row>
    <row r="139" spans="1:92" x14ac:dyDescent="0.25">
      <c r="A139" s="757">
        <v>14</v>
      </c>
      <c r="B139" s="765"/>
      <c r="C139" s="870" t="str">
        <f>IF($B139,$B139*TreatyCatch!BF252/SUM(TreatyCatch!$BF252:$BG252,TreatyCatch!$BI252:$BJ252),"")</f>
        <v/>
      </c>
      <c r="D139" s="870" t="str">
        <f>IF($B139,$B139*TreatyCatch!BG252/SUM(TreatyCatch!$BF252:$BG252,TreatyCatch!$BI252:$BJ252),"")</f>
        <v/>
      </c>
      <c r="E139" s="871" t="str">
        <f t="shared" si="62"/>
        <v/>
      </c>
      <c r="F139" s="838" t="str">
        <f>IF($B139,$B139*TreatyCatch!BI252/SUM(TreatyCatch!$BF252:$BG252,TreatyCatch!$BI252:$BJ252),"")</f>
        <v/>
      </c>
      <c r="G139" s="866" t="str">
        <f>IF($B139,$B139*TreatyCatch!BJ252/SUM(TreatyCatch!$BF252:$BG252,TreatyCatch!$BI252:$BJ252),"")</f>
        <v/>
      </c>
      <c r="H139" s="840" t="str">
        <f t="shared" si="63"/>
        <v/>
      </c>
      <c r="I139" s="765"/>
      <c r="J139" s="852" t="str">
        <f>IF($I139,$I139*TreatyCatch!BL252/SUM(TreatyCatch!$BL252:$BM252,TreatyCatch!$BO252:$BP252),"")</f>
        <v/>
      </c>
      <c r="K139" s="853" t="str">
        <f>IF($I139,$I139*TreatyCatch!BM252/SUM(TreatyCatch!$BL252:$BM252,TreatyCatch!$BO252:$BP252),"")</f>
        <v/>
      </c>
      <c r="L139" s="846" t="str">
        <f t="shared" si="60"/>
        <v/>
      </c>
      <c r="M139" s="893" t="str">
        <f>IF($I139,$I139*TreatyCatch!BO252/SUM(TreatyCatch!$BL252:$BM252,TreatyCatch!$BO252:$BP252),"")</f>
        <v/>
      </c>
      <c r="N139" s="894" t="str">
        <f>IF($I139,$I139*TreatyCatch!BP252/SUM(TreatyCatch!$BL252:$BM252,TreatyCatch!$BO252:$BP252),"")</f>
        <v/>
      </c>
      <c r="O139" s="877" t="str">
        <f t="shared" si="61"/>
        <v/>
      </c>
      <c r="P139" s="765"/>
      <c r="Q139" s="882" t="str">
        <f>IF($P139,$P139*TreatyCatch!BR252/SUM(TreatyCatch!$BR252:$BS252,TreatyCatch!$BU252:$BV252),"")</f>
        <v/>
      </c>
      <c r="R139" s="883" t="str">
        <f>IF($P139,$P139*TreatyCatch!BS252/SUM(TreatyCatch!$BR252:$BS252,TreatyCatch!$BU252:$BV252),"")</f>
        <v/>
      </c>
      <c r="S139" s="871" t="str">
        <f t="shared" si="64"/>
        <v/>
      </c>
      <c r="T139" s="858" t="str">
        <f>IF($P139,$P139*TreatyCatch!BU252/SUM(TreatyCatch!$BR252:$BS252,TreatyCatch!$BU252:$BV252),"")</f>
        <v/>
      </c>
      <c r="U139" s="859" t="str">
        <f>IF($P139,$P139*TreatyCatch!BV252/SUM(TreatyCatch!$BR252:$BS252,TreatyCatch!$BU252:$BV252),"")</f>
        <v/>
      </c>
      <c r="V139" s="840" t="str">
        <f t="shared" si="65"/>
        <v/>
      </c>
      <c r="W139" s="958"/>
      <c r="X139" s="852" t="str">
        <f>IF($W139,$W139*TreatyCatch!BX252/SUM(TreatyCatch!$BX252:$BY252,TreatyCatch!$CA252:$CB252),"")</f>
        <v/>
      </c>
      <c r="Y139" s="853" t="str">
        <f>IF($W139,$W139*TreatyCatch!BY252/SUM(TreatyCatch!$BX252:$BY252,TreatyCatch!$CA252:$CB252),"")</f>
        <v/>
      </c>
      <c r="Z139" s="846" t="str">
        <f t="shared" si="66"/>
        <v/>
      </c>
      <c r="AA139" s="893" t="str">
        <f>IF($W139,$W139*TreatyCatch!CA252/SUM(TreatyCatch!$BX252:$BY252,TreatyCatch!$CA252:$CB252),"")</f>
        <v/>
      </c>
      <c r="AB139" s="894" t="str">
        <f>IF($W139,$W139*TreatyCatch!CB252/SUM(TreatyCatch!$BX252:$BY252,TreatyCatch!$CA252:$CB252),"")</f>
        <v/>
      </c>
      <c r="AC139" s="877" t="str">
        <f t="shared" si="67"/>
        <v/>
      </c>
      <c r="AD139" s="958"/>
      <c r="AE139" s="1056" t="str">
        <f>IF($AD139,$AD139*TreatyCatch!CD369/SUM(TreatyCatch!$CD369:$CE369,TreatyCatch!$CG369:$CH369),"")</f>
        <v/>
      </c>
      <c r="AF139" s="1057" t="str">
        <f>IF($AD139,$AD139*TreatyCatch!CE369/SUM(TreatyCatch!$CD369:$CE369,TreatyCatch!$CG369:$CH369),"")</f>
        <v/>
      </c>
      <c r="AG139" s="1058" t="str">
        <f t="shared" si="68"/>
        <v/>
      </c>
      <c r="AH139" s="1059" t="str">
        <f>IF($AD139,$AD139*TreatyCatch!CG369/SUM(TreatyCatch!$CD369:CE369,TreatyCatch!$CG369:$CH369),"")</f>
        <v/>
      </c>
      <c r="AI139" s="1060" t="str">
        <f>IF($AD139,$AD139*TreatyCatch!CH369/SUM(TreatyCatch!$CD369:CF369,TreatyCatch!$CG369:$CH369),"")</f>
        <v/>
      </c>
      <c r="AJ139" s="1061" t="str">
        <f t="shared" si="69"/>
        <v/>
      </c>
      <c r="AK139" s="958"/>
      <c r="AL139" s="852"/>
      <c r="AM139" s="853"/>
      <c r="AN139" s="846"/>
      <c r="AO139" s="893"/>
      <c r="AP139" s="894"/>
      <c r="AQ139" s="877"/>
      <c r="AR139" s="765"/>
      <c r="AS139" s="882"/>
      <c r="AT139" s="883"/>
      <c r="AU139" s="871"/>
      <c r="AV139" s="858"/>
      <c r="AW139" s="859"/>
      <c r="AX139" s="840"/>
      <c r="AY139" s="765"/>
      <c r="AZ139" s="852"/>
      <c r="BA139" s="853"/>
      <c r="BB139" s="846"/>
      <c r="BC139" s="893"/>
      <c r="BD139" s="894"/>
      <c r="BE139" s="877"/>
      <c r="BF139" s="765"/>
      <c r="BG139" s="882"/>
      <c r="BH139" s="883"/>
      <c r="BI139" s="871"/>
      <c r="BJ139" s="858"/>
      <c r="BK139" s="859"/>
      <c r="BL139" s="840"/>
      <c r="BM139" s="765"/>
      <c r="BN139" s="852"/>
      <c r="BO139" s="853"/>
      <c r="BP139" s="846"/>
      <c r="BQ139" s="893"/>
      <c r="BR139" s="894"/>
      <c r="BS139" s="877"/>
      <c r="BT139" s="765"/>
      <c r="BU139" s="882"/>
      <c r="BV139" s="883"/>
      <c r="BW139" s="871"/>
      <c r="BX139" s="858"/>
      <c r="BY139" s="859"/>
      <c r="BZ139" s="840"/>
      <c r="CA139" s="765"/>
      <c r="CB139" s="852"/>
      <c r="CC139" s="853"/>
      <c r="CD139" s="846"/>
      <c r="CE139" s="893"/>
      <c r="CF139" s="894"/>
      <c r="CG139" s="877"/>
      <c r="CH139" s="765"/>
      <c r="CI139" s="882"/>
      <c r="CJ139" s="883"/>
      <c r="CK139" s="871"/>
      <c r="CL139" s="858"/>
      <c r="CM139" s="859"/>
      <c r="CN139" s="840"/>
    </row>
    <row r="140" spans="1:92" x14ac:dyDescent="0.25">
      <c r="A140" s="757">
        <v>15</v>
      </c>
      <c r="B140" s="765"/>
      <c r="C140" s="870" t="str">
        <f>IF($B140,$B140*TreatyCatch!BF253/SUM(TreatyCatch!$BF253:$BG253,TreatyCatch!$BI253:$BJ253),"")</f>
        <v/>
      </c>
      <c r="D140" s="870" t="str">
        <f>IF($B140,$B140*TreatyCatch!BG253/SUM(TreatyCatch!$BF253:$BG253,TreatyCatch!$BI253:$BJ253),"")</f>
        <v/>
      </c>
      <c r="E140" s="871" t="str">
        <f t="shared" si="62"/>
        <v/>
      </c>
      <c r="F140" s="838" t="str">
        <f>IF($B140,$B140*TreatyCatch!BI253/SUM(TreatyCatch!$BF253:$BG253,TreatyCatch!$BI253:$BJ253),"")</f>
        <v/>
      </c>
      <c r="G140" s="866" t="str">
        <f>IF($B140,$B140*TreatyCatch!BJ253/SUM(TreatyCatch!$BF253:$BG253,TreatyCatch!$BI253:$BJ253),"")</f>
        <v/>
      </c>
      <c r="H140" s="840" t="str">
        <f t="shared" si="63"/>
        <v/>
      </c>
      <c r="I140" s="765"/>
      <c r="J140" s="852" t="str">
        <f>IF($I140,$I140*TreatyCatch!BL253/SUM(TreatyCatch!$BL253:$BM253,TreatyCatch!$BO253:$BP253),"")</f>
        <v/>
      </c>
      <c r="K140" s="853" t="str">
        <f>IF($I140,$I140*TreatyCatch!BM253/SUM(TreatyCatch!$BL253:$BM253,TreatyCatch!$BO253:$BP253),"")</f>
        <v/>
      </c>
      <c r="L140" s="846" t="str">
        <f t="shared" si="60"/>
        <v/>
      </c>
      <c r="M140" s="893" t="str">
        <f>IF($I140,$I140*TreatyCatch!BO253/SUM(TreatyCatch!$BL253:$BM253,TreatyCatch!$BO253:$BP253),"")</f>
        <v/>
      </c>
      <c r="N140" s="894" t="str">
        <f>IF($I140,$I140*TreatyCatch!BP253/SUM(TreatyCatch!$BL253:$BM253,TreatyCatch!$BO253:$BP253),"")</f>
        <v/>
      </c>
      <c r="O140" s="877" t="str">
        <f t="shared" si="61"/>
        <v/>
      </c>
      <c r="P140" s="765"/>
      <c r="Q140" s="882" t="str">
        <f>IF($P140,$P140*TreatyCatch!BR253/SUM(TreatyCatch!$BR253:$BS253,TreatyCatch!$BU253:$BV253),"")</f>
        <v/>
      </c>
      <c r="R140" s="883" t="str">
        <f>IF($P140,$P140*TreatyCatch!BS253/SUM(TreatyCatch!$BR253:$BS253,TreatyCatch!$BU253:$BV253),"")</f>
        <v/>
      </c>
      <c r="S140" s="871" t="str">
        <f t="shared" si="64"/>
        <v/>
      </c>
      <c r="T140" s="858" t="str">
        <f>IF($P140,$P140*TreatyCatch!BU253/SUM(TreatyCatch!$BR253:$BS253,TreatyCatch!$BU253:$BV253),"")</f>
        <v/>
      </c>
      <c r="U140" s="859" t="str">
        <f>IF($P140,$P140*TreatyCatch!BV253/SUM(TreatyCatch!$BR253:$BS253,TreatyCatch!$BU253:$BV253),"")</f>
        <v/>
      </c>
      <c r="V140" s="840" t="str">
        <f t="shared" si="65"/>
        <v/>
      </c>
      <c r="W140" s="958"/>
      <c r="X140" s="852" t="str">
        <f>IF($W140,$W140*TreatyCatch!BX253/SUM(TreatyCatch!$BX253:$BY253,TreatyCatch!$CA253:$CB253),"")</f>
        <v/>
      </c>
      <c r="Y140" s="853" t="str">
        <f>IF($W140,$W140*TreatyCatch!BY253/SUM(TreatyCatch!$BX253:$BY253,TreatyCatch!$CA253:$CB253),"")</f>
        <v/>
      </c>
      <c r="Z140" s="846" t="str">
        <f t="shared" si="66"/>
        <v/>
      </c>
      <c r="AA140" s="893" t="str">
        <f>IF($W140,$W140*TreatyCatch!CA253/SUM(TreatyCatch!$BX253:$BY253,TreatyCatch!$CA253:$CB253),"")</f>
        <v/>
      </c>
      <c r="AB140" s="894" t="str">
        <f>IF($W140,$W140*TreatyCatch!CB253/SUM(TreatyCatch!$BX253:$BY253,TreatyCatch!$CA253:$CB253),"")</f>
        <v/>
      </c>
      <c r="AC140" s="957" t="str">
        <f t="shared" si="67"/>
        <v/>
      </c>
      <c r="AD140" s="958"/>
      <c r="AE140" s="1056" t="str">
        <f>IF($AD140,$AD140*TreatyCatch!CD370/SUM(TreatyCatch!$CD370:$CE370,TreatyCatch!$CG370:$CH370),"")</f>
        <v/>
      </c>
      <c r="AF140" s="1057" t="str">
        <f>IF($AD140,$AD140*TreatyCatch!CE370/SUM(TreatyCatch!$CD370:$CE370,TreatyCatch!$CG370:$CH370),"")</f>
        <v/>
      </c>
      <c r="AG140" s="1058" t="str">
        <f t="shared" si="68"/>
        <v/>
      </c>
      <c r="AH140" s="1059" t="str">
        <f>IF($AD140,$AD140*TreatyCatch!CG370/SUM(TreatyCatch!$CD370:CE370,TreatyCatch!$CG370:$CH370),"")</f>
        <v/>
      </c>
      <c r="AI140" s="1060" t="str">
        <f>IF($AD140,$AD140*TreatyCatch!CH370/SUM(TreatyCatch!$CD370:CF370,TreatyCatch!$CG370:$CH370),"")</f>
        <v/>
      </c>
      <c r="AJ140" s="1061" t="str">
        <f t="shared" si="69"/>
        <v/>
      </c>
      <c r="AK140" s="958"/>
      <c r="AL140" s="852"/>
      <c r="AM140" s="853"/>
      <c r="AN140" s="846"/>
      <c r="AO140" s="893"/>
      <c r="AP140" s="894"/>
      <c r="AQ140" s="957"/>
      <c r="AR140" s="765"/>
      <c r="AS140" s="882"/>
      <c r="AT140" s="883"/>
      <c r="AU140" s="871"/>
      <c r="AV140" s="858"/>
      <c r="AW140" s="859"/>
      <c r="AX140" s="840"/>
      <c r="AY140" s="765"/>
      <c r="AZ140" s="852"/>
      <c r="BA140" s="853"/>
      <c r="BB140" s="846"/>
      <c r="BC140" s="893"/>
      <c r="BD140" s="894"/>
      <c r="BE140" s="957"/>
      <c r="BF140" s="765"/>
      <c r="BG140" s="882"/>
      <c r="BH140" s="883"/>
      <c r="BI140" s="871"/>
      <c r="BJ140" s="858"/>
      <c r="BK140" s="859"/>
      <c r="BL140" s="840"/>
      <c r="BM140" s="765"/>
      <c r="BN140" s="852"/>
      <c r="BO140" s="853"/>
      <c r="BP140" s="846"/>
      <c r="BQ140" s="893"/>
      <c r="BR140" s="894"/>
      <c r="BS140" s="957"/>
      <c r="BT140" s="765"/>
      <c r="BU140" s="882"/>
      <c r="BV140" s="883"/>
      <c r="BW140" s="871"/>
      <c r="BX140" s="858"/>
      <c r="BY140" s="859"/>
      <c r="BZ140" s="840"/>
      <c r="CA140" s="765"/>
      <c r="CB140" s="852"/>
      <c r="CC140" s="853"/>
      <c r="CD140" s="846"/>
      <c r="CE140" s="893"/>
      <c r="CF140" s="894"/>
      <c r="CG140" s="957"/>
      <c r="CH140" s="765"/>
      <c r="CI140" s="882"/>
      <c r="CJ140" s="883"/>
      <c r="CK140" s="871"/>
      <c r="CL140" s="858"/>
      <c r="CM140" s="859"/>
      <c r="CN140" s="840"/>
    </row>
    <row r="141" spans="1:92" x14ac:dyDescent="0.25">
      <c r="A141" s="757">
        <v>16</v>
      </c>
      <c r="B141" s="765"/>
      <c r="C141" s="870" t="str">
        <f>IF($B141,$B141*TreatyCatch!BF254/SUM(TreatyCatch!$BF254:$BG254,TreatyCatch!$BI254:$BJ254),"")</f>
        <v/>
      </c>
      <c r="D141" s="870" t="str">
        <f>IF($B141,$B141*TreatyCatch!BG254/SUM(TreatyCatch!$BF254:$BG254,TreatyCatch!$BI254:$BJ254),"")</f>
        <v/>
      </c>
      <c r="E141" s="871" t="str">
        <f t="shared" si="62"/>
        <v/>
      </c>
      <c r="F141" s="838" t="str">
        <f>IF($B141,$B141*TreatyCatch!BI254/SUM(TreatyCatch!$BF254:$BG254,TreatyCatch!$BI254:$BJ254),"")</f>
        <v/>
      </c>
      <c r="G141" s="866" t="str">
        <f>IF($B141,$B141*TreatyCatch!BJ254/SUM(TreatyCatch!$BF254:$BG254,TreatyCatch!$BI254:$BJ254),"")</f>
        <v/>
      </c>
      <c r="H141" s="840" t="str">
        <f t="shared" si="63"/>
        <v/>
      </c>
      <c r="I141" s="765"/>
      <c r="J141" s="852" t="str">
        <f>IF($I141,$I141*TreatyCatch!BL254/SUM(TreatyCatch!$BL254:$BM254,TreatyCatch!$BO254:$BP254),"")</f>
        <v/>
      </c>
      <c r="K141" s="853" t="str">
        <f>IF($I141,$I141*TreatyCatch!BM254/SUM(TreatyCatch!$BL254:$BM254,TreatyCatch!$BO254:$BP254),"")</f>
        <v/>
      </c>
      <c r="L141" s="846" t="str">
        <f t="shared" si="60"/>
        <v/>
      </c>
      <c r="M141" s="893" t="str">
        <f>IF($I141,$I141*TreatyCatch!BO254/SUM(TreatyCatch!$BL254:$BM254,TreatyCatch!$BO254:$BP254),"")</f>
        <v/>
      </c>
      <c r="N141" s="894" t="str">
        <f>IF($I141,$I141*TreatyCatch!BP254/SUM(TreatyCatch!$BL254:$BM254,TreatyCatch!$BO254:$BP254),"")</f>
        <v/>
      </c>
      <c r="O141" s="877" t="str">
        <f t="shared" si="61"/>
        <v/>
      </c>
      <c r="P141" s="765"/>
      <c r="Q141" s="882" t="str">
        <f>IF($P141,$P141*TreatyCatch!BR254/SUM(TreatyCatch!$BR254:$BS254,TreatyCatch!$BU254:$BV254),"")</f>
        <v/>
      </c>
      <c r="R141" s="883" t="str">
        <f>IF($P141,$P141*TreatyCatch!BS254/SUM(TreatyCatch!$BR254:$BS254,TreatyCatch!$BU254:$BV254),"")</f>
        <v/>
      </c>
      <c r="S141" s="871" t="str">
        <f t="shared" si="64"/>
        <v/>
      </c>
      <c r="T141" s="858" t="str">
        <f>IF($P141,$P141*TreatyCatch!BU254/SUM(TreatyCatch!$BR254:$BS254,TreatyCatch!$BU254:$BV254),"")</f>
        <v/>
      </c>
      <c r="U141" s="859" t="str">
        <f>IF($P141,$P141*TreatyCatch!BV254/SUM(TreatyCatch!$BR254:$BS254,TreatyCatch!$BU254:$BV254),"")</f>
        <v/>
      </c>
      <c r="V141" s="840" t="str">
        <f t="shared" si="65"/>
        <v/>
      </c>
      <c r="W141" s="958"/>
      <c r="X141" s="852" t="str">
        <f>IF($W141,$W141*TreatyCatch!BX254/SUM(TreatyCatch!$BX254:$BY254,TreatyCatch!$CA254:$CB254),"")</f>
        <v/>
      </c>
      <c r="Y141" s="853" t="str">
        <f>IF($W141,$W141*TreatyCatch!BY254/SUM(TreatyCatch!$BX254:$BY254,TreatyCatch!$CA254:$CB254),"")</f>
        <v/>
      </c>
      <c r="Z141" s="846" t="str">
        <f t="shared" si="66"/>
        <v/>
      </c>
      <c r="AA141" s="893" t="str">
        <f>IF($W141,$W141*TreatyCatch!CA254/SUM(TreatyCatch!$BX254:$BY254,TreatyCatch!$CA254:$CB254),"")</f>
        <v/>
      </c>
      <c r="AB141" s="894" t="str">
        <f>IF($W141,$W141*TreatyCatch!CB254/SUM(TreatyCatch!$BX254:$BY254,TreatyCatch!$CA254:$CB254),"")</f>
        <v/>
      </c>
      <c r="AC141" s="957" t="str">
        <f t="shared" si="67"/>
        <v/>
      </c>
      <c r="AD141" s="958"/>
      <c r="AE141" s="1056" t="str">
        <f>IF($AD141,$AD141*TreatyCatch!CD371/SUM(TreatyCatch!$CD371:$CE371,TreatyCatch!$CG371:$CH371),"")</f>
        <v/>
      </c>
      <c r="AF141" s="1057" t="str">
        <f>IF($AD141,$AD141*TreatyCatch!CE371/SUM(TreatyCatch!$CD371:$CE371,TreatyCatch!$CG371:$CH371),"")</f>
        <v/>
      </c>
      <c r="AG141" s="1058" t="str">
        <f t="shared" si="68"/>
        <v/>
      </c>
      <c r="AH141" s="1059" t="str">
        <f>IF($AD141,$AD141*TreatyCatch!CG371/SUM(TreatyCatch!$CD371:CE371,TreatyCatch!$CG371:$CH371),"")</f>
        <v/>
      </c>
      <c r="AI141" s="1060" t="str">
        <f>IF($AD141,$AD141*TreatyCatch!CH371/SUM(TreatyCatch!$CD371:CF371,TreatyCatch!$CG371:$CH371),"")</f>
        <v/>
      </c>
      <c r="AJ141" s="1061" t="str">
        <f t="shared" si="69"/>
        <v/>
      </c>
      <c r="AK141" s="958"/>
      <c r="AL141" s="852"/>
      <c r="AM141" s="853"/>
      <c r="AN141" s="846"/>
      <c r="AO141" s="893"/>
      <c r="AP141" s="894"/>
      <c r="AQ141" s="957"/>
      <c r="AR141" s="765"/>
      <c r="AS141" s="882"/>
      <c r="AT141" s="883"/>
      <c r="AU141" s="871"/>
      <c r="AV141" s="858"/>
      <c r="AW141" s="859"/>
      <c r="AX141" s="840"/>
      <c r="AY141" s="765"/>
      <c r="AZ141" s="852"/>
      <c r="BA141" s="853"/>
      <c r="BB141" s="846"/>
      <c r="BC141" s="893"/>
      <c r="BD141" s="894"/>
      <c r="BE141" s="957"/>
      <c r="BF141" s="765"/>
      <c r="BG141" s="882"/>
      <c r="BH141" s="883"/>
      <c r="BI141" s="871"/>
      <c r="BJ141" s="858"/>
      <c r="BK141" s="859"/>
      <c r="BL141" s="840"/>
      <c r="BM141" s="765"/>
      <c r="BN141" s="852"/>
      <c r="BO141" s="853"/>
      <c r="BP141" s="846"/>
      <c r="BQ141" s="893"/>
      <c r="BR141" s="894"/>
      <c r="BS141" s="957"/>
      <c r="BT141" s="765"/>
      <c r="BU141" s="882"/>
      <c r="BV141" s="883"/>
      <c r="BW141" s="871"/>
      <c r="BX141" s="858"/>
      <c r="BY141" s="859"/>
      <c r="BZ141" s="840"/>
      <c r="CA141" s="765"/>
      <c r="CB141" s="852"/>
      <c r="CC141" s="853"/>
      <c r="CD141" s="846"/>
      <c r="CE141" s="893"/>
      <c r="CF141" s="894"/>
      <c r="CG141" s="957"/>
      <c r="CH141" s="765"/>
      <c r="CI141" s="882"/>
      <c r="CJ141" s="883"/>
      <c r="CK141" s="871"/>
      <c r="CL141" s="858"/>
      <c r="CM141" s="859"/>
      <c r="CN141" s="840"/>
    </row>
    <row r="142" spans="1:92" x14ac:dyDescent="0.25">
      <c r="A142" s="758">
        <v>17</v>
      </c>
      <c r="B142" s="766"/>
      <c r="C142" s="872" t="str">
        <f>IF($B142,$B142*TreatyCatch!BF255/SUM(TreatyCatch!$BF255:$BG255,TreatyCatch!$BI255:$BJ255),"")</f>
        <v/>
      </c>
      <c r="D142" s="872" t="str">
        <f>IF($B142,$B142*TreatyCatch!BG255/SUM(TreatyCatch!$BF255:$BG255,TreatyCatch!$BI255:$BJ255),"")</f>
        <v/>
      </c>
      <c r="E142" s="873" t="str">
        <f t="shared" si="62"/>
        <v/>
      </c>
      <c r="F142" s="843" t="str">
        <f>IF($B142,$B142*TreatyCatch!BI255/SUM(TreatyCatch!$BF255:$BG255,TreatyCatch!$BI255:$BJ255),"")</f>
        <v/>
      </c>
      <c r="G142" s="867" t="str">
        <f>IF($B142,$B142*TreatyCatch!BJ255/SUM(TreatyCatch!$BF255:$BG255,TreatyCatch!$BI255:$BJ255),"")</f>
        <v/>
      </c>
      <c r="H142" s="841" t="str">
        <f t="shared" si="63"/>
        <v/>
      </c>
      <c r="I142" s="766"/>
      <c r="J142" s="854" t="str">
        <f>IF($I142,$I142*TreatyCatch!BL255/SUM(TreatyCatch!$BL255:$BM255,TreatyCatch!$BO255:$BP255),"")</f>
        <v/>
      </c>
      <c r="K142" s="855" t="str">
        <f>IF($I142,$I142*TreatyCatch!BM255/SUM(TreatyCatch!$BL255:$BM255,TreatyCatch!$BO255:$BP255),"")</f>
        <v/>
      </c>
      <c r="L142" s="847" t="str">
        <f t="shared" si="60"/>
        <v/>
      </c>
      <c r="M142" s="895" t="str">
        <f>IF($I142,$I142*TreatyCatch!BO255/SUM(TreatyCatch!$BL255:$BM255,TreatyCatch!$BO255:$BP255),"")</f>
        <v/>
      </c>
      <c r="N142" s="896" t="str">
        <f>IF($I142,$I142*TreatyCatch!BP255/SUM(TreatyCatch!$BL255:$BM255,TreatyCatch!$BO255:$BP255),"")</f>
        <v/>
      </c>
      <c r="O142" s="879" t="str">
        <f t="shared" si="61"/>
        <v/>
      </c>
      <c r="P142" s="766"/>
      <c r="Q142" s="885" t="str">
        <f>IF($P142,$P142*TreatyCatch!BR255/SUM(TreatyCatch!$BR255:$BS255,TreatyCatch!$BU255:$BV255),"")</f>
        <v/>
      </c>
      <c r="R142" s="886" t="str">
        <f>IF($P142,$P142*TreatyCatch!BS255/SUM(TreatyCatch!$BR255:$BS255,TreatyCatch!$BU255:$BV255),"")</f>
        <v/>
      </c>
      <c r="S142" s="873" t="str">
        <f t="shared" si="64"/>
        <v/>
      </c>
      <c r="T142" s="861" t="str">
        <f>IF($P142,$P142*TreatyCatch!BU255/SUM(TreatyCatch!$BR255:$BS255,TreatyCatch!$BU255:$BV255),"")</f>
        <v/>
      </c>
      <c r="U142" s="862" t="str">
        <f>IF($P142,$P142*TreatyCatch!BV255/SUM(TreatyCatch!$BR255:$BS255,TreatyCatch!$BU255:$BV255),"")</f>
        <v/>
      </c>
      <c r="V142" s="841" t="str">
        <f t="shared" si="65"/>
        <v/>
      </c>
      <c r="W142" s="964"/>
      <c r="X142" s="854" t="str">
        <f>IF($W142,$W142*TreatyCatch!BX255/SUM(TreatyCatch!$BX255:$BY255,TreatyCatch!$CA255:$CB255),"")</f>
        <v/>
      </c>
      <c r="Y142" s="855" t="str">
        <f>IF($W142,$W142*TreatyCatch!BY255/SUM(TreatyCatch!$BX255:$BY255,TreatyCatch!$CA255:$CB255),"")</f>
        <v/>
      </c>
      <c r="Z142" s="847" t="str">
        <f t="shared" si="66"/>
        <v/>
      </c>
      <c r="AA142" s="895" t="str">
        <f>IF($W142,$W142*TreatyCatch!CA255/SUM(TreatyCatch!$BX255:$BY255,TreatyCatch!$CA255:$CB255),"")</f>
        <v/>
      </c>
      <c r="AB142" s="896" t="str">
        <f>IF($W142,$W142*TreatyCatch!CB255/SUM(TreatyCatch!$BX255:$BY255,TreatyCatch!$CA255:$CB255),"")</f>
        <v/>
      </c>
      <c r="AC142" s="963" t="str">
        <f t="shared" si="67"/>
        <v/>
      </c>
      <c r="AD142" s="964"/>
      <c r="AE142" s="1062" t="str">
        <f>IF($AD142,$AD142*TreatyCatch!CD372/SUM(TreatyCatch!$CD372:$CE372,TreatyCatch!$CG372:$CH372),"")</f>
        <v/>
      </c>
      <c r="AF142" s="1063" t="str">
        <f>IF($AD142,$AD142*TreatyCatch!CE372/SUM(TreatyCatch!$CD372:$CE372,TreatyCatch!$CG372:$CH372),"")</f>
        <v/>
      </c>
      <c r="AG142" s="1064" t="str">
        <f t="shared" si="68"/>
        <v/>
      </c>
      <c r="AH142" s="1065" t="str">
        <f>IF($AD142,$AD142*TreatyCatch!CG372/SUM(TreatyCatch!$CD372:CE372,TreatyCatch!$CG372:$CH372),"")</f>
        <v/>
      </c>
      <c r="AI142" s="1066" t="str">
        <f>IF($AD142,$AD142*TreatyCatch!CH372/SUM(TreatyCatch!$CD372:CF372,TreatyCatch!$CG372:$CH372),"")</f>
        <v/>
      </c>
      <c r="AJ142" s="1067" t="str">
        <f t="shared" si="69"/>
        <v/>
      </c>
      <c r="AK142" s="964"/>
      <c r="AL142" s="854"/>
      <c r="AM142" s="855"/>
      <c r="AN142" s="847"/>
      <c r="AO142" s="895"/>
      <c r="AP142" s="896"/>
      <c r="AQ142" s="963"/>
      <c r="AR142" s="766"/>
      <c r="AS142" s="885"/>
      <c r="AT142" s="886"/>
      <c r="AU142" s="873"/>
      <c r="AV142" s="861"/>
      <c r="AW142" s="862"/>
      <c r="AX142" s="841"/>
      <c r="AY142" s="766"/>
      <c r="AZ142" s="854"/>
      <c r="BA142" s="855"/>
      <c r="BB142" s="847"/>
      <c r="BC142" s="895"/>
      <c r="BD142" s="896"/>
      <c r="BE142" s="963"/>
      <c r="BF142" s="766"/>
      <c r="BG142" s="885"/>
      <c r="BH142" s="886"/>
      <c r="BI142" s="873"/>
      <c r="BJ142" s="861"/>
      <c r="BK142" s="862"/>
      <c r="BL142" s="841"/>
      <c r="BM142" s="766"/>
      <c r="BN142" s="854"/>
      <c r="BO142" s="855"/>
      <c r="BP142" s="847"/>
      <c r="BQ142" s="895"/>
      <c r="BR142" s="896"/>
      <c r="BS142" s="963"/>
      <c r="BT142" s="766"/>
      <c r="BU142" s="885"/>
      <c r="BV142" s="886"/>
      <c r="BW142" s="873"/>
      <c r="BX142" s="861"/>
      <c r="BY142" s="862"/>
      <c r="BZ142" s="841"/>
      <c r="CA142" s="766"/>
      <c r="CB142" s="854"/>
      <c r="CC142" s="855"/>
      <c r="CD142" s="847"/>
      <c r="CE142" s="895"/>
      <c r="CF142" s="896"/>
      <c r="CG142" s="963"/>
      <c r="CH142" s="766"/>
      <c r="CI142" s="885"/>
      <c r="CJ142" s="886"/>
      <c r="CK142" s="873"/>
      <c r="CL142" s="861"/>
      <c r="CM142" s="862"/>
      <c r="CN142" s="841"/>
    </row>
    <row r="143" spans="1:92" x14ac:dyDescent="0.25">
      <c r="A143" s="757">
        <v>18</v>
      </c>
      <c r="B143" s="765"/>
      <c r="C143" s="898" t="str">
        <f>IF($B143,$B143*TreatyCatch!BF256/SUM(TreatyCatch!$BF256:$BG256,TreatyCatch!$BI256:$BJ256),"")</f>
        <v/>
      </c>
      <c r="D143" s="844" t="str">
        <f>IF($B143,$B143*TreatyCatch!BG256/SUM(TreatyCatch!$BF256:$BG256,TreatyCatch!$BI256:$BJ256),"")</f>
        <v/>
      </c>
      <c r="E143" s="846" t="str">
        <f>IFERROR(C143+N$5*D143,"")</f>
        <v/>
      </c>
      <c r="F143" s="838" t="str">
        <f>IF($B143,$B143*TreatyCatch!BI256/SUM(TreatyCatch!$BF256:$BG256,TreatyCatch!$BI256:$BJ256),"")</f>
        <v/>
      </c>
      <c r="G143" s="866" t="str">
        <f>IF($B143,$B143*TreatyCatch!BJ256/SUM(TreatyCatch!$BF256:$BG256,TreatyCatch!$BI256:$BJ256),"")</f>
        <v/>
      </c>
      <c r="H143" s="840" t="str">
        <f t="shared" si="63"/>
        <v/>
      </c>
      <c r="I143" s="765"/>
      <c r="J143" s="882" t="str">
        <f>IF($I143,$I143*TreatyCatch!BL256/SUM(TreatyCatch!$BL256:$BM256,TreatyCatch!$BO256:$BP256),"")</f>
        <v/>
      </c>
      <c r="K143" s="883" t="str">
        <f>IF($I143,$I143*TreatyCatch!BM256/SUM(TreatyCatch!$BL256:$BM256,TreatyCatch!$BO256:$BP256),"")</f>
        <v/>
      </c>
      <c r="L143" s="901" t="str">
        <f>IFERROR(J143+U$5*K143,"")</f>
        <v/>
      </c>
      <c r="M143" s="893" t="str">
        <f>IF($I143,$I143*TreatyCatch!BO256/SUM(TreatyCatch!$BL256:$BM256,TreatyCatch!$BO256:$BP256),"")</f>
        <v/>
      </c>
      <c r="N143" s="894" t="str">
        <f>IF($I143,$I143*TreatyCatch!BP256/SUM(TreatyCatch!$BL256:$BM256,TreatyCatch!$BO256:$BP256),"")</f>
        <v/>
      </c>
      <c r="O143" s="877" t="str">
        <f t="shared" si="61"/>
        <v/>
      </c>
      <c r="P143" s="765"/>
      <c r="Q143" s="852" t="str">
        <f>IF($P143,$P143*TreatyCatch!BR256/SUM(TreatyCatch!$BR256:$BS256,TreatyCatch!$BU256:$BV256),"")</f>
        <v/>
      </c>
      <c r="R143" s="853" t="str">
        <f>IF($P143,$P143*TreatyCatch!BS256/SUM(TreatyCatch!$BR256:$BS256,TreatyCatch!$BU256:$BV256),"")</f>
        <v/>
      </c>
      <c r="S143" s="846" t="str">
        <f>IFERROR(Q143+AB$5*R143,"")</f>
        <v/>
      </c>
      <c r="T143" s="858" t="str">
        <f>IF($P143,$P143*TreatyCatch!BU256/SUM(TreatyCatch!$BR256:$BS256,TreatyCatch!$BU256:$BV256),"")</f>
        <v/>
      </c>
      <c r="U143" s="859" t="str">
        <f>IF($P143,$P143*TreatyCatch!BV256/SUM(TreatyCatch!$BR256:$BS256,TreatyCatch!$BU256:$BV256),"")</f>
        <v/>
      </c>
      <c r="V143" s="840" t="str">
        <f t="shared" si="65"/>
        <v/>
      </c>
      <c r="W143" s="958"/>
      <c r="X143" s="880" t="str">
        <f>IF($W143,$W143*TreatyCatch!BX256/SUM(TreatyCatch!$BX256:$BY256,TreatyCatch!$CA256:$CB256),"")</f>
        <v/>
      </c>
      <c r="Y143" s="881" t="str">
        <f>IF($W143,$W143*TreatyCatch!BY256/SUM(TreatyCatch!$BX256:$BY256,TreatyCatch!$CA256:$CB256),"")</f>
        <v/>
      </c>
      <c r="Z143" s="900" t="str">
        <f>IFERROR(X143+AI$5*Y143,"")</f>
        <v/>
      </c>
      <c r="AA143" s="891" t="str">
        <f>IF($W143,$W143*TreatyCatch!CA256/SUM(TreatyCatch!$BX256:$BY256,TreatyCatch!$CA256:$CB256),"")</f>
        <v/>
      </c>
      <c r="AB143" s="892" t="str">
        <f>IF($W143,$W143*TreatyCatch!CB256/SUM(TreatyCatch!$BX256:$BY256,TreatyCatch!$CA256:$CB256),"")</f>
        <v/>
      </c>
      <c r="AC143" s="956" t="str">
        <f t="shared" si="67"/>
        <v/>
      </c>
      <c r="AD143" s="958"/>
      <c r="AE143" s="1071" t="str">
        <f>IF($AD143,$AD143*TreatyCatch!CD373/SUM(TreatyCatch!$CD373:$CE373,TreatyCatch!$CG373:$CH373),"")</f>
        <v/>
      </c>
      <c r="AF143" s="1072" t="str">
        <f>IF($AD143,$AD143*TreatyCatch!CE373/SUM(TreatyCatch!$CD373:$CE373,TreatyCatch!$CG373:$CH373),"")</f>
        <v/>
      </c>
      <c r="AG143" s="1073" t="str">
        <f>IFERROR(AE143+AP$5*AF143,"")</f>
        <v/>
      </c>
      <c r="AH143" s="1059" t="str">
        <f>IF($AD143,$AD143*TreatyCatch!CG373/SUM(TreatyCatch!$CD373:CE373,TreatyCatch!$CG373:$CH373),"")</f>
        <v/>
      </c>
      <c r="AI143" s="1060" t="str">
        <f>IF($AD143,$AD143*TreatyCatch!CH373/SUM(TreatyCatch!$CD373:CF373,TreatyCatch!$CG373:$CH373),"")</f>
        <v/>
      </c>
      <c r="AJ143" s="1061" t="str">
        <f t="shared" si="69"/>
        <v/>
      </c>
      <c r="AK143" s="969"/>
      <c r="AL143" s="880"/>
      <c r="AM143" s="881"/>
      <c r="AN143" s="900"/>
      <c r="AO143" s="891"/>
      <c r="AP143" s="892"/>
      <c r="AQ143" s="956"/>
      <c r="AR143" s="765"/>
      <c r="AS143" s="852"/>
      <c r="AT143" s="853"/>
      <c r="AU143" s="846"/>
      <c r="AV143" s="858"/>
      <c r="AW143" s="859"/>
      <c r="AX143" s="840"/>
      <c r="AY143" s="765"/>
      <c r="AZ143" s="880"/>
      <c r="BA143" s="881"/>
      <c r="BB143" s="900"/>
      <c r="BC143" s="891"/>
      <c r="BD143" s="892"/>
      <c r="BE143" s="956"/>
      <c r="BF143" s="765"/>
      <c r="BG143" s="852"/>
      <c r="BH143" s="853"/>
      <c r="BI143" s="846"/>
      <c r="BJ143" s="858"/>
      <c r="BK143" s="859"/>
      <c r="BL143" s="840"/>
      <c r="BM143" s="765"/>
      <c r="BN143" s="880"/>
      <c r="BO143" s="881"/>
      <c r="BP143" s="900"/>
      <c r="BQ143" s="891"/>
      <c r="BR143" s="892"/>
      <c r="BS143" s="956"/>
      <c r="BT143" s="765"/>
      <c r="BU143" s="852"/>
      <c r="BV143" s="853"/>
      <c r="BW143" s="846"/>
      <c r="BX143" s="858"/>
      <c r="BY143" s="859"/>
      <c r="BZ143" s="840"/>
      <c r="CA143" s="765"/>
      <c r="CB143" s="880"/>
      <c r="CC143" s="881"/>
      <c r="CD143" s="900"/>
      <c r="CE143" s="891"/>
      <c r="CF143" s="892"/>
      <c r="CG143" s="956"/>
      <c r="CH143" s="765"/>
      <c r="CI143" s="852"/>
      <c r="CJ143" s="853"/>
      <c r="CK143" s="846"/>
      <c r="CL143" s="858"/>
      <c r="CM143" s="859"/>
      <c r="CN143" s="840"/>
    </row>
    <row r="144" spans="1:92" x14ac:dyDescent="0.25">
      <c r="A144" s="757">
        <v>19</v>
      </c>
      <c r="B144" s="765"/>
      <c r="C144" s="844" t="str">
        <f>IF($B144,$B144*TreatyCatch!BF257/SUM(TreatyCatch!$BF257:$BG257,TreatyCatch!$BI257:$BJ257),"")</f>
        <v/>
      </c>
      <c r="D144" s="844" t="str">
        <f>IF($B144,$B144*TreatyCatch!BG257/SUM(TreatyCatch!$BF257:$BG257,TreatyCatch!$BI257:$BJ257),"")</f>
        <v/>
      </c>
      <c r="E144" s="846" t="str">
        <f t="shared" ref="E144:E178" si="70">IFERROR(C144+N$5*D144,"")</f>
        <v/>
      </c>
      <c r="F144" s="838" t="str">
        <f>IF($B144,$B144*TreatyCatch!BI257/SUM(TreatyCatch!$BF257:$BG257,TreatyCatch!$BI257:$BJ257),"")</f>
        <v/>
      </c>
      <c r="G144" s="866" t="str">
        <f>IF($B144,$B144*TreatyCatch!BJ257/SUM(TreatyCatch!$BF257:$BG257,TreatyCatch!$BI257:$BJ257),"")</f>
        <v/>
      </c>
      <c r="H144" s="840" t="str">
        <f t="shared" si="63"/>
        <v/>
      </c>
      <c r="I144" s="765"/>
      <c r="J144" s="882" t="str">
        <f>IF($I144,$I144*TreatyCatch!BL257/SUM(TreatyCatch!$BL257:$BM257,TreatyCatch!$BO257:$BP257),"")</f>
        <v/>
      </c>
      <c r="K144" s="883" t="str">
        <f>IF($I144,$I144*TreatyCatch!BM257/SUM(TreatyCatch!$BL257:$BM257,TreatyCatch!$BO257:$BP257),"")</f>
        <v/>
      </c>
      <c r="L144" s="901" t="str">
        <f t="shared" ref="L144:L178" si="71">IFERROR(J144+U$5*K144,"")</f>
        <v/>
      </c>
      <c r="M144" s="893" t="str">
        <f>IF($I144,$I144*TreatyCatch!BO257/SUM(TreatyCatch!$BL257:$BM257,TreatyCatch!$BO257:$BP257),"")</f>
        <v/>
      </c>
      <c r="N144" s="894" t="str">
        <f>IF($I144,$I144*TreatyCatch!BP257/SUM(TreatyCatch!$BL257:$BM257,TreatyCatch!$BO257:$BP257),"")</f>
        <v/>
      </c>
      <c r="O144" s="877" t="str">
        <f t="shared" si="61"/>
        <v/>
      </c>
      <c r="P144" s="765"/>
      <c r="Q144" s="852" t="str">
        <f>IF($P144,$P144*TreatyCatch!BR257/SUM(TreatyCatch!$BR257:$BS257,TreatyCatch!$BU257:$BV257),"")</f>
        <v/>
      </c>
      <c r="R144" s="853" t="str">
        <f>IF($P144,$P144*TreatyCatch!BS257/SUM(TreatyCatch!$BR257:$BS257,TreatyCatch!$BU257:$BV257),"")</f>
        <v/>
      </c>
      <c r="S144" s="856" t="str">
        <f t="shared" ref="S144:S178" si="72">IFERROR(Q144+AB$5*R144,"")</f>
        <v/>
      </c>
      <c r="T144" s="858" t="str">
        <f>IF($P144,$P144*TreatyCatch!BU257/SUM(TreatyCatch!$BR257:$BS257,TreatyCatch!$BU257:$BV257),"")</f>
        <v/>
      </c>
      <c r="U144" s="859" t="str">
        <f>IF($P144,$P144*TreatyCatch!BV257/SUM(TreatyCatch!$BR257:$BS257,TreatyCatch!$BU257:$BV257),"")</f>
        <v/>
      </c>
      <c r="V144" s="840" t="str">
        <f t="shared" si="65"/>
        <v/>
      </c>
      <c r="W144" s="958"/>
      <c r="X144" s="882" t="str">
        <f>IF($W144,$W144*TreatyCatch!BX257/SUM(TreatyCatch!$BX257:$BY257,TreatyCatch!$CA257:$CB257),"")</f>
        <v/>
      </c>
      <c r="Y144" s="883" t="str">
        <f>IF($W144,$W144*TreatyCatch!BY257/SUM(TreatyCatch!$BX257:$BY257,TreatyCatch!$CA257:$CB257),"")</f>
        <v/>
      </c>
      <c r="Z144" s="901" t="str">
        <f t="shared" ref="Z144:Z178" si="73">IFERROR(X144+AI$5*Y144,"")</f>
        <v/>
      </c>
      <c r="AA144" s="893" t="str">
        <f>IF($W144,$W144*TreatyCatch!CA257/SUM(TreatyCatch!$BX257:$BY257,TreatyCatch!$CA257:$CB257),"")</f>
        <v/>
      </c>
      <c r="AB144" s="894" t="str">
        <f>IF($W144,$W144*TreatyCatch!CB257/SUM(TreatyCatch!$BX257:$BY257,TreatyCatch!$CA257:$CB257),"")</f>
        <v/>
      </c>
      <c r="AC144" s="957" t="str">
        <f t="shared" si="67"/>
        <v/>
      </c>
      <c r="AD144" s="958"/>
      <c r="AE144" s="1071" t="str">
        <f>IF($AD144,$AD144*TreatyCatch!CD374/SUM(TreatyCatch!$CD374:$CE374,TreatyCatch!$CG374:$CH374),"")</f>
        <v/>
      </c>
      <c r="AF144" s="1072" t="str">
        <f>IF($AD144,$AD144*TreatyCatch!CE374/SUM(TreatyCatch!$CD374:$CE374,TreatyCatch!$CG374:$CH374),"")</f>
        <v/>
      </c>
      <c r="AG144" s="1073" t="str">
        <f t="shared" ref="AG144:AG178" si="74">IFERROR(AE144+AP$5*AF144,"")</f>
        <v/>
      </c>
      <c r="AH144" s="1059" t="str">
        <f>IF($AD144,$AD144*TreatyCatch!CG374/SUM(TreatyCatch!$CD374:CE374,TreatyCatch!$CG374:$CH374),"")</f>
        <v/>
      </c>
      <c r="AI144" s="1060" t="str">
        <f>IF($AD144,$AD144*TreatyCatch!CH374/SUM(TreatyCatch!$CD374:CF374,TreatyCatch!$CG374:$CH374),"")</f>
        <v/>
      </c>
      <c r="AJ144" s="1061" t="str">
        <f t="shared" si="69"/>
        <v/>
      </c>
      <c r="AK144" s="958"/>
      <c r="AL144" s="882"/>
      <c r="AM144" s="883"/>
      <c r="AN144" s="901"/>
      <c r="AO144" s="893"/>
      <c r="AP144" s="894"/>
      <c r="AQ144" s="957"/>
      <c r="AR144" s="765"/>
      <c r="AS144" s="852"/>
      <c r="AT144" s="853"/>
      <c r="AU144" s="856"/>
      <c r="AV144" s="858"/>
      <c r="AW144" s="859"/>
      <c r="AX144" s="840"/>
      <c r="AY144" s="765"/>
      <c r="AZ144" s="882"/>
      <c r="BA144" s="883"/>
      <c r="BB144" s="901"/>
      <c r="BC144" s="893"/>
      <c r="BD144" s="894"/>
      <c r="BE144" s="957"/>
      <c r="BF144" s="765"/>
      <c r="BG144" s="852"/>
      <c r="BH144" s="853"/>
      <c r="BI144" s="856"/>
      <c r="BJ144" s="858"/>
      <c r="BK144" s="859"/>
      <c r="BL144" s="840"/>
      <c r="BM144" s="765"/>
      <c r="BN144" s="882"/>
      <c r="BO144" s="883"/>
      <c r="BP144" s="901"/>
      <c r="BQ144" s="893"/>
      <c r="BR144" s="894"/>
      <c r="BS144" s="957"/>
      <c r="BT144" s="765"/>
      <c r="BU144" s="852"/>
      <c r="BV144" s="853"/>
      <c r="BW144" s="856"/>
      <c r="BX144" s="858"/>
      <c r="BY144" s="859"/>
      <c r="BZ144" s="840"/>
      <c r="CA144" s="765"/>
      <c r="CB144" s="882"/>
      <c r="CC144" s="883"/>
      <c r="CD144" s="901"/>
      <c r="CE144" s="893"/>
      <c r="CF144" s="894"/>
      <c r="CG144" s="957"/>
      <c r="CH144" s="765"/>
      <c r="CI144" s="852"/>
      <c r="CJ144" s="853"/>
      <c r="CK144" s="856"/>
      <c r="CL144" s="858"/>
      <c r="CM144" s="859"/>
      <c r="CN144" s="840"/>
    </row>
    <row r="145" spans="1:92" x14ac:dyDescent="0.25">
      <c r="A145" s="757">
        <v>20</v>
      </c>
      <c r="B145" s="765"/>
      <c r="C145" s="844" t="str">
        <f>IF($B145,$B145*TreatyCatch!BF258/SUM(TreatyCatch!$BF258:$BG258,TreatyCatch!$BI258:$BJ258),"")</f>
        <v/>
      </c>
      <c r="D145" s="844" t="str">
        <f>IF($B145,$B145*TreatyCatch!BG258/SUM(TreatyCatch!$BF258:$BG258,TreatyCatch!$BI258:$BJ258),"")</f>
        <v/>
      </c>
      <c r="E145" s="846" t="str">
        <f t="shared" si="70"/>
        <v/>
      </c>
      <c r="F145" s="838" t="str">
        <f>IF($B145,$B145*TreatyCatch!BI258/SUM(TreatyCatch!$BF258:$BG258,TreatyCatch!$BI258:$BJ258),"")</f>
        <v/>
      </c>
      <c r="G145" s="866" t="str">
        <f>IF($B145,$B145*TreatyCatch!BJ258/SUM(TreatyCatch!$BF258:$BG258,TreatyCatch!$BI258:$BJ258),"")</f>
        <v/>
      </c>
      <c r="H145" s="840" t="str">
        <f t="shared" si="63"/>
        <v/>
      </c>
      <c r="I145" s="765"/>
      <c r="J145" s="882" t="str">
        <f>IF($I145,$I145*TreatyCatch!BL258/SUM(TreatyCatch!$BL258:$BM258,TreatyCatch!$BO258:$BP258),"")</f>
        <v/>
      </c>
      <c r="K145" s="883" t="str">
        <f>IF($I145,$I145*TreatyCatch!BM258/SUM(TreatyCatch!$BL258:$BM258,TreatyCatch!$BO258:$BP258),"")</f>
        <v/>
      </c>
      <c r="L145" s="901" t="str">
        <f t="shared" si="71"/>
        <v/>
      </c>
      <c r="M145" s="893" t="str">
        <f>IF($I145,$I145*TreatyCatch!BO258/SUM(TreatyCatch!$BL258:$BM258,TreatyCatch!$BO258:$BP258),"")</f>
        <v/>
      </c>
      <c r="N145" s="894" t="str">
        <f>IF($I145,$I145*TreatyCatch!BP258/SUM(TreatyCatch!$BL258:$BM258,TreatyCatch!$BO258:$BP258),"")</f>
        <v/>
      </c>
      <c r="O145" s="877" t="str">
        <f t="shared" si="61"/>
        <v/>
      </c>
      <c r="P145" s="765"/>
      <c r="Q145" s="852" t="str">
        <f>IF($P145,$P145*TreatyCatch!BR258/SUM(TreatyCatch!$BR258:$BS258,TreatyCatch!$BU258:$BV258),"")</f>
        <v/>
      </c>
      <c r="R145" s="853" t="str">
        <f>IF($P145,$P145*TreatyCatch!BS258/SUM(TreatyCatch!$BR258:$BS258,TreatyCatch!$BU258:$BV258),"")</f>
        <v/>
      </c>
      <c r="S145" s="856" t="str">
        <f t="shared" si="72"/>
        <v/>
      </c>
      <c r="T145" s="858" t="str">
        <f>IF($P145,$P145*TreatyCatch!BU258/SUM(TreatyCatch!$BR258:$BS258,TreatyCatch!$BU258:$BV258),"")</f>
        <v/>
      </c>
      <c r="U145" s="859" t="str">
        <f>IF($P145,$P145*TreatyCatch!BV258/SUM(TreatyCatch!$BR258:$BS258,TreatyCatch!$BU258:$BV258),"")</f>
        <v/>
      </c>
      <c r="V145" s="840" t="str">
        <f t="shared" si="65"/>
        <v/>
      </c>
      <c r="W145" s="958"/>
      <c r="X145" s="882" t="str">
        <f>IF($W145,$W145*TreatyCatch!BX258/SUM(TreatyCatch!$BX258:$BY258,TreatyCatch!$CA258:$CB258),"")</f>
        <v/>
      </c>
      <c r="Y145" s="883" t="str">
        <f>IF($W145,$W145*TreatyCatch!BY258/SUM(TreatyCatch!$BX258:$BY258,TreatyCatch!$CA258:$CB258),"")</f>
        <v/>
      </c>
      <c r="Z145" s="901" t="str">
        <f t="shared" si="73"/>
        <v/>
      </c>
      <c r="AA145" s="893" t="str">
        <f>IF($W145,$W145*TreatyCatch!CA258/SUM(TreatyCatch!$BX258:$BY258,TreatyCatch!$CA258:$CB258),"")</f>
        <v/>
      </c>
      <c r="AB145" s="894" t="str">
        <f>IF($W145,$W145*TreatyCatch!CB258/SUM(TreatyCatch!$BX258:$BY258,TreatyCatch!$CA258:$CB258),"")</f>
        <v/>
      </c>
      <c r="AC145" s="957" t="str">
        <f t="shared" si="67"/>
        <v/>
      </c>
      <c r="AD145" s="958"/>
      <c r="AE145" s="1071" t="str">
        <f>IF($AD145,$AD145*TreatyCatch!CD375/SUM(TreatyCatch!$CD375:$CE375,TreatyCatch!$CG375:$CH375),"")</f>
        <v/>
      </c>
      <c r="AF145" s="1072" t="str">
        <f>IF($AD145,$AD145*TreatyCatch!CE375/SUM(TreatyCatch!$CD375:$CE375,TreatyCatch!$CG375:$CH375),"")</f>
        <v/>
      </c>
      <c r="AG145" s="1073" t="str">
        <f t="shared" si="74"/>
        <v/>
      </c>
      <c r="AH145" s="1059" t="str">
        <f>IF($AD145,$AD145*TreatyCatch!CG375/SUM(TreatyCatch!$CD375:CE375,TreatyCatch!$CG375:$CH375),"")</f>
        <v/>
      </c>
      <c r="AI145" s="1060" t="str">
        <f>IF($AD145,$AD145*TreatyCatch!CH375/SUM(TreatyCatch!$CD375:CF375,TreatyCatch!$CG375:$CH375),"")</f>
        <v/>
      </c>
      <c r="AJ145" s="1061" t="str">
        <f t="shared" si="69"/>
        <v/>
      </c>
      <c r="AK145" s="958"/>
      <c r="AL145" s="882"/>
      <c r="AM145" s="883"/>
      <c r="AN145" s="901"/>
      <c r="AO145" s="893"/>
      <c r="AP145" s="894"/>
      <c r="AQ145" s="957"/>
      <c r="AR145" s="765"/>
      <c r="AS145" s="852"/>
      <c r="AT145" s="853"/>
      <c r="AU145" s="856"/>
      <c r="AV145" s="858"/>
      <c r="AW145" s="859"/>
      <c r="AX145" s="840"/>
      <c r="AY145" s="765"/>
      <c r="AZ145" s="882"/>
      <c r="BA145" s="883"/>
      <c r="BB145" s="901"/>
      <c r="BC145" s="893"/>
      <c r="BD145" s="894"/>
      <c r="BE145" s="957"/>
      <c r="BF145" s="765"/>
      <c r="BG145" s="852"/>
      <c r="BH145" s="853"/>
      <c r="BI145" s="856"/>
      <c r="BJ145" s="858"/>
      <c r="BK145" s="859"/>
      <c r="BL145" s="840"/>
      <c r="BM145" s="765"/>
      <c r="BN145" s="882"/>
      <c r="BO145" s="883"/>
      <c r="BP145" s="901"/>
      <c r="BQ145" s="893"/>
      <c r="BR145" s="894"/>
      <c r="BS145" s="957"/>
      <c r="BT145" s="765"/>
      <c r="BU145" s="852"/>
      <c r="BV145" s="853"/>
      <c r="BW145" s="856"/>
      <c r="BX145" s="858"/>
      <c r="BY145" s="859"/>
      <c r="BZ145" s="840"/>
      <c r="CA145" s="765"/>
      <c r="CB145" s="882"/>
      <c r="CC145" s="883"/>
      <c r="CD145" s="901"/>
      <c r="CE145" s="893"/>
      <c r="CF145" s="894"/>
      <c r="CG145" s="957"/>
      <c r="CH145" s="765"/>
      <c r="CI145" s="852"/>
      <c r="CJ145" s="853"/>
      <c r="CK145" s="856"/>
      <c r="CL145" s="858"/>
      <c r="CM145" s="859"/>
      <c r="CN145" s="840"/>
    </row>
    <row r="146" spans="1:92" x14ac:dyDescent="0.25">
      <c r="A146" s="757">
        <v>21</v>
      </c>
      <c r="B146" s="765"/>
      <c r="C146" s="844" t="str">
        <f>IF($B146,$B146*TreatyCatch!BF259/SUM(TreatyCatch!$BF259:$BG259,TreatyCatch!$BI259:$BJ259),"")</f>
        <v/>
      </c>
      <c r="D146" s="844" t="str">
        <f>IF($B146,$B146*TreatyCatch!BG259/SUM(TreatyCatch!$BF259:$BG259,TreatyCatch!$BI259:$BJ259),"")</f>
        <v/>
      </c>
      <c r="E146" s="846" t="str">
        <f t="shared" si="70"/>
        <v/>
      </c>
      <c r="F146" s="838" t="str">
        <f>IF($B146,$B146*TreatyCatch!BI259/SUM(TreatyCatch!$BF259:$BG259,TreatyCatch!$BI259:$BJ259),"")</f>
        <v/>
      </c>
      <c r="G146" s="866" t="str">
        <f>IF($B146,$B146*TreatyCatch!BJ259/SUM(TreatyCatch!$BF259:$BG259,TreatyCatch!$BI259:$BJ259),"")</f>
        <v/>
      </c>
      <c r="H146" s="840" t="str">
        <f t="shared" si="63"/>
        <v/>
      </c>
      <c r="I146" s="765"/>
      <c r="J146" s="882" t="str">
        <f>IF($I146,$I146*TreatyCatch!BL259/SUM(TreatyCatch!$BL259:$BM259,TreatyCatch!$BO259:$BP259),"")</f>
        <v/>
      </c>
      <c r="K146" s="883" t="str">
        <f>IF($I146,$I146*TreatyCatch!BM259/SUM(TreatyCatch!$BL259:$BM259,TreatyCatch!$BO259:$BP259),"")</f>
        <v/>
      </c>
      <c r="L146" s="901" t="str">
        <f t="shared" si="71"/>
        <v/>
      </c>
      <c r="M146" s="893" t="str">
        <f>IF($I146,$I146*TreatyCatch!BO259/SUM(TreatyCatch!$BL259:$BM259,TreatyCatch!$BO259:$BP259),"")</f>
        <v/>
      </c>
      <c r="N146" s="894" t="str">
        <f>IF($I146,$I146*TreatyCatch!BP259/SUM(TreatyCatch!$BL259:$BM259,TreatyCatch!$BO259:$BP259),"")</f>
        <v/>
      </c>
      <c r="O146" s="877" t="str">
        <f t="shared" si="61"/>
        <v/>
      </c>
      <c r="P146" s="765"/>
      <c r="Q146" s="852" t="str">
        <f>IF($P146,$P146*TreatyCatch!BR259/SUM(TreatyCatch!$BR259:$BS259,TreatyCatch!$BU259:$BV259),"")</f>
        <v/>
      </c>
      <c r="R146" s="853" t="str">
        <f>IF($P146,$P146*TreatyCatch!BS259/SUM(TreatyCatch!$BR259:$BS259,TreatyCatch!$BU259:$BV259),"")</f>
        <v/>
      </c>
      <c r="S146" s="856" t="str">
        <f t="shared" si="72"/>
        <v/>
      </c>
      <c r="T146" s="858" t="str">
        <f>IF($P146,$P146*TreatyCatch!BU259/SUM(TreatyCatch!$BR259:$BS259,TreatyCatch!$BU259:$BV259),"")</f>
        <v/>
      </c>
      <c r="U146" s="859" t="str">
        <f>IF($P146,$P146*TreatyCatch!BV259/SUM(TreatyCatch!$BR259:$BS259,TreatyCatch!$BU259:$BV259),"")</f>
        <v/>
      </c>
      <c r="V146" s="840" t="str">
        <f t="shared" si="65"/>
        <v/>
      </c>
      <c r="W146" s="958"/>
      <c r="X146" s="882" t="str">
        <f>IF($W146,$W146*TreatyCatch!BX259/SUM(TreatyCatch!$BX259:$BY259,TreatyCatch!$CA259:$CB259),"")</f>
        <v/>
      </c>
      <c r="Y146" s="883" t="str">
        <f>IF($W146,$W146*TreatyCatch!BY259/SUM(TreatyCatch!$BX259:$BY259,TreatyCatch!$CA259:$CB259),"")</f>
        <v/>
      </c>
      <c r="Z146" s="901" t="str">
        <f t="shared" si="73"/>
        <v/>
      </c>
      <c r="AA146" s="893" t="str">
        <f>IF($W146,$W146*TreatyCatch!CA259/SUM(TreatyCatch!$BX259:$BY259,TreatyCatch!$CA259:$CB259),"")</f>
        <v/>
      </c>
      <c r="AB146" s="894" t="str">
        <f>IF($W146,$W146*TreatyCatch!CB259/SUM(TreatyCatch!$BX259:$BY259,TreatyCatch!$CA259:$CB259),"")</f>
        <v/>
      </c>
      <c r="AC146" s="957" t="str">
        <f t="shared" si="67"/>
        <v/>
      </c>
      <c r="AD146" s="958"/>
      <c r="AE146" s="1071" t="str">
        <f>IF($AD146,$AD146*TreatyCatch!CD376/SUM(TreatyCatch!$CD376:$CE376,TreatyCatch!$CG376:$CH376),"")</f>
        <v/>
      </c>
      <c r="AF146" s="1072" t="str">
        <f>IF($AD146,$AD146*TreatyCatch!CE376/SUM(TreatyCatch!$CD376:$CE376,TreatyCatch!$CG376:$CH376),"")</f>
        <v/>
      </c>
      <c r="AG146" s="1073" t="str">
        <f t="shared" si="74"/>
        <v/>
      </c>
      <c r="AH146" s="1059" t="str">
        <f>IF($AD146,$AD146*TreatyCatch!CG376/SUM(TreatyCatch!$CD376:CE376,TreatyCatch!$CG376:$CH376),"")</f>
        <v/>
      </c>
      <c r="AI146" s="1060" t="str">
        <f>IF($AD146,$AD146*TreatyCatch!CH376/SUM(TreatyCatch!$CD376:CF376,TreatyCatch!$CG376:$CH376),"")</f>
        <v/>
      </c>
      <c r="AJ146" s="1061" t="str">
        <f t="shared" si="69"/>
        <v/>
      </c>
      <c r="AK146" s="958"/>
      <c r="AL146" s="882"/>
      <c r="AM146" s="883"/>
      <c r="AN146" s="901"/>
      <c r="AO146" s="893"/>
      <c r="AP146" s="894"/>
      <c r="AQ146" s="957"/>
      <c r="AR146" s="765"/>
      <c r="AS146" s="852"/>
      <c r="AT146" s="853"/>
      <c r="AU146" s="856"/>
      <c r="AV146" s="858"/>
      <c r="AW146" s="859"/>
      <c r="AX146" s="840"/>
      <c r="AY146" s="765"/>
      <c r="AZ146" s="882"/>
      <c r="BA146" s="883"/>
      <c r="BB146" s="901"/>
      <c r="BC146" s="893"/>
      <c r="BD146" s="894"/>
      <c r="BE146" s="957"/>
      <c r="BF146" s="765"/>
      <c r="BG146" s="852"/>
      <c r="BH146" s="853"/>
      <c r="BI146" s="856"/>
      <c r="BJ146" s="858"/>
      <c r="BK146" s="859"/>
      <c r="BL146" s="840"/>
      <c r="BM146" s="765"/>
      <c r="BN146" s="882"/>
      <c r="BO146" s="883"/>
      <c r="BP146" s="901"/>
      <c r="BQ146" s="893"/>
      <c r="BR146" s="894"/>
      <c r="BS146" s="957"/>
      <c r="BT146" s="765"/>
      <c r="BU146" s="852"/>
      <c r="BV146" s="853"/>
      <c r="BW146" s="856"/>
      <c r="BX146" s="858"/>
      <c r="BY146" s="859"/>
      <c r="BZ146" s="840"/>
      <c r="CA146" s="765"/>
      <c r="CB146" s="882"/>
      <c r="CC146" s="883"/>
      <c r="CD146" s="901"/>
      <c r="CE146" s="893"/>
      <c r="CF146" s="894"/>
      <c r="CG146" s="957"/>
      <c r="CH146" s="765"/>
      <c r="CI146" s="852"/>
      <c r="CJ146" s="853"/>
      <c r="CK146" s="856"/>
      <c r="CL146" s="858"/>
      <c r="CM146" s="859"/>
      <c r="CN146" s="840"/>
    </row>
    <row r="147" spans="1:92" x14ac:dyDescent="0.25">
      <c r="A147" s="757">
        <v>22</v>
      </c>
      <c r="B147" s="765"/>
      <c r="C147" s="844" t="str">
        <f>IF($B147,$B147*TreatyCatch!BF260/SUM(TreatyCatch!$BF260:$BG260,TreatyCatch!$BI260:$BJ260),"")</f>
        <v/>
      </c>
      <c r="D147" s="844" t="str">
        <f>IF($B147,$B147*TreatyCatch!BG260/SUM(TreatyCatch!$BF260:$BG260,TreatyCatch!$BI260:$BJ260),"")</f>
        <v/>
      </c>
      <c r="E147" s="846" t="str">
        <f t="shared" si="70"/>
        <v/>
      </c>
      <c r="F147" s="838" t="str">
        <f>IF($B147,$B147*TreatyCatch!BI260/SUM(TreatyCatch!$BF260:$BG260,TreatyCatch!$BI260:$BJ260),"")</f>
        <v/>
      </c>
      <c r="G147" s="866" t="str">
        <f>IF($B147,$B147*TreatyCatch!BJ260/SUM(TreatyCatch!$BF260:$BG260,TreatyCatch!$BI260:$BJ260),"")</f>
        <v/>
      </c>
      <c r="H147" s="840" t="str">
        <f t="shared" si="63"/>
        <v/>
      </c>
      <c r="I147" s="765"/>
      <c r="J147" s="882" t="str">
        <f>IF($I147,$I147*TreatyCatch!BL260/SUM(TreatyCatch!$BL260:$BM260,TreatyCatch!$BO260:$BP260),"")</f>
        <v/>
      </c>
      <c r="K147" s="883" t="str">
        <f>IF($I147,$I147*TreatyCatch!BM260/SUM(TreatyCatch!$BL260:$BM260,TreatyCatch!$BO260:$BP260),"")</f>
        <v/>
      </c>
      <c r="L147" s="901" t="str">
        <f t="shared" si="71"/>
        <v/>
      </c>
      <c r="M147" s="893" t="str">
        <f>IF($I147,$I147*TreatyCatch!BO260/SUM(TreatyCatch!$BL260:$BM260,TreatyCatch!$BO260:$BP260),"")</f>
        <v/>
      </c>
      <c r="N147" s="894" t="str">
        <f>IF($I147,$I147*TreatyCatch!BP260/SUM(TreatyCatch!$BL260:$BM260,TreatyCatch!$BO260:$BP260),"")</f>
        <v/>
      </c>
      <c r="O147" s="877" t="str">
        <f t="shared" si="61"/>
        <v/>
      </c>
      <c r="P147" s="765"/>
      <c r="Q147" s="852" t="str">
        <f>IF($P147,$P147*TreatyCatch!BR260/SUM(TreatyCatch!$BR260:$BS260,TreatyCatch!$BU260:$BV260),"")</f>
        <v/>
      </c>
      <c r="R147" s="853" t="str">
        <f>IF($P147,$P147*TreatyCatch!BS260/SUM(TreatyCatch!$BR260:$BS260,TreatyCatch!$BU260:$BV260),"")</f>
        <v/>
      </c>
      <c r="S147" s="856" t="str">
        <f t="shared" si="72"/>
        <v/>
      </c>
      <c r="T147" s="858" t="str">
        <f>IF($P147,$P147*TreatyCatch!BU260/SUM(TreatyCatch!$BR260:$BS260,TreatyCatch!$BU260:$BV260),"")</f>
        <v/>
      </c>
      <c r="U147" s="859" t="str">
        <f>IF($P147,$P147*TreatyCatch!BV260/SUM(TreatyCatch!$BR260:$BS260,TreatyCatch!$BU260:$BV260),"")</f>
        <v/>
      </c>
      <c r="V147" s="840" t="str">
        <f t="shared" si="65"/>
        <v/>
      </c>
      <c r="W147" s="958"/>
      <c r="X147" s="882" t="str">
        <f>IF($W147,$W147*TreatyCatch!BX260/SUM(TreatyCatch!$BX260:$BY260,TreatyCatch!$CA260:$CB260),"")</f>
        <v/>
      </c>
      <c r="Y147" s="883" t="str">
        <f>IF($W147,$W147*TreatyCatch!BY260/SUM(TreatyCatch!$BX260:$BY260,TreatyCatch!$CA260:$CB260),"")</f>
        <v/>
      </c>
      <c r="Z147" s="901" t="str">
        <f t="shared" si="73"/>
        <v/>
      </c>
      <c r="AA147" s="893" t="str">
        <f>IF($W147,$W147*TreatyCatch!CA260/SUM(TreatyCatch!$BX260:$BY260,TreatyCatch!$CA260:$CB260),"")</f>
        <v/>
      </c>
      <c r="AB147" s="894" t="str">
        <f>IF($W147,$W147*TreatyCatch!CB260/SUM(TreatyCatch!$BX260:$BY260,TreatyCatch!$CA260:$CB260),"")</f>
        <v/>
      </c>
      <c r="AC147" s="957" t="str">
        <f t="shared" si="67"/>
        <v/>
      </c>
      <c r="AD147" s="958"/>
      <c r="AE147" s="1071" t="str">
        <f>IF($AD147,$AD147*TreatyCatch!CD377/SUM(TreatyCatch!$CD377:$CE377,TreatyCatch!$CG377:$CH377),"")</f>
        <v/>
      </c>
      <c r="AF147" s="1072" t="str">
        <f>IF($AD147,$AD147*TreatyCatch!CE377/SUM(TreatyCatch!$CD377:$CE377,TreatyCatch!$CG377:$CH377),"")</f>
        <v/>
      </c>
      <c r="AG147" s="1073" t="str">
        <f t="shared" si="74"/>
        <v/>
      </c>
      <c r="AH147" s="1059" t="str">
        <f>IF($AD147,$AD147*TreatyCatch!CG377/SUM(TreatyCatch!$CD377:CE377,TreatyCatch!$CG377:$CH377),"")</f>
        <v/>
      </c>
      <c r="AI147" s="1060" t="str">
        <f>IF($AD147,$AD147*TreatyCatch!CH377/SUM(TreatyCatch!$CD377:CF377,TreatyCatch!$CG377:$CH377),"")</f>
        <v/>
      </c>
      <c r="AJ147" s="1061" t="str">
        <f t="shared" si="69"/>
        <v/>
      </c>
      <c r="AK147" s="958"/>
      <c r="AL147" s="882"/>
      <c r="AM147" s="883"/>
      <c r="AN147" s="901"/>
      <c r="AO147" s="893"/>
      <c r="AP147" s="894"/>
      <c r="AQ147" s="957"/>
      <c r="AR147" s="765"/>
      <c r="AS147" s="852"/>
      <c r="AT147" s="853"/>
      <c r="AU147" s="856"/>
      <c r="AV147" s="858"/>
      <c r="AW147" s="859"/>
      <c r="AX147" s="840"/>
      <c r="AY147" s="765"/>
      <c r="AZ147" s="882"/>
      <c r="BA147" s="883"/>
      <c r="BB147" s="901"/>
      <c r="BC147" s="893"/>
      <c r="BD147" s="894"/>
      <c r="BE147" s="957"/>
      <c r="BF147" s="765"/>
      <c r="BG147" s="852"/>
      <c r="BH147" s="853"/>
      <c r="BI147" s="856"/>
      <c r="BJ147" s="858"/>
      <c r="BK147" s="859"/>
      <c r="BL147" s="840"/>
      <c r="BM147" s="765"/>
      <c r="BN147" s="882"/>
      <c r="BO147" s="883"/>
      <c r="BP147" s="901"/>
      <c r="BQ147" s="893"/>
      <c r="BR147" s="894"/>
      <c r="BS147" s="957"/>
      <c r="BT147" s="765"/>
      <c r="BU147" s="852"/>
      <c r="BV147" s="853"/>
      <c r="BW147" s="856"/>
      <c r="BX147" s="858"/>
      <c r="BY147" s="859"/>
      <c r="BZ147" s="840"/>
      <c r="CA147" s="765"/>
      <c r="CB147" s="882"/>
      <c r="CC147" s="883"/>
      <c r="CD147" s="901"/>
      <c r="CE147" s="893"/>
      <c r="CF147" s="894"/>
      <c r="CG147" s="957"/>
      <c r="CH147" s="765"/>
      <c r="CI147" s="852"/>
      <c r="CJ147" s="853"/>
      <c r="CK147" s="856"/>
      <c r="CL147" s="858"/>
      <c r="CM147" s="859"/>
      <c r="CN147" s="840"/>
    </row>
    <row r="148" spans="1:92" x14ac:dyDescent="0.25">
      <c r="A148" s="757">
        <v>23</v>
      </c>
      <c r="B148" s="765"/>
      <c r="C148" s="844" t="str">
        <f>IF($B148,$B148*TreatyCatch!BF261/SUM(TreatyCatch!$BF261:$BG261,TreatyCatch!$BI261:$BJ261),"")</f>
        <v/>
      </c>
      <c r="D148" s="844" t="str">
        <f>IF($B148,$B148*TreatyCatch!BG261/SUM(TreatyCatch!$BF261:$BG261,TreatyCatch!$BI261:$BJ261),"")</f>
        <v/>
      </c>
      <c r="E148" s="846" t="str">
        <f t="shared" si="70"/>
        <v/>
      </c>
      <c r="F148" s="838" t="str">
        <f>IF($B148,$B148*TreatyCatch!BI261/SUM(TreatyCatch!$BF261:$BG261,TreatyCatch!$BI261:$BJ261),"")</f>
        <v/>
      </c>
      <c r="G148" s="866" t="str">
        <f>IF($B148,$B148*TreatyCatch!BJ261/SUM(TreatyCatch!$BF261:$BG261,TreatyCatch!$BI261:$BJ261),"")</f>
        <v/>
      </c>
      <c r="H148" s="840" t="str">
        <f t="shared" si="63"/>
        <v/>
      </c>
      <c r="I148" s="765"/>
      <c r="J148" s="882" t="str">
        <f>IF($I148,$I148*TreatyCatch!BL261/SUM(TreatyCatch!$BL261:$BM261,TreatyCatch!$BO261:$BP261),"")</f>
        <v/>
      </c>
      <c r="K148" s="883" t="str">
        <f>IF($I148,$I148*TreatyCatch!BM261/SUM(TreatyCatch!$BL261:$BM261,TreatyCatch!$BO261:$BP261),"")</f>
        <v/>
      </c>
      <c r="L148" s="901" t="str">
        <f t="shared" si="71"/>
        <v/>
      </c>
      <c r="M148" s="893" t="str">
        <f>IF($I148,$I148*TreatyCatch!BO261/SUM(TreatyCatch!$BL261:$BM261,TreatyCatch!$BO261:$BP261),"")</f>
        <v/>
      </c>
      <c r="N148" s="894" t="str">
        <f>IF($I148,$I148*TreatyCatch!BP261/SUM(TreatyCatch!$BL261:$BM261,TreatyCatch!$BO261:$BP261),"")</f>
        <v/>
      </c>
      <c r="O148" s="877" t="str">
        <f t="shared" si="61"/>
        <v/>
      </c>
      <c r="P148" s="765"/>
      <c r="Q148" s="852" t="str">
        <f>IF($P148,$P148*TreatyCatch!BR261/SUM(TreatyCatch!$BR261:$BS261,TreatyCatch!$BU261:$BV261),"")</f>
        <v/>
      </c>
      <c r="R148" s="853" t="str">
        <f>IF($P148,$P148*TreatyCatch!BS261/SUM(TreatyCatch!$BR261:$BS261,TreatyCatch!$BU261:$BV261),"")</f>
        <v/>
      </c>
      <c r="S148" s="856" t="str">
        <f t="shared" si="72"/>
        <v/>
      </c>
      <c r="T148" s="858" t="str">
        <f>IF($P148,$P148*TreatyCatch!BU261/SUM(TreatyCatch!$BR261:$BS261,TreatyCatch!$BU261:$BV261),"")</f>
        <v/>
      </c>
      <c r="U148" s="859" t="str">
        <f>IF($P148,$P148*TreatyCatch!BV261/SUM(TreatyCatch!$BR261:$BS261,TreatyCatch!$BU261:$BV261),"")</f>
        <v/>
      </c>
      <c r="V148" s="840" t="str">
        <f t="shared" si="65"/>
        <v/>
      </c>
      <c r="W148" s="958"/>
      <c r="X148" s="882" t="str">
        <f>IF($W148,$W148*TreatyCatch!BX261/SUM(TreatyCatch!$BX261:$BY261,TreatyCatch!$CA261:$CB261),"")</f>
        <v/>
      </c>
      <c r="Y148" s="883" t="str">
        <f>IF($W148,$W148*TreatyCatch!BY261/SUM(TreatyCatch!$BX261:$BY261,TreatyCatch!$CA261:$CB261),"")</f>
        <v/>
      </c>
      <c r="Z148" s="901" t="str">
        <f t="shared" si="73"/>
        <v/>
      </c>
      <c r="AA148" s="893" t="str">
        <f>IF($W148,$W148*TreatyCatch!CA261/SUM(TreatyCatch!$BX261:$BY261,TreatyCatch!$CA261:$CB261),"")</f>
        <v/>
      </c>
      <c r="AB148" s="894" t="str">
        <f>IF($W148,$W148*TreatyCatch!CB261/SUM(TreatyCatch!$BX261:$BY261,TreatyCatch!$CA261:$CB261),"")</f>
        <v/>
      </c>
      <c r="AC148" s="957" t="str">
        <f t="shared" si="67"/>
        <v/>
      </c>
      <c r="AD148" s="958"/>
      <c r="AE148" s="1071" t="str">
        <f>IF($AD148,$AD148*TreatyCatch!CD378/SUM(TreatyCatch!$CD378:$CE378,TreatyCatch!$CG378:$CH378),"")</f>
        <v/>
      </c>
      <c r="AF148" s="1072" t="str">
        <f>IF($AD148,$AD148*TreatyCatch!CE378/SUM(TreatyCatch!$CD378:$CE378,TreatyCatch!$CG378:$CH378),"")</f>
        <v/>
      </c>
      <c r="AG148" s="1073" t="str">
        <f t="shared" si="74"/>
        <v/>
      </c>
      <c r="AH148" s="1059" t="str">
        <f>IF($AD148,$AD148*TreatyCatch!CG378/SUM(TreatyCatch!$CD378:CE378,TreatyCatch!$CG378:$CH378),"")</f>
        <v/>
      </c>
      <c r="AI148" s="1060" t="str">
        <f>IF($AD148,$AD148*TreatyCatch!CH378/SUM(TreatyCatch!$CD378:CF378,TreatyCatch!$CG378:$CH378),"")</f>
        <v/>
      </c>
      <c r="AJ148" s="1061" t="str">
        <f t="shared" si="69"/>
        <v/>
      </c>
      <c r="AK148" s="958"/>
      <c r="AL148" s="882"/>
      <c r="AM148" s="883"/>
      <c r="AN148" s="901"/>
      <c r="AO148" s="893"/>
      <c r="AP148" s="894"/>
      <c r="AQ148" s="957"/>
      <c r="AR148" s="765"/>
      <c r="AS148" s="852"/>
      <c r="AT148" s="853"/>
      <c r="AU148" s="856"/>
      <c r="AV148" s="858"/>
      <c r="AW148" s="859"/>
      <c r="AX148" s="840"/>
      <c r="AY148" s="765"/>
      <c r="AZ148" s="882"/>
      <c r="BA148" s="883"/>
      <c r="BB148" s="901"/>
      <c r="BC148" s="893"/>
      <c r="BD148" s="894"/>
      <c r="BE148" s="957"/>
      <c r="BF148" s="765"/>
      <c r="BG148" s="852"/>
      <c r="BH148" s="853"/>
      <c r="BI148" s="856"/>
      <c r="BJ148" s="858"/>
      <c r="BK148" s="859"/>
      <c r="BL148" s="840"/>
      <c r="BM148" s="765"/>
      <c r="BN148" s="882"/>
      <c r="BO148" s="883"/>
      <c r="BP148" s="901"/>
      <c r="BQ148" s="893"/>
      <c r="BR148" s="894"/>
      <c r="BS148" s="957"/>
      <c r="BT148" s="765"/>
      <c r="BU148" s="852"/>
      <c r="BV148" s="853"/>
      <c r="BW148" s="856"/>
      <c r="BX148" s="858"/>
      <c r="BY148" s="859"/>
      <c r="BZ148" s="840"/>
      <c r="CA148" s="765"/>
      <c r="CB148" s="882"/>
      <c r="CC148" s="883"/>
      <c r="CD148" s="901"/>
      <c r="CE148" s="893"/>
      <c r="CF148" s="894"/>
      <c r="CG148" s="957"/>
      <c r="CH148" s="765"/>
      <c r="CI148" s="852"/>
      <c r="CJ148" s="853"/>
      <c r="CK148" s="856"/>
      <c r="CL148" s="858"/>
      <c r="CM148" s="859"/>
      <c r="CN148" s="840"/>
    </row>
    <row r="149" spans="1:92" x14ac:dyDescent="0.25">
      <c r="A149" s="757">
        <v>24</v>
      </c>
      <c r="B149" s="765"/>
      <c r="C149" s="844" t="str">
        <f>IF($B149,$B149*TreatyCatch!BF262/SUM(TreatyCatch!$BF262:$BG262,TreatyCatch!$BI262:$BJ262),"")</f>
        <v/>
      </c>
      <c r="D149" s="844" t="str">
        <f>IF($B149,$B149*TreatyCatch!BG262/SUM(TreatyCatch!$BF262:$BG262,TreatyCatch!$BI262:$BJ262),"")</f>
        <v/>
      </c>
      <c r="E149" s="846" t="str">
        <f t="shared" si="70"/>
        <v/>
      </c>
      <c r="F149" s="838" t="str">
        <f>IF($B149,$B149*TreatyCatch!BI262/SUM(TreatyCatch!$BF262:$BG262,TreatyCatch!$BI262:$BJ262),"")</f>
        <v/>
      </c>
      <c r="G149" s="866" t="str">
        <f>IF($B149,$B149*TreatyCatch!BJ262/SUM(TreatyCatch!$BF262:$BG262,TreatyCatch!$BI262:$BJ262),"")</f>
        <v/>
      </c>
      <c r="H149" s="840" t="str">
        <f t="shared" si="63"/>
        <v/>
      </c>
      <c r="I149" s="765"/>
      <c r="J149" s="882" t="str">
        <f>IF($I149,$I149*TreatyCatch!BL262/SUM(TreatyCatch!$BL262:$BM262,TreatyCatch!$BO262:$BP262),"")</f>
        <v/>
      </c>
      <c r="K149" s="883" t="str">
        <f>IF($I149,$I149*TreatyCatch!BM262/SUM(TreatyCatch!$BL262:$BM262,TreatyCatch!$BO262:$BP262),"")</f>
        <v/>
      </c>
      <c r="L149" s="901" t="str">
        <f t="shared" si="71"/>
        <v/>
      </c>
      <c r="M149" s="893" t="str">
        <f>IF($I149,$I149*TreatyCatch!BO262/SUM(TreatyCatch!$BL262:$BM262,TreatyCatch!$BO262:$BP262),"")</f>
        <v/>
      </c>
      <c r="N149" s="894" t="str">
        <f>IF($I149,$I149*TreatyCatch!BP262/SUM(TreatyCatch!$BL262:$BM262,TreatyCatch!$BO262:$BP262),"")</f>
        <v/>
      </c>
      <c r="O149" s="877" t="str">
        <f t="shared" si="61"/>
        <v/>
      </c>
      <c r="P149" s="765"/>
      <c r="Q149" s="852" t="str">
        <f>IF($P149,$P149*TreatyCatch!BR262/SUM(TreatyCatch!$BR262:$BS262,TreatyCatch!$BU262:$BV262),"")</f>
        <v/>
      </c>
      <c r="R149" s="853" t="str">
        <f>IF($P149,$P149*TreatyCatch!BS262/SUM(TreatyCatch!$BR262:$BS262,TreatyCatch!$BU262:$BV262),"")</f>
        <v/>
      </c>
      <c r="S149" s="856" t="str">
        <f t="shared" si="72"/>
        <v/>
      </c>
      <c r="T149" s="858" t="str">
        <f>IF($P149,$P149*TreatyCatch!BU262/SUM(TreatyCatch!$BR262:$BS262,TreatyCatch!$BU262:$BV262),"")</f>
        <v/>
      </c>
      <c r="U149" s="859" t="str">
        <f>IF($P149,$P149*TreatyCatch!BV262/SUM(TreatyCatch!$BR262:$BS262,TreatyCatch!$BU262:$BV262),"")</f>
        <v/>
      </c>
      <c r="V149" s="840" t="str">
        <f t="shared" si="65"/>
        <v/>
      </c>
      <c r="W149" s="958"/>
      <c r="X149" s="882" t="str">
        <f>IF($W149,$W149*TreatyCatch!BX262/SUM(TreatyCatch!$BX262:$BY262,TreatyCatch!$CA262:$CB262),"")</f>
        <v/>
      </c>
      <c r="Y149" s="883" t="str">
        <f>IF($W149,$W149*TreatyCatch!BY262/SUM(TreatyCatch!$BX262:$BY262,TreatyCatch!$CA262:$CB262),"")</f>
        <v/>
      </c>
      <c r="Z149" s="901" t="str">
        <f t="shared" si="73"/>
        <v/>
      </c>
      <c r="AA149" s="893" t="str">
        <f>IF($W149,$W149*TreatyCatch!CA262/SUM(TreatyCatch!$BX262:$BY262,TreatyCatch!$CA262:$CB262),"")</f>
        <v/>
      </c>
      <c r="AB149" s="894" t="str">
        <f>IF($W149,$W149*TreatyCatch!CB262/SUM(TreatyCatch!$BX262:$BY262,TreatyCatch!$CA262:$CB262),"")</f>
        <v/>
      </c>
      <c r="AC149" s="957" t="str">
        <f t="shared" si="67"/>
        <v/>
      </c>
      <c r="AD149" s="958"/>
      <c r="AE149" s="1071" t="str">
        <f>IF($AD149,$AD149*TreatyCatch!CD379/SUM(TreatyCatch!$CD379:$CE379,TreatyCatch!$CG379:$CH379),"")</f>
        <v/>
      </c>
      <c r="AF149" s="1072" t="str">
        <f>IF($AD149,$AD149*TreatyCatch!CE379/SUM(TreatyCatch!$CD379:$CE379,TreatyCatch!$CG379:$CH379),"")</f>
        <v/>
      </c>
      <c r="AG149" s="1073" t="str">
        <f t="shared" si="74"/>
        <v/>
      </c>
      <c r="AH149" s="1059" t="str">
        <f>IF($AD149,$AD149*TreatyCatch!CG379/SUM(TreatyCatch!$CD379:CE379,TreatyCatch!$CG379:$CH379),"")</f>
        <v/>
      </c>
      <c r="AI149" s="1060" t="str">
        <f>IF($AD149,$AD149*TreatyCatch!CH379/SUM(TreatyCatch!$CD379:CF379,TreatyCatch!$CG379:$CH379),"")</f>
        <v/>
      </c>
      <c r="AJ149" s="1061" t="str">
        <f t="shared" si="69"/>
        <v/>
      </c>
      <c r="AK149" s="958"/>
      <c r="AL149" s="882"/>
      <c r="AM149" s="883"/>
      <c r="AN149" s="901"/>
      <c r="AO149" s="893"/>
      <c r="AP149" s="894"/>
      <c r="AQ149" s="957"/>
      <c r="AR149" s="765"/>
      <c r="AS149" s="852"/>
      <c r="AT149" s="853"/>
      <c r="AU149" s="856"/>
      <c r="AV149" s="858"/>
      <c r="AW149" s="859"/>
      <c r="AX149" s="840"/>
      <c r="AY149" s="765"/>
      <c r="AZ149" s="882"/>
      <c r="BA149" s="883"/>
      <c r="BB149" s="901"/>
      <c r="BC149" s="893"/>
      <c r="BD149" s="894"/>
      <c r="BE149" s="957"/>
      <c r="BF149" s="765"/>
      <c r="BG149" s="852"/>
      <c r="BH149" s="853"/>
      <c r="BI149" s="856"/>
      <c r="BJ149" s="858"/>
      <c r="BK149" s="859"/>
      <c r="BL149" s="840"/>
      <c r="BM149" s="765"/>
      <c r="BN149" s="882"/>
      <c r="BO149" s="883"/>
      <c r="BP149" s="901"/>
      <c r="BQ149" s="893"/>
      <c r="BR149" s="894"/>
      <c r="BS149" s="957"/>
      <c r="BT149" s="765"/>
      <c r="BU149" s="852"/>
      <c r="BV149" s="853"/>
      <c r="BW149" s="856"/>
      <c r="BX149" s="858"/>
      <c r="BY149" s="859"/>
      <c r="BZ149" s="840"/>
      <c r="CA149" s="765"/>
      <c r="CB149" s="882"/>
      <c r="CC149" s="883"/>
      <c r="CD149" s="901"/>
      <c r="CE149" s="893"/>
      <c r="CF149" s="894"/>
      <c r="CG149" s="957"/>
      <c r="CH149" s="765"/>
      <c r="CI149" s="852"/>
      <c r="CJ149" s="853"/>
      <c r="CK149" s="856"/>
      <c r="CL149" s="858"/>
      <c r="CM149" s="859"/>
      <c r="CN149" s="840"/>
    </row>
    <row r="150" spans="1:92" x14ac:dyDescent="0.25">
      <c r="A150" s="757">
        <v>25</v>
      </c>
      <c r="B150" s="765"/>
      <c r="C150" s="844" t="str">
        <f>IF($B150,$B150*TreatyCatch!BF263/SUM(TreatyCatch!$BF263:$BG263,TreatyCatch!$BI263:$BJ263),"")</f>
        <v/>
      </c>
      <c r="D150" s="844" t="str">
        <f>IF($B150,$B150*TreatyCatch!BG263/SUM(TreatyCatch!$BF263:$BG263,TreatyCatch!$BI263:$BJ263),"")</f>
        <v/>
      </c>
      <c r="E150" s="846" t="str">
        <f t="shared" si="70"/>
        <v/>
      </c>
      <c r="F150" s="838" t="str">
        <f>IF($B150,$B150*TreatyCatch!BI263/SUM(TreatyCatch!$BF263:$BG263,TreatyCatch!$BI263:$BJ263),"")</f>
        <v/>
      </c>
      <c r="G150" s="866" t="str">
        <f>IF($B150,$B150*TreatyCatch!BJ263/SUM(TreatyCatch!$BF263:$BG263,TreatyCatch!$BI263:$BJ263),"")</f>
        <v/>
      </c>
      <c r="H150" s="840" t="str">
        <f t="shared" si="63"/>
        <v/>
      </c>
      <c r="I150" s="765"/>
      <c r="J150" s="882" t="str">
        <f>IF($I150,$I150*TreatyCatch!BL263/SUM(TreatyCatch!$BL263:$BM263,TreatyCatch!$BO263:$BP263),"")</f>
        <v/>
      </c>
      <c r="K150" s="883" t="str">
        <f>IF($I150,$I150*TreatyCatch!BM263/SUM(TreatyCatch!$BL263:$BM263,TreatyCatch!$BO263:$BP263),"")</f>
        <v/>
      </c>
      <c r="L150" s="901" t="str">
        <f t="shared" si="71"/>
        <v/>
      </c>
      <c r="M150" s="893" t="str">
        <f>IF($I150,$I150*TreatyCatch!BO263/SUM(TreatyCatch!$BL263:$BM263,TreatyCatch!$BO263:$BP263),"")</f>
        <v/>
      </c>
      <c r="N150" s="894" t="str">
        <f>IF($I150,$I150*TreatyCatch!BP263/SUM(TreatyCatch!$BL263:$BM263,TreatyCatch!$BO263:$BP263),"")</f>
        <v/>
      </c>
      <c r="O150" s="877" t="str">
        <f t="shared" si="61"/>
        <v/>
      </c>
      <c r="P150" s="765"/>
      <c r="Q150" s="852" t="str">
        <f>IF($P150,$P150*TreatyCatch!BR263/SUM(TreatyCatch!$BR263:$BS263,TreatyCatch!$BU263:$BV263),"")</f>
        <v/>
      </c>
      <c r="R150" s="853" t="str">
        <f>IF($P150,$P150*TreatyCatch!BS263/SUM(TreatyCatch!$BR263:$BS263,TreatyCatch!$BU263:$BV263),"")</f>
        <v/>
      </c>
      <c r="S150" s="856" t="str">
        <f t="shared" si="72"/>
        <v/>
      </c>
      <c r="T150" s="858" t="str">
        <f>IF($P150,$P150*TreatyCatch!BU263/SUM(TreatyCatch!$BR263:$BS263,TreatyCatch!$BU263:$BV263),"")</f>
        <v/>
      </c>
      <c r="U150" s="859" t="str">
        <f>IF($P150,$P150*TreatyCatch!BV263/SUM(TreatyCatch!$BR263:$BS263,TreatyCatch!$BU263:$BV263),"")</f>
        <v/>
      </c>
      <c r="V150" s="840" t="str">
        <f t="shared" si="65"/>
        <v/>
      </c>
      <c r="W150" s="958"/>
      <c r="X150" s="882" t="str">
        <f>IF($W150,$W150*TreatyCatch!BX263/SUM(TreatyCatch!$BX263:$BY263,TreatyCatch!$CA263:$CB263),"")</f>
        <v/>
      </c>
      <c r="Y150" s="883" t="str">
        <f>IF($W150,$W150*TreatyCatch!BY263/SUM(TreatyCatch!$BX263:$BY263,TreatyCatch!$CA263:$CB263),"")</f>
        <v/>
      </c>
      <c r="Z150" s="901" t="str">
        <f t="shared" si="73"/>
        <v/>
      </c>
      <c r="AA150" s="893" t="str">
        <f>IF($W150,$W150*TreatyCatch!CA263/SUM(TreatyCatch!$BX263:$BY263,TreatyCatch!$CA263:$CB263),"")</f>
        <v/>
      </c>
      <c r="AB150" s="894" t="str">
        <f>IF($W150,$W150*TreatyCatch!CB263/SUM(TreatyCatch!$BX263:$BY263,TreatyCatch!$CA263:$CB263),"")</f>
        <v/>
      </c>
      <c r="AC150" s="957" t="str">
        <f t="shared" si="67"/>
        <v/>
      </c>
      <c r="AD150" s="958"/>
      <c r="AE150" s="1071" t="str">
        <f>IF($AD150,$AD150*TreatyCatch!CD380/SUM(TreatyCatch!$CD380:$CE380,TreatyCatch!$CG380:$CH380),"")</f>
        <v/>
      </c>
      <c r="AF150" s="1072" t="str">
        <f>IF($AD150,$AD150*TreatyCatch!CE380/SUM(TreatyCatch!$CD380:$CE380,TreatyCatch!$CG380:$CH380),"")</f>
        <v/>
      </c>
      <c r="AG150" s="1073" t="str">
        <f t="shared" si="74"/>
        <v/>
      </c>
      <c r="AH150" s="1059" t="str">
        <f>IF($AD150,$AD150*TreatyCatch!CG380/SUM(TreatyCatch!$CD380:CE380,TreatyCatch!$CG380:$CH380),"")</f>
        <v/>
      </c>
      <c r="AI150" s="1060" t="str">
        <f>IF($AD150,$AD150*TreatyCatch!CH380/SUM(TreatyCatch!$CD380:CF380,TreatyCatch!$CG380:$CH380),"")</f>
        <v/>
      </c>
      <c r="AJ150" s="1061" t="str">
        <f t="shared" si="69"/>
        <v/>
      </c>
      <c r="AK150" s="958"/>
      <c r="AL150" s="882"/>
      <c r="AM150" s="883"/>
      <c r="AN150" s="901"/>
      <c r="AO150" s="893"/>
      <c r="AP150" s="894"/>
      <c r="AQ150" s="957"/>
      <c r="AR150" s="765"/>
      <c r="AS150" s="852"/>
      <c r="AT150" s="853"/>
      <c r="AU150" s="856"/>
      <c r="AV150" s="858"/>
      <c r="AW150" s="859"/>
      <c r="AX150" s="840"/>
      <c r="AY150" s="765"/>
      <c r="AZ150" s="882"/>
      <c r="BA150" s="883"/>
      <c r="BB150" s="901"/>
      <c r="BC150" s="893"/>
      <c r="BD150" s="894"/>
      <c r="BE150" s="957"/>
      <c r="BF150" s="765"/>
      <c r="BG150" s="852"/>
      <c r="BH150" s="853"/>
      <c r="BI150" s="856"/>
      <c r="BJ150" s="858"/>
      <c r="BK150" s="859"/>
      <c r="BL150" s="840"/>
      <c r="BM150" s="765"/>
      <c r="BN150" s="882"/>
      <c r="BO150" s="883"/>
      <c r="BP150" s="901"/>
      <c r="BQ150" s="893"/>
      <c r="BR150" s="894"/>
      <c r="BS150" s="957"/>
      <c r="BT150" s="765"/>
      <c r="BU150" s="852"/>
      <c r="BV150" s="853"/>
      <c r="BW150" s="856"/>
      <c r="BX150" s="858"/>
      <c r="BY150" s="859"/>
      <c r="BZ150" s="840"/>
      <c r="CA150" s="765"/>
      <c r="CB150" s="882"/>
      <c r="CC150" s="883"/>
      <c r="CD150" s="901"/>
      <c r="CE150" s="893"/>
      <c r="CF150" s="894"/>
      <c r="CG150" s="957"/>
      <c r="CH150" s="765"/>
      <c r="CI150" s="852"/>
      <c r="CJ150" s="853"/>
      <c r="CK150" s="856"/>
      <c r="CL150" s="858"/>
      <c r="CM150" s="859"/>
      <c r="CN150" s="840"/>
    </row>
    <row r="151" spans="1:92" x14ac:dyDescent="0.25">
      <c r="A151" s="758">
        <v>26</v>
      </c>
      <c r="B151" s="766"/>
      <c r="C151" s="844" t="str">
        <f>IF($B151,$B151*TreatyCatch!BF264/SUM(TreatyCatch!$BF264:$BG264,TreatyCatch!$BI264:$BJ264),"")</f>
        <v/>
      </c>
      <c r="D151" s="844" t="str">
        <f>IF($B151,$B151*TreatyCatch!BG264/SUM(TreatyCatch!$BF264:$BG264,TreatyCatch!$BI264:$BJ264),"")</f>
        <v/>
      </c>
      <c r="E151" s="847" t="str">
        <f t="shared" si="70"/>
        <v/>
      </c>
      <c r="F151" s="838" t="str">
        <f>IF($B151,$B151*TreatyCatch!BI264/SUM(TreatyCatch!$BF264:$BG264,TreatyCatch!$BI264:$BJ264),"")</f>
        <v/>
      </c>
      <c r="G151" s="866" t="str">
        <f>IF($B151,$B151*TreatyCatch!BJ264/SUM(TreatyCatch!$BF264:$BG264,TreatyCatch!$BI264:$BJ264),"")</f>
        <v/>
      </c>
      <c r="H151" s="840" t="str">
        <f t="shared" si="63"/>
        <v/>
      </c>
      <c r="I151" s="765"/>
      <c r="J151" s="885" t="str">
        <f>IF($I151,$I151*TreatyCatch!BL264/SUM(TreatyCatch!$BL264:$BM264,TreatyCatch!$BO264:$BP264),"")</f>
        <v/>
      </c>
      <c r="K151" s="886" t="str">
        <f>IF($I151,$I151*TreatyCatch!BM264/SUM(TreatyCatch!$BL264:$BM264,TreatyCatch!$BO264:$BP264),"")</f>
        <v/>
      </c>
      <c r="L151" s="902" t="str">
        <f t="shared" si="71"/>
        <v/>
      </c>
      <c r="M151" s="895" t="str">
        <f>IF($I151,$I151*TreatyCatch!BO264/SUM(TreatyCatch!$BL264:$BM264,TreatyCatch!$BO264:$BP264),"")</f>
        <v/>
      </c>
      <c r="N151" s="896" t="str">
        <f>IF($I151,$I151*TreatyCatch!BP264/SUM(TreatyCatch!$BL264:$BM264,TreatyCatch!$BO264:$BP264),"")</f>
        <v/>
      </c>
      <c r="O151" s="877" t="str">
        <f t="shared" si="61"/>
        <v/>
      </c>
      <c r="P151" s="765"/>
      <c r="Q151" s="854" t="str">
        <f>IF($P151,$P151*TreatyCatch!BR264/SUM(TreatyCatch!$BR264:$BS264,TreatyCatch!$BU264:$BV264),"")</f>
        <v/>
      </c>
      <c r="R151" s="855" t="str">
        <f>IF($P151,$P151*TreatyCatch!BS264/SUM(TreatyCatch!$BR264:$BS264,TreatyCatch!$BU264:$BV264),"")</f>
        <v/>
      </c>
      <c r="S151" s="857" t="str">
        <f t="shared" si="72"/>
        <v/>
      </c>
      <c r="T151" s="861" t="str">
        <f>IF($P151,$P151*TreatyCatch!BU264/SUM(TreatyCatch!$BR264:$BS264,TreatyCatch!$BU264:$BV264),"")</f>
        <v/>
      </c>
      <c r="U151" s="862" t="str">
        <f>IF($P151,$P151*TreatyCatch!BV264/SUM(TreatyCatch!$BR264:$BS264,TreatyCatch!$BU264:$BV264),"")</f>
        <v/>
      </c>
      <c r="V151" s="840" t="str">
        <f t="shared" si="65"/>
        <v/>
      </c>
      <c r="W151" s="958"/>
      <c r="X151" s="885" t="str">
        <f>IF($W151,$W151*TreatyCatch!BX264/SUM(TreatyCatch!$BX264:$BY264,TreatyCatch!$CA264:$CB264),"")</f>
        <v/>
      </c>
      <c r="Y151" s="886" t="str">
        <f>IF($W151,$W151*TreatyCatch!BY264/SUM(TreatyCatch!$BX264:$BY264,TreatyCatch!$CA264:$CB264),"")</f>
        <v/>
      </c>
      <c r="Z151" s="902" t="str">
        <f t="shared" si="73"/>
        <v/>
      </c>
      <c r="AA151" s="895" t="str">
        <f>IF($W151,$W151*TreatyCatch!CA264/SUM(TreatyCatch!$BX264:$BY264,TreatyCatch!$CA264:$CB264),"")</f>
        <v/>
      </c>
      <c r="AB151" s="896" t="str">
        <f>IF($W151,$W151*TreatyCatch!CB264/SUM(TreatyCatch!$BX264:$BY264,TreatyCatch!$CA264:$CB264),"")</f>
        <v/>
      </c>
      <c r="AC151" s="957" t="str">
        <f t="shared" si="67"/>
        <v/>
      </c>
      <c r="AD151" s="958"/>
      <c r="AE151" s="1074" t="str">
        <f>IF($AD151,$AD151*TreatyCatch!CD381/SUM(TreatyCatch!$CD381:$CE381,TreatyCatch!$CG381:$CH381),"")</f>
        <v/>
      </c>
      <c r="AF151" s="1075" t="str">
        <f>IF($AD151,$AD151*TreatyCatch!CE381/SUM(TreatyCatch!$CD381:$CE381,TreatyCatch!$CG381:$CH381),"")</f>
        <v/>
      </c>
      <c r="AG151" s="1076" t="str">
        <f t="shared" si="74"/>
        <v/>
      </c>
      <c r="AH151" s="1065" t="str">
        <f>IF($AD151,$AD151*TreatyCatch!CG381/SUM(TreatyCatch!$CD381:CE381,TreatyCatch!$CG381:$CH381),"")</f>
        <v/>
      </c>
      <c r="AI151" s="1066" t="str">
        <f>IF($AD151,$AD151*TreatyCatch!CH381/SUM(TreatyCatch!$CD381:CF381,TreatyCatch!$CG381:$CH381),"")</f>
        <v/>
      </c>
      <c r="AJ151" s="1061" t="str">
        <f t="shared" si="69"/>
        <v/>
      </c>
      <c r="AK151" s="958"/>
      <c r="AL151" s="885"/>
      <c r="AM151" s="886"/>
      <c r="AN151" s="902"/>
      <c r="AO151" s="895"/>
      <c r="AP151" s="896"/>
      <c r="AQ151" s="957"/>
      <c r="AR151" s="765"/>
      <c r="AS151" s="854"/>
      <c r="AT151" s="855"/>
      <c r="AU151" s="857"/>
      <c r="AV151" s="861"/>
      <c r="AW151" s="862"/>
      <c r="AX151" s="840"/>
      <c r="AY151" s="765"/>
      <c r="AZ151" s="885"/>
      <c r="BA151" s="886"/>
      <c r="BB151" s="902"/>
      <c r="BC151" s="895"/>
      <c r="BD151" s="896"/>
      <c r="BE151" s="957"/>
      <c r="BF151" s="765"/>
      <c r="BG151" s="854"/>
      <c r="BH151" s="855"/>
      <c r="BI151" s="857"/>
      <c r="BJ151" s="861"/>
      <c r="BK151" s="862"/>
      <c r="BL151" s="840"/>
      <c r="BM151" s="765"/>
      <c r="BN151" s="885"/>
      <c r="BO151" s="886"/>
      <c r="BP151" s="902"/>
      <c r="BQ151" s="895"/>
      <c r="BR151" s="896"/>
      <c r="BS151" s="957"/>
      <c r="BT151" s="765"/>
      <c r="BU151" s="854"/>
      <c r="BV151" s="855"/>
      <c r="BW151" s="857"/>
      <c r="BX151" s="861"/>
      <c r="BY151" s="862"/>
      <c r="BZ151" s="840"/>
      <c r="CA151" s="765"/>
      <c r="CB151" s="885"/>
      <c r="CC151" s="886"/>
      <c r="CD151" s="902"/>
      <c r="CE151" s="895"/>
      <c r="CF151" s="896"/>
      <c r="CG151" s="957"/>
      <c r="CH151" s="765"/>
      <c r="CI151" s="854"/>
      <c r="CJ151" s="855"/>
      <c r="CK151" s="857"/>
      <c r="CL151" s="861"/>
      <c r="CM151" s="862"/>
      <c r="CN151" s="840"/>
    </row>
    <row r="152" spans="1:92" x14ac:dyDescent="0.25">
      <c r="A152" s="757">
        <v>27</v>
      </c>
      <c r="B152" s="765"/>
      <c r="C152" s="848" t="str">
        <f>IF($B152,$B152*TreatyCatch!BF265/SUM(TreatyCatch!$BF265:$BG265,TreatyCatch!$BI265:$BJ265),"")</f>
        <v/>
      </c>
      <c r="D152" s="848" t="str">
        <f>IF($B152,$B152*TreatyCatch!BG265/SUM(TreatyCatch!$BF265:$BG265,TreatyCatch!$BI265:$BJ265),"")</f>
        <v/>
      </c>
      <c r="E152" s="846" t="str">
        <f t="shared" si="70"/>
        <v/>
      </c>
      <c r="F152" s="874" t="str">
        <f>IF($B152,$B152*TreatyCatch!BI265/SUM(TreatyCatch!$BF265:$BG265,TreatyCatch!$BI265:$BJ265),"")</f>
        <v/>
      </c>
      <c r="G152" s="888" t="str">
        <f>IF($B152,$B152*TreatyCatch!BJ265/SUM(TreatyCatch!$BF265:$BG265,TreatyCatch!$BI265:$BJ265),"")</f>
        <v/>
      </c>
      <c r="H152" s="875" t="str">
        <f>IFERROR(F152+N$5*G152,"")</f>
        <v/>
      </c>
      <c r="I152" s="773"/>
      <c r="J152" s="882" t="str">
        <f>IF($I152,$I152*TreatyCatch!BL265/SUM(TreatyCatch!$BL265:$BM265,TreatyCatch!$BO265:$BP265),"")</f>
        <v/>
      </c>
      <c r="K152" s="883" t="str">
        <f>IF($I152,$I152*TreatyCatch!BM265/SUM(TreatyCatch!$BL265:$BM265,TreatyCatch!$BO265:$BP265),"")</f>
        <v/>
      </c>
      <c r="L152" s="901" t="str">
        <f t="shared" si="71"/>
        <v/>
      </c>
      <c r="M152" s="858" t="str">
        <f>IF($I152,$I152*TreatyCatch!BO265/SUM(TreatyCatch!$BL265:$BM265,TreatyCatch!$BO265:$BP265),"")</f>
        <v/>
      </c>
      <c r="N152" s="859" t="str">
        <f>IF($I152,$I152*TreatyCatch!BP265/SUM(TreatyCatch!$BL265:$BM265,TreatyCatch!$BO265:$BP265),"")</f>
        <v/>
      </c>
      <c r="O152" s="860" t="str">
        <f>IFERROR(M152+U$5*N152,"")</f>
        <v/>
      </c>
      <c r="P152" s="773"/>
      <c r="Q152" s="852" t="str">
        <f>IF($P152,$P152*TreatyCatch!BR265/SUM(TreatyCatch!$BR265:$BS265,TreatyCatch!$BU265:$BV265),"")</f>
        <v/>
      </c>
      <c r="R152" s="853" t="str">
        <f>IF($P152,$P152*TreatyCatch!BS265/SUM(TreatyCatch!$BR265:$BS265,TreatyCatch!$BU265:$BV265),"")</f>
        <v/>
      </c>
      <c r="S152" s="856" t="str">
        <f t="shared" si="72"/>
        <v/>
      </c>
      <c r="T152" s="893" t="str">
        <f>IF($P152,$P152*TreatyCatch!BU265/SUM(TreatyCatch!$BR265:$BS265,TreatyCatch!$BU265:$BV265),"")</f>
        <v/>
      </c>
      <c r="U152" s="894" t="str">
        <f>IF($P152,$P152*TreatyCatch!BV265/SUM(TreatyCatch!$BR265:$BS265,TreatyCatch!$BU265:$BV265),"")</f>
        <v/>
      </c>
      <c r="V152" s="897" t="str">
        <f>IFERROR(T152+AB$5*U152,"")</f>
        <v/>
      </c>
      <c r="W152" s="969"/>
      <c r="X152" s="882" t="str">
        <f>IF($W152,$W152*TreatyCatch!BX265/SUM(TreatyCatch!$BX265:$BY265,TreatyCatch!$CA265:$CB265),"")</f>
        <v/>
      </c>
      <c r="Y152" s="883" t="str">
        <f>IF($W152,$W152*TreatyCatch!BY265/SUM(TreatyCatch!$BX265:$BY265,TreatyCatch!$CA265:$CB265),"")</f>
        <v/>
      </c>
      <c r="Z152" s="901" t="str">
        <f t="shared" si="73"/>
        <v/>
      </c>
      <c r="AA152" s="858" t="str">
        <f>IF($W152,$W152*TreatyCatch!CA265/SUM(TreatyCatch!$BX265:$BY265,TreatyCatch!$CA265:$CB265),"")</f>
        <v/>
      </c>
      <c r="AB152" s="859" t="str">
        <f>IF($W152,$W152*TreatyCatch!CB265/SUM(TreatyCatch!$BX265:$BY265,TreatyCatch!$CA265:$CB265),"")</f>
        <v/>
      </c>
      <c r="AC152" s="924" t="str">
        <f>IFERROR(AA152+AI$5*AB152,"")</f>
        <v/>
      </c>
      <c r="AD152" s="969"/>
      <c r="AE152" s="1071" t="str">
        <f>IF($AD152,$AD152*TreatyCatch!CD382/SUM(TreatyCatch!$CD382:$CE382,TreatyCatch!$CG382:$CH382),"")</f>
        <v/>
      </c>
      <c r="AF152" s="1072" t="str">
        <f>IF($AD152,$AD152*TreatyCatch!CE382/SUM(TreatyCatch!$CD382:$CE382,TreatyCatch!$CG382:$CH382),"")</f>
        <v/>
      </c>
      <c r="AG152" s="1073" t="str">
        <f t="shared" si="74"/>
        <v/>
      </c>
      <c r="AH152" s="1077" t="str">
        <f>IF($AD152,$AD152*TreatyCatch!CG382/SUM(TreatyCatch!$CD382:CE382,TreatyCatch!$CG382:$CH382),"")</f>
        <v/>
      </c>
      <c r="AI152" s="1078" t="str">
        <f>IF($AD152,$AD152*TreatyCatch!CH382/SUM(TreatyCatch!$CD382:CF382,TreatyCatch!$CG382:$CH382),"")</f>
        <v/>
      </c>
      <c r="AJ152" s="1079" t="str">
        <f>IFERROR(AH152+AP$5*AI152,"")</f>
        <v/>
      </c>
      <c r="AK152" s="969"/>
      <c r="AL152" s="882"/>
      <c r="AM152" s="883"/>
      <c r="AN152" s="901"/>
      <c r="AO152" s="858"/>
      <c r="AP152" s="859"/>
      <c r="AQ152" s="924"/>
      <c r="AR152" s="773"/>
      <c r="AS152" s="852"/>
      <c r="AT152" s="853"/>
      <c r="AU152" s="856"/>
      <c r="AV152" s="893"/>
      <c r="AW152" s="894"/>
      <c r="AX152" s="897"/>
      <c r="AY152" s="773"/>
      <c r="AZ152" s="882"/>
      <c r="BA152" s="883"/>
      <c r="BB152" s="901"/>
      <c r="BC152" s="858"/>
      <c r="BD152" s="859"/>
      <c r="BE152" s="924"/>
      <c r="BF152" s="773"/>
      <c r="BG152" s="852"/>
      <c r="BH152" s="853"/>
      <c r="BI152" s="856"/>
      <c r="BJ152" s="893"/>
      <c r="BK152" s="894"/>
      <c r="BL152" s="897"/>
      <c r="BM152" s="773"/>
      <c r="BN152" s="882"/>
      <c r="BO152" s="883"/>
      <c r="BP152" s="901"/>
      <c r="BQ152" s="858"/>
      <c r="BR152" s="859"/>
      <c r="BS152" s="924"/>
      <c r="BT152" s="773"/>
      <c r="BU152" s="852"/>
      <c r="BV152" s="853"/>
      <c r="BW152" s="856"/>
      <c r="BX152" s="893"/>
      <c r="BY152" s="894"/>
      <c r="BZ152" s="897"/>
      <c r="CA152" s="773"/>
      <c r="CB152" s="882"/>
      <c r="CC152" s="883"/>
      <c r="CD152" s="901"/>
      <c r="CE152" s="858"/>
      <c r="CF152" s="859"/>
      <c r="CG152" s="924"/>
      <c r="CH152" s="773"/>
      <c r="CI152" s="852"/>
      <c r="CJ152" s="853"/>
      <c r="CK152" s="856"/>
      <c r="CL152" s="893"/>
      <c r="CM152" s="894"/>
      <c r="CN152" s="897"/>
    </row>
    <row r="153" spans="1:92" x14ac:dyDescent="0.25">
      <c r="A153" s="757">
        <v>28</v>
      </c>
      <c r="B153" s="765"/>
      <c r="C153" s="844" t="str">
        <f>IF($B153,$B153*TreatyCatch!BF266/SUM(TreatyCatch!$BF266:$BG266,TreatyCatch!$BI266:$BJ266),"")</f>
        <v/>
      </c>
      <c r="D153" s="844" t="str">
        <f>IF($B153,$B153*TreatyCatch!BG266/SUM(TreatyCatch!$BF266:$BG266,TreatyCatch!$BI266:$BJ266),"")</f>
        <v/>
      </c>
      <c r="E153" s="846" t="str">
        <f t="shared" si="70"/>
        <v/>
      </c>
      <c r="F153" s="876" t="str">
        <f>IF($B153,$B153*TreatyCatch!BI266/SUM(TreatyCatch!$BF266:$BG266,TreatyCatch!$BI266:$BJ266),"")</f>
        <v/>
      </c>
      <c r="G153" s="889" t="str">
        <f>IF($B153,$B153*TreatyCatch!BJ266/SUM(TreatyCatch!$BF266:$BG266,TreatyCatch!$BI266:$BJ266),"")</f>
        <v/>
      </c>
      <c r="H153" s="877" t="str">
        <f t="shared" ref="H153:H178" si="75">IFERROR(F153+N$5*G153,"")</f>
        <v/>
      </c>
      <c r="I153" s="765"/>
      <c r="J153" s="882" t="str">
        <f>IF($I153,$I153*TreatyCatch!BL266/SUM(TreatyCatch!$BL266:$BM266,TreatyCatch!$BO266:$BP266),"")</f>
        <v/>
      </c>
      <c r="K153" s="883" t="str">
        <f>IF($I153,$I153*TreatyCatch!BM266/SUM(TreatyCatch!$BL266:$BM266,TreatyCatch!$BO266:$BP266),"")</f>
        <v/>
      </c>
      <c r="L153" s="871" t="str">
        <f t="shared" si="71"/>
        <v/>
      </c>
      <c r="M153" s="858" t="str">
        <f>IF($I153,$I153*TreatyCatch!BO266/SUM(TreatyCatch!$BL266:$BM266,TreatyCatch!$BO266:$BP266),"")</f>
        <v/>
      </c>
      <c r="N153" s="859" t="str">
        <f>IF($I153,$I153*TreatyCatch!BP266/SUM(TreatyCatch!$BL266:$BM266,TreatyCatch!$BO266:$BP266),"")</f>
        <v/>
      </c>
      <c r="O153" s="840" t="str">
        <f t="shared" ref="O153:O178" si="76">IFERROR(M153+U$5*N153,"")</f>
        <v/>
      </c>
      <c r="P153" s="765"/>
      <c r="Q153" s="852" t="str">
        <f>IF($P153,$P153*TreatyCatch!BR266/SUM(TreatyCatch!$BR266:$BS266,TreatyCatch!$BU266:$BV266),"")</f>
        <v/>
      </c>
      <c r="R153" s="853" t="str">
        <f>IF($P153,$P153*TreatyCatch!BS266/SUM(TreatyCatch!$BR266:$BS266,TreatyCatch!$BU266:$BV266),"")</f>
        <v/>
      </c>
      <c r="S153" s="846" t="str">
        <f t="shared" si="72"/>
        <v/>
      </c>
      <c r="T153" s="893" t="str">
        <f>IF($P153,$P153*TreatyCatch!BU266/SUM(TreatyCatch!$BR266:$BS266,TreatyCatch!$BU266:$BV266),"")</f>
        <v/>
      </c>
      <c r="U153" s="894" t="str">
        <f>IF($P153,$P153*TreatyCatch!BV266/SUM(TreatyCatch!$BR266:$BS266,TreatyCatch!$BU266:$BV266),"")</f>
        <v/>
      </c>
      <c r="V153" s="877" t="str">
        <f t="shared" ref="V153:V178" si="77">IFERROR(T153+AB$5*U153,"")</f>
        <v/>
      </c>
      <c r="W153" s="958"/>
      <c r="X153" s="882" t="str">
        <f>IF($W153,$W153*TreatyCatch!BX266/SUM(TreatyCatch!$BX266:$BY266,TreatyCatch!$CA266:$CB266),"")</f>
        <v/>
      </c>
      <c r="Y153" s="883" t="str">
        <f>IF($W153,$W153*TreatyCatch!BY266/SUM(TreatyCatch!$BX266:$BY266,TreatyCatch!$CA266:$CB266),"")</f>
        <v/>
      </c>
      <c r="Z153" s="901" t="str">
        <f t="shared" si="73"/>
        <v/>
      </c>
      <c r="AA153" s="858" t="str">
        <f>IF($W153,$W153*TreatyCatch!CA266/SUM(TreatyCatch!$BX266:$BY266,TreatyCatch!$CA266:$CB266),"")</f>
        <v/>
      </c>
      <c r="AB153" s="859" t="str">
        <f>IF($W153,$W153*TreatyCatch!CB266/SUM(TreatyCatch!$BX266:$BY266,TreatyCatch!$CA266:$CB266),"")</f>
        <v/>
      </c>
      <c r="AC153" s="925" t="str">
        <f t="shared" ref="AC153:AC178" si="78">IFERROR(AA153+AI$5*AB153,"")</f>
        <v/>
      </c>
      <c r="AD153" s="958"/>
      <c r="AE153" s="1071" t="str">
        <f>IF($AD153,$AD153*TreatyCatch!CD383/SUM(TreatyCatch!$CD383:$CE383,TreatyCatch!$CG383:$CH383),"")</f>
        <v/>
      </c>
      <c r="AF153" s="1072" t="str">
        <f>IF($AD153,$AD153*TreatyCatch!CE383/SUM(TreatyCatch!$CD383:$CE383,TreatyCatch!$CG383:$CH383),"")</f>
        <v/>
      </c>
      <c r="AG153" s="1073" t="str">
        <f t="shared" si="74"/>
        <v/>
      </c>
      <c r="AH153" s="1077" t="str">
        <f>IF($AD153,$AD153*TreatyCatch!CG383/SUM(TreatyCatch!$CD383:CE383,TreatyCatch!$CG383:$CH383),"")</f>
        <v/>
      </c>
      <c r="AI153" s="1078" t="str">
        <f>IF($AD153,$AD153*TreatyCatch!CH383/SUM(TreatyCatch!$CD383:CF383,TreatyCatch!$CG383:$CH383),"")</f>
        <v/>
      </c>
      <c r="AJ153" s="1080" t="str">
        <f t="shared" ref="AJ153:AJ178" si="79">IFERROR(AH153+AP$5*AI153,"")</f>
        <v/>
      </c>
      <c r="AK153" s="958"/>
      <c r="AL153" s="882"/>
      <c r="AM153" s="883"/>
      <c r="AN153" s="901"/>
      <c r="AO153" s="858"/>
      <c r="AP153" s="859"/>
      <c r="AQ153" s="925"/>
      <c r="AR153" s="765"/>
      <c r="AS153" s="852"/>
      <c r="AT153" s="853"/>
      <c r="AU153" s="846"/>
      <c r="AV153" s="893"/>
      <c r="AW153" s="894"/>
      <c r="AX153" s="877"/>
      <c r="AY153" s="765"/>
      <c r="AZ153" s="882"/>
      <c r="BA153" s="883"/>
      <c r="BB153" s="901"/>
      <c r="BC153" s="858"/>
      <c r="BD153" s="859"/>
      <c r="BE153" s="925"/>
      <c r="BF153" s="765"/>
      <c r="BG153" s="852"/>
      <c r="BH153" s="853"/>
      <c r="BI153" s="846"/>
      <c r="BJ153" s="893"/>
      <c r="BK153" s="894"/>
      <c r="BL153" s="877"/>
      <c r="BM153" s="765"/>
      <c r="BN153" s="882"/>
      <c r="BO153" s="883"/>
      <c r="BP153" s="901"/>
      <c r="BQ153" s="858"/>
      <c r="BR153" s="859"/>
      <c r="BS153" s="925"/>
      <c r="BT153" s="765"/>
      <c r="BU153" s="852"/>
      <c r="BV153" s="853"/>
      <c r="BW153" s="846"/>
      <c r="BX153" s="893"/>
      <c r="BY153" s="894"/>
      <c r="BZ153" s="877"/>
      <c r="CA153" s="765"/>
      <c r="CB153" s="882"/>
      <c r="CC153" s="883"/>
      <c r="CD153" s="901"/>
      <c r="CE153" s="858"/>
      <c r="CF153" s="859"/>
      <c r="CG153" s="925"/>
      <c r="CH153" s="765"/>
      <c r="CI153" s="852"/>
      <c r="CJ153" s="853"/>
      <c r="CK153" s="846"/>
      <c r="CL153" s="893"/>
      <c r="CM153" s="894"/>
      <c r="CN153" s="877"/>
    </row>
    <row r="154" spans="1:92" x14ac:dyDescent="0.25">
      <c r="A154" s="757">
        <v>29</v>
      </c>
      <c r="B154" s="765"/>
      <c r="C154" s="844" t="str">
        <f>IF($B154,$B154*TreatyCatch!BF267/SUM(TreatyCatch!$BF267:$BG267,TreatyCatch!$BI267:$BJ267),"")</f>
        <v/>
      </c>
      <c r="D154" s="844" t="str">
        <f>IF($B154,$B154*TreatyCatch!BG267/SUM(TreatyCatch!$BF267:$BG267,TreatyCatch!$BI267:$BJ267),"")</f>
        <v/>
      </c>
      <c r="E154" s="846" t="str">
        <f t="shared" si="70"/>
        <v/>
      </c>
      <c r="F154" s="876" t="str">
        <f>IF($B154,$B154*TreatyCatch!BI267/SUM(TreatyCatch!$BF267:$BG267,TreatyCatch!$BI267:$BJ267),"")</f>
        <v/>
      </c>
      <c r="G154" s="889" t="str">
        <f>IF($B154,$B154*TreatyCatch!BJ267/SUM(TreatyCatch!$BF267:$BG267,TreatyCatch!$BI267:$BJ267),"")</f>
        <v/>
      </c>
      <c r="H154" s="877" t="str">
        <f t="shared" si="75"/>
        <v/>
      </c>
      <c r="I154" s="765"/>
      <c r="J154" s="882" t="str">
        <f>IF($I154,$I154*TreatyCatch!BL267/SUM(TreatyCatch!$BL267:$BM267,TreatyCatch!$BO267:$BP267),"")</f>
        <v/>
      </c>
      <c r="K154" s="883" t="str">
        <f>IF($I154,$I154*TreatyCatch!BM267/SUM(TreatyCatch!$BL267:$BM267,TreatyCatch!$BO267:$BP267),"")</f>
        <v/>
      </c>
      <c r="L154" s="871" t="str">
        <f t="shared" si="71"/>
        <v/>
      </c>
      <c r="M154" s="858" t="str">
        <f>IF($I154,$I154*TreatyCatch!BO267/SUM(TreatyCatch!$BL267:$BM267,TreatyCatch!$BO267:$BP267),"")</f>
        <v/>
      </c>
      <c r="N154" s="859" t="str">
        <f>IF($I154,$I154*TreatyCatch!BP267/SUM(TreatyCatch!$BL267:$BM267,TreatyCatch!$BO267:$BP267),"")</f>
        <v/>
      </c>
      <c r="O154" s="840" t="str">
        <f t="shared" si="76"/>
        <v/>
      </c>
      <c r="P154" s="765">
        <v>2</v>
      </c>
      <c r="Q154" s="852">
        <f>IF($P154,$P154*TreatyCatch!BR267/SUM(TreatyCatch!$BR267:$BS267,TreatyCatch!$BU267:$BV267),"")</f>
        <v>1</v>
      </c>
      <c r="R154" s="853">
        <f>IF($P154,$P154*TreatyCatch!BS267/SUM(TreatyCatch!$BR267:$BS267,TreatyCatch!$BU267:$BV267),"")</f>
        <v>0</v>
      </c>
      <c r="S154" s="846">
        <f t="shared" si="72"/>
        <v>1</v>
      </c>
      <c r="T154" s="893">
        <f>IF($P154,$P154*TreatyCatch!BU267/SUM(TreatyCatch!$BR267:$BS267,TreatyCatch!$BU267:$BV267),"")</f>
        <v>0</v>
      </c>
      <c r="U154" s="894">
        <f>IF($P154,$P154*TreatyCatch!BV267/SUM(TreatyCatch!$BR267:$BS267,TreatyCatch!$BU267:$BV267),"")</f>
        <v>1</v>
      </c>
      <c r="V154" s="877">
        <f t="shared" si="77"/>
        <v>8.6800000000000002E-2</v>
      </c>
      <c r="W154" s="958"/>
      <c r="X154" s="882" t="str">
        <f>IF($W154,$W154*TreatyCatch!BX267/SUM(TreatyCatch!$BX267:$BY267,TreatyCatch!$CA267:$CB267),"")</f>
        <v/>
      </c>
      <c r="Y154" s="883" t="str">
        <f>IF($W154,$W154*TreatyCatch!BY267/SUM(TreatyCatch!$BX267:$BY267,TreatyCatch!$CA267:$CB267),"")</f>
        <v/>
      </c>
      <c r="Z154" s="901" t="str">
        <f t="shared" si="73"/>
        <v/>
      </c>
      <c r="AA154" s="858" t="str">
        <f>IF($W154,$W154*TreatyCatch!CA267/SUM(TreatyCatch!$BX267:$BY267,TreatyCatch!$CA267:$CB267),"")</f>
        <v/>
      </c>
      <c r="AB154" s="859" t="str">
        <f>IF($W154,$W154*TreatyCatch!CB267/SUM(TreatyCatch!$BX267:$BY267,TreatyCatch!$CA267:$CB267),"")</f>
        <v/>
      </c>
      <c r="AC154" s="840" t="str">
        <f t="shared" si="78"/>
        <v/>
      </c>
      <c r="AD154" s="958"/>
      <c r="AE154" s="1071" t="str">
        <f>IF($AD154,$AD154*TreatyCatch!CD384/SUM(TreatyCatch!$CD384:$CE384,TreatyCatch!$CG384:$CH384),"")</f>
        <v/>
      </c>
      <c r="AF154" s="1072" t="str">
        <f>IF($AD154,$AD154*TreatyCatch!CE384/SUM(TreatyCatch!$CD384:$CE384,TreatyCatch!$CG384:$CH384),"")</f>
        <v/>
      </c>
      <c r="AG154" s="1073" t="str">
        <f t="shared" si="74"/>
        <v/>
      </c>
      <c r="AH154" s="1077" t="str">
        <f>IF($AD154,$AD154*TreatyCatch!CG384/SUM(TreatyCatch!$CD384:CE384,TreatyCatch!$CG384:$CH384),"")</f>
        <v/>
      </c>
      <c r="AI154" s="1078" t="str">
        <f>IF($AD154,$AD154*TreatyCatch!CH384/SUM(TreatyCatch!$CD384:CF384,TreatyCatch!$CG384:$CH384),"")</f>
        <v/>
      </c>
      <c r="AJ154" s="1080" t="str">
        <f t="shared" si="79"/>
        <v/>
      </c>
      <c r="AK154" s="958"/>
      <c r="AL154" s="882"/>
      <c r="AM154" s="883"/>
      <c r="AN154" s="901"/>
      <c r="AO154" s="858"/>
      <c r="AP154" s="859"/>
      <c r="AQ154" s="840"/>
      <c r="AR154" s="765"/>
      <c r="AS154" s="852"/>
      <c r="AT154" s="853"/>
      <c r="AU154" s="846"/>
      <c r="AV154" s="893"/>
      <c r="AW154" s="894"/>
      <c r="AX154" s="877"/>
      <c r="AY154" s="765"/>
      <c r="AZ154" s="882"/>
      <c r="BA154" s="883"/>
      <c r="BB154" s="901"/>
      <c r="BC154" s="858"/>
      <c r="BD154" s="859"/>
      <c r="BE154" s="840"/>
      <c r="BF154" s="765"/>
      <c r="BG154" s="852"/>
      <c r="BH154" s="853"/>
      <c r="BI154" s="846"/>
      <c r="BJ154" s="893"/>
      <c r="BK154" s="894"/>
      <c r="BL154" s="877"/>
      <c r="BM154" s="765"/>
      <c r="BN154" s="882"/>
      <c r="BO154" s="883"/>
      <c r="BP154" s="901"/>
      <c r="BQ154" s="858"/>
      <c r="BR154" s="859"/>
      <c r="BS154" s="840"/>
      <c r="BT154" s="765"/>
      <c r="BU154" s="852"/>
      <c r="BV154" s="853"/>
      <c r="BW154" s="846"/>
      <c r="BX154" s="893"/>
      <c r="BY154" s="894"/>
      <c r="BZ154" s="877"/>
      <c r="CA154" s="765"/>
      <c r="CB154" s="882"/>
      <c r="CC154" s="883"/>
      <c r="CD154" s="901"/>
      <c r="CE154" s="858"/>
      <c r="CF154" s="859"/>
      <c r="CG154" s="840"/>
      <c r="CH154" s="765"/>
      <c r="CI154" s="852"/>
      <c r="CJ154" s="853"/>
      <c r="CK154" s="846"/>
      <c r="CL154" s="893"/>
      <c r="CM154" s="894"/>
      <c r="CN154" s="877"/>
    </row>
    <row r="155" spans="1:92" x14ac:dyDescent="0.25">
      <c r="A155" s="757">
        <v>30</v>
      </c>
      <c r="B155" s="765"/>
      <c r="C155" s="844" t="str">
        <f>IF($B155,$B155*TreatyCatch!BF268/SUM(TreatyCatch!$BF268:$BG268,TreatyCatch!$BI268:$BJ268),"")</f>
        <v/>
      </c>
      <c r="D155" s="844" t="str">
        <f>IF($B155,$B155*TreatyCatch!BG268/SUM(TreatyCatch!$BF268:$BG268,TreatyCatch!$BI268:$BJ268),"")</f>
        <v/>
      </c>
      <c r="E155" s="846" t="str">
        <f t="shared" si="70"/>
        <v/>
      </c>
      <c r="F155" s="876" t="str">
        <f>IF($B155,$B155*TreatyCatch!BI268/SUM(TreatyCatch!$BF268:$BG268,TreatyCatch!$BI268:$BJ268),"")</f>
        <v/>
      </c>
      <c r="G155" s="889" t="str">
        <f>IF($B155,$B155*TreatyCatch!BJ268/SUM(TreatyCatch!$BF268:$BG268,TreatyCatch!$BI268:$BJ268),"")</f>
        <v/>
      </c>
      <c r="H155" s="877" t="str">
        <f t="shared" si="75"/>
        <v/>
      </c>
      <c r="I155" s="765"/>
      <c r="J155" s="882" t="str">
        <f>IF($I155,$I155*TreatyCatch!BL268/SUM(TreatyCatch!$BL268:$BM268,TreatyCatch!$BO268:$BP268),"")</f>
        <v/>
      </c>
      <c r="K155" s="883" t="str">
        <f>IF($I155,$I155*TreatyCatch!BM268/SUM(TreatyCatch!$BL268:$BM268,TreatyCatch!$BO268:$BP268),"")</f>
        <v/>
      </c>
      <c r="L155" s="871" t="str">
        <f t="shared" si="71"/>
        <v/>
      </c>
      <c r="M155" s="858" t="str">
        <f>IF($I155,$I155*TreatyCatch!BO268/SUM(TreatyCatch!$BL268:$BM268,TreatyCatch!$BO268:$BP268),"")</f>
        <v/>
      </c>
      <c r="N155" s="859" t="str">
        <f>IF($I155,$I155*TreatyCatch!BP268/SUM(TreatyCatch!$BL268:$BM268,TreatyCatch!$BO268:$BP268),"")</f>
        <v/>
      </c>
      <c r="O155" s="840" t="str">
        <f t="shared" si="76"/>
        <v/>
      </c>
      <c r="P155" s="765">
        <v>2</v>
      </c>
      <c r="Q155" s="852">
        <f>IF($P155,$P155*TreatyCatch!BR268/SUM(TreatyCatch!$BR268:$BS268,TreatyCatch!$BU268:$BV268),"")</f>
        <v>1</v>
      </c>
      <c r="R155" s="853">
        <f>IF($P155,$P155*TreatyCatch!BS268/SUM(TreatyCatch!$BR268:$BS268,TreatyCatch!$BU268:$BV268),"")</f>
        <v>1</v>
      </c>
      <c r="S155" s="846">
        <f t="shared" si="72"/>
        <v>1.0868</v>
      </c>
      <c r="T155" s="893">
        <f>IF($P155,$P155*TreatyCatch!BU268/SUM(TreatyCatch!$BR268:$BS268,TreatyCatch!$BU268:$BV268),"")</f>
        <v>0</v>
      </c>
      <c r="U155" s="894">
        <f>IF($P155,$P155*TreatyCatch!BV268/SUM(TreatyCatch!$BR268:$BS268,TreatyCatch!$BU268:$BV268),"")</f>
        <v>0</v>
      </c>
      <c r="V155" s="877">
        <f t="shared" si="77"/>
        <v>0</v>
      </c>
      <c r="W155" s="958"/>
      <c r="X155" s="882" t="str">
        <f>IF($W155,$W155*TreatyCatch!BX268/SUM(TreatyCatch!$BX268:$BY268,TreatyCatch!$CA268:$CB268),"")</f>
        <v/>
      </c>
      <c r="Y155" s="883" t="str">
        <f>IF($W155,$W155*TreatyCatch!BY268/SUM(TreatyCatch!$BX268:$BY268,TreatyCatch!$CA268:$CB268),"")</f>
        <v/>
      </c>
      <c r="Z155" s="901" t="str">
        <f t="shared" si="73"/>
        <v/>
      </c>
      <c r="AA155" s="858" t="str">
        <f>IF($W155,$W155*TreatyCatch!CA268/SUM(TreatyCatch!$BX268:$BY268,TreatyCatch!$CA268:$CB268),"")</f>
        <v/>
      </c>
      <c r="AB155" s="859" t="str">
        <f>IF($W155,$W155*TreatyCatch!CB268/SUM(TreatyCatch!$BX268:$BY268,TreatyCatch!$CA268:$CB268),"")</f>
        <v/>
      </c>
      <c r="AC155" s="840" t="str">
        <f t="shared" si="78"/>
        <v/>
      </c>
      <c r="AD155" s="958"/>
      <c r="AE155" s="1071" t="str">
        <f>IF($AD155,$AD155*TreatyCatch!CD385/SUM(TreatyCatch!$CD385:$CE385,TreatyCatch!$CG385:$CH385),"")</f>
        <v/>
      </c>
      <c r="AF155" s="1072" t="str">
        <f>IF($AD155,$AD155*TreatyCatch!CE385/SUM(TreatyCatch!$CD385:$CE385,TreatyCatch!$CG385:$CH385),"")</f>
        <v/>
      </c>
      <c r="AG155" s="1073" t="str">
        <f t="shared" si="74"/>
        <v/>
      </c>
      <c r="AH155" s="1077" t="str">
        <f>IF($AD155,$AD155*TreatyCatch!CG385/SUM(TreatyCatch!$CD385:CE385,TreatyCatch!$CG385:$CH385),"")</f>
        <v/>
      </c>
      <c r="AI155" s="1078" t="str">
        <f>IF($AD155,$AD155*TreatyCatch!CH385/SUM(TreatyCatch!$CD385:CF385,TreatyCatch!$CG385:$CH385),"")</f>
        <v/>
      </c>
      <c r="AJ155" s="1080" t="str">
        <f t="shared" si="79"/>
        <v/>
      </c>
      <c r="AK155" s="958"/>
      <c r="AL155" s="882"/>
      <c r="AM155" s="883"/>
      <c r="AN155" s="901"/>
      <c r="AO155" s="858"/>
      <c r="AP155" s="859"/>
      <c r="AQ155" s="840"/>
      <c r="AR155" s="765"/>
      <c r="AS155" s="852"/>
      <c r="AT155" s="853"/>
      <c r="AU155" s="846"/>
      <c r="AV155" s="893"/>
      <c r="AW155" s="894"/>
      <c r="AX155" s="877"/>
      <c r="AY155" s="765"/>
      <c r="AZ155" s="882"/>
      <c r="BA155" s="883"/>
      <c r="BB155" s="901"/>
      <c r="BC155" s="858"/>
      <c r="BD155" s="859"/>
      <c r="BE155" s="840"/>
      <c r="BF155" s="765"/>
      <c r="BG155" s="852"/>
      <c r="BH155" s="853"/>
      <c r="BI155" s="846"/>
      <c r="BJ155" s="893"/>
      <c r="BK155" s="894"/>
      <c r="BL155" s="877"/>
      <c r="BM155" s="765"/>
      <c r="BN155" s="882"/>
      <c r="BO155" s="883"/>
      <c r="BP155" s="901"/>
      <c r="BQ155" s="858"/>
      <c r="BR155" s="859"/>
      <c r="BS155" s="840"/>
      <c r="BT155" s="765"/>
      <c r="BU155" s="852"/>
      <c r="BV155" s="853"/>
      <c r="BW155" s="846"/>
      <c r="BX155" s="893"/>
      <c r="BY155" s="894"/>
      <c r="BZ155" s="877"/>
      <c r="CA155" s="765"/>
      <c r="CB155" s="882"/>
      <c r="CC155" s="883"/>
      <c r="CD155" s="901"/>
      <c r="CE155" s="858"/>
      <c r="CF155" s="859"/>
      <c r="CG155" s="840"/>
      <c r="CH155" s="765"/>
      <c r="CI155" s="852"/>
      <c r="CJ155" s="853"/>
      <c r="CK155" s="846"/>
      <c r="CL155" s="893"/>
      <c r="CM155" s="894"/>
      <c r="CN155" s="877"/>
    </row>
    <row r="156" spans="1:92" x14ac:dyDescent="0.25">
      <c r="A156" s="757">
        <v>31</v>
      </c>
      <c r="B156" s="765"/>
      <c r="C156" s="844" t="str">
        <f>IF($B156,$B156*TreatyCatch!BF269/SUM(TreatyCatch!$BF269:$BG269,TreatyCatch!$BI269:$BJ269),"")</f>
        <v/>
      </c>
      <c r="D156" s="844" t="str">
        <f>IF($B156,$B156*TreatyCatch!BG269/SUM(TreatyCatch!$BF269:$BG269,TreatyCatch!$BI269:$BJ269),"")</f>
        <v/>
      </c>
      <c r="E156" s="846" t="str">
        <f t="shared" si="70"/>
        <v/>
      </c>
      <c r="F156" s="876" t="str">
        <f>IF($B156,$B156*TreatyCatch!BI269/SUM(TreatyCatch!$BF269:$BG269,TreatyCatch!$BI269:$BJ269),"")</f>
        <v/>
      </c>
      <c r="G156" s="889" t="str">
        <f>IF($B156,$B156*TreatyCatch!BJ269/SUM(TreatyCatch!$BF269:$BG269,TreatyCatch!$BI269:$BJ269),"")</f>
        <v/>
      </c>
      <c r="H156" s="877" t="str">
        <f t="shared" si="75"/>
        <v/>
      </c>
      <c r="I156" s="765"/>
      <c r="J156" s="882" t="str">
        <f>IF($I156,$I156*TreatyCatch!BL269/SUM(TreatyCatch!$BL269:$BM269,TreatyCatch!$BO269:$BP269),"")</f>
        <v/>
      </c>
      <c r="K156" s="883" t="str">
        <f>IF($I156,$I156*TreatyCatch!BM269/SUM(TreatyCatch!$BL269:$BM269,TreatyCatch!$BO269:$BP269),"")</f>
        <v/>
      </c>
      <c r="L156" s="871" t="str">
        <f t="shared" si="71"/>
        <v/>
      </c>
      <c r="M156" s="858" t="str">
        <f>IF($I156,$I156*TreatyCatch!BO269/SUM(TreatyCatch!$BL269:$BM269,TreatyCatch!$BO269:$BP269),"")</f>
        <v/>
      </c>
      <c r="N156" s="859" t="str">
        <f>IF($I156,$I156*TreatyCatch!BP269/SUM(TreatyCatch!$BL269:$BM269,TreatyCatch!$BO269:$BP269),"")</f>
        <v/>
      </c>
      <c r="O156" s="840" t="str">
        <f t="shared" si="76"/>
        <v/>
      </c>
      <c r="P156" s="765"/>
      <c r="Q156" s="852" t="str">
        <f>IF($P156,$P156*TreatyCatch!BR269/SUM(TreatyCatch!$BR269:$BS269,TreatyCatch!$BU269:$BV269),"")</f>
        <v/>
      </c>
      <c r="R156" s="853" t="str">
        <f>IF($P156,$P156*TreatyCatch!BS269/SUM(TreatyCatch!$BR269:$BS269,TreatyCatch!$BU269:$BV269),"")</f>
        <v/>
      </c>
      <c r="S156" s="846" t="str">
        <f t="shared" si="72"/>
        <v/>
      </c>
      <c r="T156" s="893" t="str">
        <f>IF($P156,$P156*TreatyCatch!BU269/SUM(TreatyCatch!$BR269:$BS269,TreatyCatch!$BU269:$BV269),"")</f>
        <v/>
      </c>
      <c r="U156" s="894" t="str">
        <f>IF($P156,$P156*TreatyCatch!BV269/SUM(TreatyCatch!$BR269:$BS269,TreatyCatch!$BU269:$BV269),"")</f>
        <v/>
      </c>
      <c r="V156" s="877" t="str">
        <f t="shared" si="77"/>
        <v/>
      </c>
      <c r="W156" s="958"/>
      <c r="X156" s="882" t="str">
        <f>IF($W156,$W156*TreatyCatch!BX269/SUM(TreatyCatch!$BX269:$BY269,TreatyCatch!$CA269:$CB269),"")</f>
        <v/>
      </c>
      <c r="Y156" s="883" t="str">
        <f>IF($W156,$W156*TreatyCatch!BY269/SUM(TreatyCatch!$BX269:$BY269,TreatyCatch!$CA269:$CB269),"")</f>
        <v/>
      </c>
      <c r="Z156" s="901" t="str">
        <f t="shared" si="73"/>
        <v/>
      </c>
      <c r="AA156" s="858" t="str">
        <f>IF($W156,$W156*TreatyCatch!CA269/SUM(TreatyCatch!$BX269:$BY269,TreatyCatch!$CA269:$CB269),"")</f>
        <v/>
      </c>
      <c r="AB156" s="859" t="str">
        <f>IF($W156,$W156*TreatyCatch!CB269/SUM(TreatyCatch!$BX269:$BY269,TreatyCatch!$CA269:$CB269),"")</f>
        <v/>
      </c>
      <c r="AC156" s="840" t="str">
        <f t="shared" si="78"/>
        <v/>
      </c>
      <c r="AD156" s="958"/>
      <c r="AE156" s="1071" t="str">
        <f>IF($AD156,$AD156*TreatyCatch!CD386/SUM(TreatyCatch!$CD386:$CE386,TreatyCatch!$CG386:$CH386),"")</f>
        <v/>
      </c>
      <c r="AF156" s="1072" t="str">
        <f>IF($AD156,$AD156*TreatyCatch!CE386/SUM(TreatyCatch!$CD386:$CE386,TreatyCatch!$CG386:$CH386),"")</f>
        <v/>
      </c>
      <c r="AG156" s="1073" t="str">
        <f t="shared" si="74"/>
        <v/>
      </c>
      <c r="AH156" s="1077" t="str">
        <f>IF($AD156,$AD156*TreatyCatch!CG386/SUM(TreatyCatch!$CD386:CE386,TreatyCatch!$CG386:$CH386),"")</f>
        <v/>
      </c>
      <c r="AI156" s="1078" t="str">
        <f>IF($AD156,$AD156*TreatyCatch!CH386/SUM(TreatyCatch!$CD386:CF386,TreatyCatch!$CG386:$CH386),"")</f>
        <v/>
      </c>
      <c r="AJ156" s="1080" t="str">
        <f t="shared" si="79"/>
        <v/>
      </c>
      <c r="AK156" s="958"/>
      <c r="AL156" s="882"/>
      <c r="AM156" s="883"/>
      <c r="AN156" s="901"/>
      <c r="AO156" s="858"/>
      <c r="AP156" s="859"/>
      <c r="AQ156" s="840"/>
      <c r="AR156" s="765"/>
      <c r="AS156" s="852"/>
      <c r="AT156" s="853"/>
      <c r="AU156" s="846"/>
      <c r="AV156" s="893"/>
      <c r="AW156" s="894"/>
      <c r="AX156" s="877"/>
      <c r="AY156" s="765"/>
      <c r="AZ156" s="882"/>
      <c r="BA156" s="883"/>
      <c r="BB156" s="901"/>
      <c r="BC156" s="858"/>
      <c r="BD156" s="859"/>
      <c r="BE156" s="840"/>
      <c r="BF156" s="765"/>
      <c r="BG156" s="852"/>
      <c r="BH156" s="853"/>
      <c r="BI156" s="846"/>
      <c r="BJ156" s="893"/>
      <c r="BK156" s="894"/>
      <c r="BL156" s="877"/>
      <c r="BM156" s="765"/>
      <c r="BN156" s="882"/>
      <c r="BO156" s="883"/>
      <c r="BP156" s="901"/>
      <c r="BQ156" s="858"/>
      <c r="BR156" s="859"/>
      <c r="BS156" s="840"/>
      <c r="BT156" s="765"/>
      <c r="BU156" s="852"/>
      <c r="BV156" s="853"/>
      <c r="BW156" s="846"/>
      <c r="BX156" s="893"/>
      <c r="BY156" s="894"/>
      <c r="BZ156" s="877"/>
      <c r="CA156" s="765"/>
      <c r="CB156" s="882"/>
      <c r="CC156" s="883"/>
      <c r="CD156" s="901"/>
      <c r="CE156" s="858"/>
      <c r="CF156" s="859"/>
      <c r="CG156" s="840"/>
      <c r="CH156" s="765"/>
      <c r="CI156" s="852"/>
      <c r="CJ156" s="853"/>
      <c r="CK156" s="846"/>
      <c r="CL156" s="893"/>
      <c r="CM156" s="894"/>
      <c r="CN156" s="877"/>
    </row>
    <row r="157" spans="1:92" x14ac:dyDescent="0.25">
      <c r="A157" s="757">
        <v>32</v>
      </c>
      <c r="B157" s="765"/>
      <c r="C157" s="844" t="str">
        <f>IF($B157,$B157*TreatyCatch!BF270/SUM(TreatyCatch!$BF270:$BG270,TreatyCatch!$BI270:$BJ270),"")</f>
        <v/>
      </c>
      <c r="D157" s="844" t="str">
        <f>IF($B157,$B157*TreatyCatch!BG270/SUM(TreatyCatch!$BF270:$BG270,TreatyCatch!$BI270:$BJ270),"")</f>
        <v/>
      </c>
      <c r="E157" s="846" t="str">
        <f t="shared" si="70"/>
        <v/>
      </c>
      <c r="F157" s="876" t="str">
        <f>IF($B157,$B157*TreatyCatch!BI270/SUM(TreatyCatch!$BF270:$BG270,TreatyCatch!$BI270:$BJ270),"")</f>
        <v/>
      </c>
      <c r="G157" s="889" t="str">
        <f>IF($B157,$B157*TreatyCatch!BJ270/SUM(TreatyCatch!$BF270:$BG270,TreatyCatch!$BI270:$BJ270),"")</f>
        <v/>
      </c>
      <c r="H157" s="877" t="str">
        <f t="shared" si="75"/>
        <v/>
      </c>
      <c r="I157" s="765"/>
      <c r="J157" s="882" t="str">
        <f>IF($I157,$I157*TreatyCatch!BL270/SUM(TreatyCatch!$BL270:$BM270,TreatyCatch!$BO270:$BP270),"")</f>
        <v/>
      </c>
      <c r="K157" s="883" t="str">
        <f>IF($I157,$I157*TreatyCatch!BM270/SUM(TreatyCatch!$BL270:$BM270,TreatyCatch!$BO270:$BP270),"")</f>
        <v/>
      </c>
      <c r="L157" s="871" t="str">
        <f t="shared" si="71"/>
        <v/>
      </c>
      <c r="M157" s="858" t="str">
        <f>IF($I157,$I157*TreatyCatch!BO270/SUM(TreatyCatch!$BL270:$BM270,TreatyCatch!$BO270:$BP270),"")</f>
        <v/>
      </c>
      <c r="N157" s="859" t="str">
        <f>IF($I157,$I157*TreatyCatch!BP270/SUM(TreatyCatch!$BL270:$BM270,TreatyCatch!$BO270:$BP270),"")</f>
        <v/>
      </c>
      <c r="O157" s="840" t="str">
        <f t="shared" si="76"/>
        <v/>
      </c>
      <c r="P157" s="765"/>
      <c r="Q157" s="852" t="str">
        <f>IF($P157,$P157*TreatyCatch!BR270/SUM(TreatyCatch!$BR270:$BS270,TreatyCatch!$BU270:$BV270),"")</f>
        <v/>
      </c>
      <c r="R157" s="853" t="str">
        <f>IF($P157,$P157*TreatyCatch!BS270/SUM(TreatyCatch!$BR270:$BS270,TreatyCatch!$BU270:$BV270),"")</f>
        <v/>
      </c>
      <c r="S157" s="846" t="str">
        <f t="shared" si="72"/>
        <v/>
      </c>
      <c r="T157" s="893" t="str">
        <f>IF($P157,$P157*TreatyCatch!BU270/SUM(TreatyCatch!$BR270:$BS270,TreatyCatch!$BU270:$BV270),"")</f>
        <v/>
      </c>
      <c r="U157" s="894" t="str">
        <f>IF($P157,$P157*TreatyCatch!BV270/SUM(TreatyCatch!$BR270:$BS270,TreatyCatch!$BU270:$BV270),"")</f>
        <v/>
      </c>
      <c r="V157" s="877" t="str">
        <f t="shared" si="77"/>
        <v/>
      </c>
      <c r="W157" s="958"/>
      <c r="X157" s="882" t="str">
        <f>IF($W157,$W157*TreatyCatch!BX270/SUM(TreatyCatch!$BX270:$BY270,TreatyCatch!$CA270:$CB270),"")</f>
        <v/>
      </c>
      <c r="Y157" s="883" t="str">
        <f>IF($W157,$W157*TreatyCatch!BY270/SUM(TreatyCatch!$BX270:$BY270,TreatyCatch!$CA270:$CB270),"")</f>
        <v/>
      </c>
      <c r="Z157" s="901" t="str">
        <f t="shared" si="73"/>
        <v/>
      </c>
      <c r="AA157" s="858" t="str">
        <f>IF($W157,$W157*TreatyCatch!CA270/SUM(TreatyCatch!$BX270:$BY270,TreatyCatch!$CA270:$CB270),"")</f>
        <v/>
      </c>
      <c r="AB157" s="859" t="str">
        <f>IF($W157,$W157*TreatyCatch!CB270/SUM(TreatyCatch!$BX270:$BY270,TreatyCatch!$CA270:$CB270),"")</f>
        <v/>
      </c>
      <c r="AC157" s="840" t="str">
        <f t="shared" si="78"/>
        <v/>
      </c>
      <c r="AD157" s="958"/>
      <c r="AE157" s="1071" t="str">
        <f>IF($AD157,$AD157*TreatyCatch!CD387/SUM(TreatyCatch!$CD387:$CE387,TreatyCatch!$CG387:$CH387),"")</f>
        <v/>
      </c>
      <c r="AF157" s="1072" t="str">
        <f>IF($AD157,$AD157*TreatyCatch!CE387/SUM(TreatyCatch!$CD387:$CE387,TreatyCatch!$CG387:$CH387),"")</f>
        <v/>
      </c>
      <c r="AG157" s="1073" t="str">
        <f t="shared" si="74"/>
        <v/>
      </c>
      <c r="AH157" s="1077" t="str">
        <f>IF($AD157,$AD157*TreatyCatch!CG387/SUM(TreatyCatch!$CD387:CE387,TreatyCatch!$CG387:$CH387),"")</f>
        <v/>
      </c>
      <c r="AI157" s="1078" t="str">
        <f>IF($AD157,$AD157*TreatyCatch!CH387/SUM(TreatyCatch!$CD387:CF387,TreatyCatch!$CG387:$CH387),"")</f>
        <v/>
      </c>
      <c r="AJ157" s="1080" t="str">
        <f t="shared" si="79"/>
        <v/>
      </c>
      <c r="AK157" s="958"/>
      <c r="AL157" s="882"/>
      <c r="AM157" s="883"/>
      <c r="AN157" s="901"/>
      <c r="AO157" s="858"/>
      <c r="AP157" s="859"/>
      <c r="AQ157" s="840"/>
      <c r="AR157" s="765"/>
      <c r="AS157" s="852"/>
      <c r="AT157" s="853"/>
      <c r="AU157" s="846"/>
      <c r="AV157" s="893"/>
      <c r="AW157" s="894"/>
      <c r="AX157" s="877"/>
      <c r="AY157" s="765"/>
      <c r="AZ157" s="882"/>
      <c r="BA157" s="883"/>
      <c r="BB157" s="901"/>
      <c r="BC157" s="858"/>
      <c r="BD157" s="859"/>
      <c r="BE157" s="840"/>
      <c r="BF157" s="765"/>
      <c r="BG157" s="852"/>
      <c r="BH157" s="853"/>
      <c r="BI157" s="846"/>
      <c r="BJ157" s="893"/>
      <c r="BK157" s="894"/>
      <c r="BL157" s="877"/>
      <c r="BM157" s="765"/>
      <c r="BN157" s="882"/>
      <c r="BO157" s="883"/>
      <c r="BP157" s="901"/>
      <c r="BQ157" s="858"/>
      <c r="BR157" s="859"/>
      <c r="BS157" s="840"/>
      <c r="BT157" s="765"/>
      <c r="BU157" s="852"/>
      <c r="BV157" s="853"/>
      <c r="BW157" s="846"/>
      <c r="BX157" s="893"/>
      <c r="BY157" s="894"/>
      <c r="BZ157" s="877"/>
      <c r="CA157" s="765"/>
      <c r="CB157" s="882"/>
      <c r="CC157" s="883"/>
      <c r="CD157" s="901"/>
      <c r="CE157" s="858"/>
      <c r="CF157" s="859"/>
      <c r="CG157" s="840"/>
      <c r="CH157" s="765"/>
      <c r="CI157" s="852"/>
      <c r="CJ157" s="853"/>
      <c r="CK157" s="846"/>
      <c r="CL157" s="893"/>
      <c r="CM157" s="894"/>
      <c r="CN157" s="877"/>
    </row>
    <row r="158" spans="1:92" x14ac:dyDescent="0.25">
      <c r="A158" s="757">
        <v>33</v>
      </c>
      <c r="B158" s="765"/>
      <c r="C158" s="844" t="str">
        <f>IF($B158,$B158*TreatyCatch!BF271/SUM(TreatyCatch!$BF271:$BG271,TreatyCatch!$BI271:$BJ271),"")</f>
        <v/>
      </c>
      <c r="D158" s="844" t="str">
        <f>IF($B158,$B158*TreatyCatch!BG271/SUM(TreatyCatch!$BF271:$BG271,TreatyCatch!$BI271:$BJ271),"")</f>
        <v/>
      </c>
      <c r="E158" s="846" t="str">
        <f t="shared" si="70"/>
        <v/>
      </c>
      <c r="F158" s="876" t="str">
        <f>IF($B158,$B158*TreatyCatch!BI271/SUM(TreatyCatch!$BF271:$BG271,TreatyCatch!$BI271:$BJ271),"")</f>
        <v/>
      </c>
      <c r="G158" s="889" t="str">
        <f>IF($B158,$B158*TreatyCatch!BJ271/SUM(TreatyCatch!$BF271:$BG271,TreatyCatch!$BI271:$BJ271),"")</f>
        <v/>
      </c>
      <c r="H158" s="877" t="str">
        <f t="shared" si="75"/>
        <v/>
      </c>
      <c r="I158" s="765"/>
      <c r="J158" s="882" t="str">
        <f>IF($I158,$I158*TreatyCatch!BL271/SUM(TreatyCatch!$BL271:$BM271,TreatyCatch!$BO271:$BP271),"")</f>
        <v/>
      </c>
      <c r="K158" s="883" t="str">
        <f>IF($I158,$I158*TreatyCatch!BM271/SUM(TreatyCatch!$BL271:$BM271,TreatyCatch!$BO271:$BP271),"")</f>
        <v/>
      </c>
      <c r="L158" s="871" t="str">
        <f t="shared" si="71"/>
        <v/>
      </c>
      <c r="M158" s="858" t="str">
        <f>IF($I158,$I158*TreatyCatch!BO271/SUM(TreatyCatch!$BL271:$BM271,TreatyCatch!$BO271:$BP271),"")</f>
        <v/>
      </c>
      <c r="N158" s="859" t="str">
        <f>IF($I158,$I158*TreatyCatch!BP271/SUM(TreatyCatch!$BL271:$BM271,TreatyCatch!$BO271:$BP271),"")</f>
        <v/>
      </c>
      <c r="O158" s="840" t="str">
        <f t="shared" si="76"/>
        <v/>
      </c>
      <c r="P158" s="765"/>
      <c r="Q158" s="852" t="str">
        <f>IF($P158,$P158*TreatyCatch!BR271/SUM(TreatyCatch!$BR271:$BS271,TreatyCatch!$BU271:$BV271),"")</f>
        <v/>
      </c>
      <c r="R158" s="853" t="str">
        <f>IF($P158,$P158*TreatyCatch!BS271/SUM(TreatyCatch!$BR271:$BS271,TreatyCatch!$BU271:$BV271),"")</f>
        <v/>
      </c>
      <c r="S158" s="846" t="str">
        <f t="shared" si="72"/>
        <v/>
      </c>
      <c r="T158" s="893" t="str">
        <f>IF($P158,$P158*TreatyCatch!BU271/SUM(TreatyCatch!$BR271:$BS271,TreatyCatch!$BU271:$BV271),"")</f>
        <v/>
      </c>
      <c r="U158" s="894" t="str">
        <f>IF($P158,$P158*TreatyCatch!BV271/SUM(TreatyCatch!$BR271:$BS271,TreatyCatch!$BU271:$BV271),"")</f>
        <v/>
      </c>
      <c r="V158" s="877" t="str">
        <f t="shared" si="77"/>
        <v/>
      </c>
      <c r="W158" s="958"/>
      <c r="X158" s="882" t="str">
        <f>IF($W158,$W158*TreatyCatch!BX271/SUM(TreatyCatch!$BX271:$BY271,TreatyCatch!$CA271:$CB271),"")</f>
        <v/>
      </c>
      <c r="Y158" s="883" t="str">
        <f>IF($W158,$W158*TreatyCatch!BY271/SUM(TreatyCatch!$BX271:$BY271,TreatyCatch!$CA271:$CB271),"")</f>
        <v/>
      </c>
      <c r="Z158" s="901" t="str">
        <f t="shared" si="73"/>
        <v/>
      </c>
      <c r="AA158" s="858" t="str">
        <f>IF($W158,$W158*TreatyCatch!CA271/SUM(TreatyCatch!$BX271:$BY271,TreatyCatch!$CA271:$CB271),"")</f>
        <v/>
      </c>
      <c r="AB158" s="859" t="str">
        <f>IF($W158,$W158*TreatyCatch!CB271/SUM(TreatyCatch!$BX271:$BY271,TreatyCatch!$CA271:$CB271),"")</f>
        <v/>
      </c>
      <c r="AC158" s="840" t="str">
        <f t="shared" si="78"/>
        <v/>
      </c>
      <c r="AD158" s="958"/>
      <c r="AE158" s="1071" t="str">
        <f>IF($AD158,$AD158*TreatyCatch!CD388/SUM(TreatyCatch!$CD388:$CE388,TreatyCatch!$CG388:$CH388),"")</f>
        <v/>
      </c>
      <c r="AF158" s="1072" t="str">
        <f>IF($AD158,$AD158*TreatyCatch!CE388/SUM(TreatyCatch!$CD388:$CE388,TreatyCatch!$CG388:$CH388),"")</f>
        <v/>
      </c>
      <c r="AG158" s="1073" t="str">
        <f t="shared" si="74"/>
        <v/>
      </c>
      <c r="AH158" s="1077" t="str">
        <f>IF($AD158,$AD158*TreatyCatch!CG388/SUM(TreatyCatch!$CD388:CE388,TreatyCatch!$CG388:$CH388),"")</f>
        <v/>
      </c>
      <c r="AI158" s="1078" t="str">
        <f>IF($AD158,$AD158*TreatyCatch!CH388/SUM(TreatyCatch!$CD388:CF388,TreatyCatch!$CG388:$CH388),"")</f>
        <v/>
      </c>
      <c r="AJ158" s="1080" t="str">
        <f t="shared" si="79"/>
        <v/>
      </c>
      <c r="AK158" s="958"/>
      <c r="AL158" s="882"/>
      <c r="AM158" s="883"/>
      <c r="AN158" s="901"/>
      <c r="AO158" s="858"/>
      <c r="AP158" s="859"/>
      <c r="AQ158" s="840"/>
      <c r="AR158" s="765"/>
      <c r="AS158" s="852"/>
      <c r="AT158" s="853"/>
      <c r="AU158" s="846"/>
      <c r="AV158" s="893"/>
      <c r="AW158" s="894"/>
      <c r="AX158" s="877"/>
      <c r="AY158" s="765"/>
      <c r="AZ158" s="882"/>
      <c r="BA158" s="883"/>
      <c r="BB158" s="901"/>
      <c r="BC158" s="858"/>
      <c r="BD158" s="859"/>
      <c r="BE158" s="840"/>
      <c r="BF158" s="765"/>
      <c r="BG158" s="852"/>
      <c r="BH158" s="853"/>
      <c r="BI158" s="846"/>
      <c r="BJ158" s="893"/>
      <c r="BK158" s="894"/>
      <c r="BL158" s="877"/>
      <c r="BM158" s="765"/>
      <c r="BN158" s="882"/>
      <c r="BO158" s="883"/>
      <c r="BP158" s="901"/>
      <c r="BQ158" s="858"/>
      <c r="BR158" s="859"/>
      <c r="BS158" s="840"/>
      <c r="BT158" s="765"/>
      <c r="BU158" s="852"/>
      <c r="BV158" s="853"/>
      <c r="BW158" s="846"/>
      <c r="BX158" s="893"/>
      <c r="BY158" s="894"/>
      <c r="BZ158" s="877"/>
      <c r="CA158" s="765"/>
      <c r="CB158" s="882"/>
      <c r="CC158" s="883"/>
      <c r="CD158" s="901"/>
      <c r="CE158" s="858"/>
      <c r="CF158" s="859"/>
      <c r="CG158" s="840"/>
      <c r="CH158" s="765"/>
      <c r="CI158" s="852"/>
      <c r="CJ158" s="853"/>
      <c r="CK158" s="846"/>
      <c r="CL158" s="893"/>
      <c r="CM158" s="894"/>
      <c r="CN158" s="877"/>
    </row>
    <row r="159" spans="1:92" x14ac:dyDescent="0.25">
      <c r="A159" s="757">
        <v>34</v>
      </c>
      <c r="B159" s="765"/>
      <c r="C159" s="844" t="str">
        <f>IF($B159,$B159*TreatyCatch!BF272/SUM(TreatyCatch!$BF272:$BG272,TreatyCatch!$BI272:$BJ272),"")</f>
        <v/>
      </c>
      <c r="D159" s="844" t="str">
        <f>IF($B159,$B159*TreatyCatch!BG272/SUM(TreatyCatch!$BF272:$BG272,TreatyCatch!$BI272:$BJ272),"")</f>
        <v/>
      </c>
      <c r="E159" s="846" t="str">
        <f t="shared" si="70"/>
        <v/>
      </c>
      <c r="F159" s="876" t="str">
        <f>IF($B159,$B159*TreatyCatch!BI272/SUM(TreatyCatch!$BF272:$BG272,TreatyCatch!$BI272:$BJ272),"")</f>
        <v/>
      </c>
      <c r="G159" s="889" t="str">
        <f>IF($B159,$B159*TreatyCatch!BJ272/SUM(TreatyCatch!$BF272:$BG272,TreatyCatch!$BI272:$BJ272),"")</f>
        <v/>
      </c>
      <c r="H159" s="877" t="str">
        <f t="shared" si="75"/>
        <v/>
      </c>
      <c r="I159" s="765"/>
      <c r="J159" s="882" t="str">
        <f>IF($I159,$I159*TreatyCatch!BL272/SUM(TreatyCatch!$BL272:$BM272,TreatyCatch!$BO272:$BP272),"")</f>
        <v/>
      </c>
      <c r="K159" s="883" t="str">
        <f>IF($I159,$I159*TreatyCatch!BM272/SUM(TreatyCatch!$BL272:$BM272,TreatyCatch!$BO272:$BP272),"")</f>
        <v/>
      </c>
      <c r="L159" s="871" t="str">
        <f t="shared" si="71"/>
        <v/>
      </c>
      <c r="M159" s="858" t="str">
        <f>IF($I159,$I159*TreatyCatch!BO272/SUM(TreatyCatch!$BL272:$BM272,TreatyCatch!$BO272:$BP272),"")</f>
        <v/>
      </c>
      <c r="N159" s="859" t="str">
        <f>IF($I159,$I159*TreatyCatch!BP272/SUM(TreatyCatch!$BL272:$BM272,TreatyCatch!$BO272:$BP272),"")</f>
        <v/>
      </c>
      <c r="O159" s="840" t="str">
        <f t="shared" si="76"/>
        <v/>
      </c>
      <c r="P159" s="765"/>
      <c r="Q159" s="852" t="str">
        <f>IF($P159,$P159*TreatyCatch!BR272/SUM(TreatyCatch!$BR272:$BS272,TreatyCatch!$BU272:$BV272),"")</f>
        <v/>
      </c>
      <c r="R159" s="853" t="str">
        <f>IF($P159,$P159*TreatyCatch!BS272/SUM(TreatyCatch!$BR272:$BS272,TreatyCatch!$BU272:$BV272),"")</f>
        <v/>
      </c>
      <c r="S159" s="846" t="str">
        <f t="shared" si="72"/>
        <v/>
      </c>
      <c r="T159" s="893" t="str">
        <f>IF($P159,$P159*TreatyCatch!BU272/SUM(TreatyCatch!$BR272:$BS272,TreatyCatch!$BU272:$BV272),"")</f>
        <v/>
      </c>
      <c r="U159" s="894" t="str">
        <f>IF($P159,$P159*TreatyCatch!BV272/SUM(TreatyCatch!$BR272:$BS272,TreatyCatch!$BU272:$BV272),"")</f>
        <v/>
      </c>
      <c r="V159" s="877" t="str">
        <f t="shared" si="77"/>
        <v/>
      </c>
      <c r="W159" s="958"/>
      <c r="X159" s="882" t="str">
        <f>IF($W159,$W159*TreatyCatch!BX272/SUM(TreatyCatch!$BX272:$BY272,TreatyCatch!$CA272:$CB272),"")</f>
        <v/>
      </c>
      <c r="Y159" s="883" t="str">
        <f>IF($W159,$W159*TreatyCatch!BY272/SUM(TreatyCatch!$BX272:$BY272,TreatyCatch!$CA272:$CB272),"")</f>
        <v/>
      </c>
      <c r="Z159" s="901" t="str">
        <f t="shared" si="73"/>
        <v/>
      </c>
      <c r="AA159" s="858" t="str">
        <f>IF($W159,$W159*TreatyCatch!CA272/SUM(TreatyCatch!$BX272:$BY272,TreatyCatch!$CA272:$CB272),"")</f>
        <v/>
      </c>
      <c r="AB159" s="859" t="str">
        <f>IF($W159,$W159*TreatyCatch!CB272/SUM(TreatyCatch!$BX272:$BY272,TreatyCatch!$CA272:$CB272),"")</f>
        <v/>
      </c>
      <c r="AC159" s="840" t="str">
        <f t="shared" si="78"/>
        <v/>
      </c>
      <c r="AD159" s="958"/>
      <c r="AE159" s="1071" t="str">
        <f>IF($AD159,$AD159*TreatyCatch!CD389/SUM(TreatyCatch!$CD389:$CE389,TreatyCatch!$CG389:$CH389),"")</f>
        <v/>
      </c>
      <c r="AF159" s="1072" t="str">
        <f>IF($AD159,$AD159*TreatyCatch!CE389/SUM(TreatyCatch!$CD389:$CE389,TreatyCatch!$CG389:$CH389),"")</f>
        <v/>
      </c>
      <c r="AG159" s="1073" t="str">
        <f t="shared" si="74"/>
        <v/>
      </c>
      <c r="AH159" s="1077" t="str">
        <f>IF($AD159,$AD159*TreatyCatch!CG389/SUM(TreatyCatch!$CD389:CE389,TreatyCatch!$CG389:$CH389),"")</f>
        <v/>
      </c>
      <c r="AI159" s="1078" t="str">
        <f>IF($AD159,$AD159*TreatyCatch!CH389/SUM(TreatyCatch!$CD389:CF389,TreatyCatch!$CG389:$CH389),"")</f>
        <v/>
      </c>
      <c r="AJ159" s="1080" t="str">
        <f t="shared" si="79"/>
        <v/>
      </c>
      <c r="AK159" s="958"/>
      <c r="AL159" s="882"/>
      <c r="AM159" s="883"/>
      <c r="AN159" s="901"/>
      <c r="AO159" s="858"/>
      <c r="AP159" s="859"/>
      <c r="AQ159" s="840"/>
      <c r="AR159" s="765"/>
      <c r="AS159" s="852"/>
      <c r="AT159" s="853"/>
      <c r="AU159" s="846"/>
      <c r="AV159" s="893"/>
      <c r="AW159" s="894"/>
      <c r="AX159" s="877"/>
      <c r="AY159" s="765"/>
      <c r="AZ159" s="882"/>
      <c r="BA159" s="883"/>
      <c r="BB159" s="901"/>
      <c r="BC159" s="858"/>
      <c r="BD159" s="859"/>
      <c r="BE159" s="840"/>
      <c r="BF159" s="765"/>
      <c r="BG159" s="852"/>
      <c r="BH159" s="853"/>
      <c r="BI159" s="846"/>
      <c r="BJ159" s="893"/>
      <c r="BK159" s="894"/>
      <c r="BL159" s="877"/>
      <c r="BM159" s="765"/>
      <c r="BN159" s="882"/>
      <c r="BO159" s="883"/>
      <c r="BP159" s="901"/>
      <c r="BQ159" s="858"/>
      <c r="BR159" s="859"/>
      <c r="BS159" s="840"/>
      <c r="BT159" s="765"/>
      <c r="BU159" s="852"/>
      <c r="BV159" s="853"/>
      <c r="BW159" s="846"/>
      <c r="BX159" s="893"/>
      <c r="BY159" s="894"/>
      <c r="BZ159" s="877"/>
      <c r="CA159" s="765"/>
      <c r="CB159" s="882"/>
      <c r="CC159" s="883"/>
      <c r="CD159" s="901"/>
      <c r="CE159" s="858"/>
      <c r="CF159" s="859"/>
      <c r="CG159" s="840"/>
      <c r="CH159" s="765"/>
      <c r="CI159" s="852"/>
      <c r="CJ159" s="853"/>
      <c r="CK159" s="846"/>
      <c r="CL159" s="893"/>
      <c r="CM159" s="894"/>
      <c r="CN159" s="877"/>
    </row>
    <row r="160" spans="1:92" x14ac:dyDescent="0.25">
      <c r="A160" s="757">
        <v>35</v>
      </c>
      <c r="B160" s="765"/>
      <c r="C160" s="844" t="str">
        <f>IF($B160,$B160*TreatyCatch!BF273/SUM(TreatyCatch!$BF273:$BG273,TreatyCatch!$BI273:$BJ273),"")</f>
        <v/>
      </c>
      <c r="D160" s="844" t="str">
        <f>IF($B160,$B160*TreatyCatch!BG273/SUM(TreatyCatch!$BF273:$BG273,TreatyCatch!$BI273:$BJ273),"")</f>
        <v/>
      </c>
      <c r="E160" s="846" t="str">
        <f t="shared" si="70"/>
        <v/>
      </c>
      <c r="F160" s="876" t="str">
        <f>IF($B160,$B160*TreatyCatch!BI273/SUM(TreatyCatch!$BF273:$BG273,TreatyCatch!$BI273:$BJ273),"")</f>
        <v/>
      </c>
      <c r="G160" s="889" t="str">
        <f>IF($B160,$B160*TreatyCatch!BJ273/SUM(TreatyCatch!$BF273:$BG273,TreatyCatch!$BI273:$BJ273),"")</f>
        <v/>
      </c>
      <c r="H160" s="877" t="str">
        <f t="shared" si="75"/>
        <v/>
      </c>
      <c r="I160" s="765"/>
      <c r="J160" s="882" t="str">
        <f>IF($I160,$I160*TreatyCatch!BL273/SUM(TreatyCatch!$BL273:$BM273,TreatyCatch!$BO273:$BP273),"")</f>
        <v/>
      </c>
      <c r="K160" s="883" t="str">
        <f>IF($I160,$I160*TreatyCatch!BM273/SUM(TreatyCatch!$BL273:$BM273,TreatyCatch!$BO273:$BP273),"")</f>
        <v/>
      </c>
      <c r="L160" s="871" t="str">
        <f t="shared" si="71"/>
        <v/>
      </c>
      <c r="M160" s="858" t="str">
        <f>IF($I160,$I160*TreatyCatch!BO273/SUM(TreatyCatch!$BL273:$BM273,TreatyCatch!$BO273:$BP273),"")</f>
        <v/>
      </c>
      <c r="N160" s="859" t="str">
        <f>IF($I160,$I160*TreatyCatch!BP273/SUM(TreatyCatch!$BL273:$BM273,TreatyCatch!$BO273:$BP273),"")</f>
        <v/>
      </c>
      <c r="O160" s="840" t="str">
        <f t="shared" si="76"/>
        <v/>
      </c>
      <c r="P160" s="765"/>
      <c r="Q160" s="852" t="str">
        <f>IF($P160,$P160*TreatyCatch!BR273/SUM(TreatyCatch!$BR273:$BS273,TreatyCatch!$BU273:$BV273),"")</f>
        <v/>
      </c>
      <c r="R160" s="853" t="str">
        <f>IF($P160,$P160*TreatyCatch!BS273/SUM(TreatyCatch!$BR273:$BS273,TreatyCatch!$BU273:$BV273),"")</f>
        <v/>
      </c>
      <c r="S160" s="846" t="str">
        <f t="shared" si="72"/>
        <v/>
      </c>
      <c r="T160" s="893" t="str">
        <f>IF($P160,$P160*TreatyCatch!BU273/SUM(TreatyCatch!$BR273:$BS273,TreatyCatch!$BU273:$BV273),"")</f>
        <v/>
      </c>
      <c r="U160" s="894" t="str">
        <f>IF($P160,$P160*TreatyCatch!BV273/SUM(TreatyCatch!$BR273:$BS273,TreatyCatch!$BU273:$BV273),"")</f>
        <v/>
      </c>
      <c r="V160" s="877" t="str">
        <f t="shared" si="77"/>
        <v/>
      </c>
      <c r="W160" s="958"/>
      <c r="X160" s="882" t="str">
        <f>IF($W160,$W160*TreatyCatch!BX273/SUM(TreatyCatch!$BX273:$BY273,TreatyCatch!$CA273:$CB273),"")</f>
        <v/>
      </c>
      <c r="Y160" s="883" t="str">
        <f>IF($W160,$W160*TreatyCatch!BY273/SUM(TreatyCatch!$BX273:$BY273,TreatyCatch!$CA273:$CB273),"")</f>
        <v/>
      </c>
      <c r="Z160" s="901" t="str">
        <f t="shared" si="73"/>
        <v/>
      </c>
      <c r="AA160" s="858" t="str">
        <f>IF($W160,$W160*TreatyCatch!CA273/SUM(TreatyCatch!$BX273:$BY273,TreatyCatch!$CA273:$CB273),"")</f>
        <v/>
      </c>
      <c r="AB160" s="859" t="str">
        <f>IF($W160,$W160*TreatyCatch!CB273/SUM(TreatyCatch!$BX273:$BY273,TreatyCatch!$CA273:$CB273),"")</f>
        <v/>
      </c>
      <c r="AC160" s="840" t="str">
        <f t="shared" si="78"/>
        <v/>
      </c>
      <c r="AD160" s="958"/>
      <c r="AE160" s="1071" t="str">
        <f>IF($AD160,$AD160*TreatyCatch!CD390/SUM(TreatyCatch!$CD390:$CE390,TreatyCatch!$CG390:$CH390),"")</f>
        <v/>
      </c>
      <c r="AF160" s="1072" t="str">
        <f>IF($AD160,$AD160*TreatyCatch!CE390/SUM(TreatyCatch!$CD390:$CE390,TreatyCatch!$CG390:$CH390),"")</f>
        <v/>
      </c>
      <c r="AG160" s="1073" t="str">
        <f t="shared" si="74"/>
        <v/>
      </c>
      <c r="AH160" s="1077" t="str">
        <f>IF($AD160,$AD160*TreatyCatch!CG390/SUM(TreatyCatch!$CD390:CE390,TreatyCatch!$CG390:$CH390),"")</f>
        <v/>
      </c>
      <c r="AI160" s="1078" t="str">
        <f>IF($AD160,$AD160*TreatyCatch!CH390/SUM(TreatyCatch!$CD390:CF390,TreatyCatch!$CG390:$CH390),"")</f>
        <v/>
      </c>
      <c r="AJ160" s="1080" t="str">
        <f t="shared" si="79"/>
        <v/>
      </c>
      <c r="AK160" s="958"/>
      <c r="AL160" s="882"/>
      <c r="AM160" s="883"/>
      <c r="AN160" s="901"/>
      <c r="AO160" s="858"/>
      <c r="AP160" s="859"/>
      <c r="AQ160" s="840"/>
      <c r="AR160" s="765"/>
      <c r="AS160" s="852"/>
      <c r="AT160" s="853"/>
      <c r="AU160" s="846"/>
      <c r="AV160" s="893"/>
      <c r="AW160" s="894"/>
      <c r="AX160" s="877"/>
      <c r="AY160" s="765"/>
      <c r="AZ160" s="882"/>
      <c r="BA160" s="883"/>
      <c r="BB160" s="901"/>
      <c r="BC160" s="858"/>
      <c r="BD160" s="859"/>
      <c r="BE160" s="840"/>
      <c r="BF160" s="765"/>
      <c r="BG160" s="852"/>
      <c r="BH160" s="853"/>
      <c r="BI160" s="846"/>
      <c r="BJ160" s="893"/>
      <c r="BK160" s="894"/>
      <c r="BL160" s="877"/>
      <c r="BM160" s="765"/>
      <c r="BN160" s="882"/>
      <c r="BO160" s="883"/>
      <c r="BP160" s="901"/>
      <c r="BQ160" s="858"/>
      <c r="BR160" s="859"/>
      <c r="BS160" s="840"/>
      <c r="BT160" s="765"/>
      <c r="BU160" s="852"/>
      <c r="BV160" s="853"/>
      <c r="BW160" s="846"/>
      <c r="BX160" s="893"/>
      <c r="BY160" s="894"/>
      <c r="BZ160" s="877"/>
      <c r="CA160" s="765"/>
      <c r="CB160" s="882"/>
      <c r="CC160" s="883"/>
      <c r="CD160" s="901"/>
      <c r="CE160" s="858"/>
      <c r="CF160" s="859"/>
      <c r="CG160" s="840"/>
      <c r="CH160" s="765"/>
      <c r="CI160" s="852"/>
      <c r="CJ160" s="853"/>
      <c r="CK160" s="846"/>
      <c r="CL160" s="893"/>
      <c r="CM160" s="894"/>
      <c r="CN160" s="877"/>
    </row>
    <row r="161" spans="1:92" x14ac:dyDescent="0.25">
      <c r="A161" s="757">
        <v>36</v>
      </c>
      <c r="B161" s="765"/>
      <c r="C161" s="844" t="str">
        <f>IF($B161,$B161*TreatyCatch!BF274/SUM(TreatyCatch!$BF274:$BG274,TreatyCatch!$BI274:$BJ274),"")</f>
        <v/>
      </c>
      <c r="D161" s="844" t="str">
        <f>IF($B161,$B161*TreatyCatch!BG274/SUM(TreatyCatch!$BF274:$BG274,TreatyCatch!$BI274:$BJ274),"")</f>
        <v/>
      </c>
      <c r="E161" s="846" t="str">
        <f t="shared" si="70"/>
        <v/>
      </c>
      <c r="F161" s="876" t="str">
        <f>IF($B161,$B161*TreatyCatch!BI274/SUM(TreatyCatch!$BF274:$BG274,TreatyCatch!$BI274:$BJ274),"")</f>
        <v/>
      </c>
      <c r="G161" s="889" t="str">
        <f>IF($B161,$B161*TreatyCatch!BJ274/SUM(TreatyCatch!$BF274:$BG274,TreatyCatch!$BI274:$BJ274),"")</f>
        <v/>
      </c>
      <c r="H161" s="877" t="str">
        <f t="shared" si="75"/>
        <v/>
      </c>
      <c r="I161" s="765"/>
      <c r="J161" s="882" t="str">
        <f>IF($I161,$I161*TreatyCatch!BL274/SUM(TreatyCatch!$BL274:$BM274,TreatyCatch!$BO274:$BP274),"")</f>
        <v/>
      </c>
      <c r="K161" s="883" t="str">
        <f>IF($I161,$I161*TreatyCatch!BM274/SUM(TreatyCatch!$BL274:$BM274,TreatyCatch!$BO274:$BP274),"")</f>
        <v/>
      </c>
      <c r="L161" s="871" t="str">
        <f t="shared" si="71"/>
        <v/>
      </c>
      <c r="M161" s="858" t="str">
        <f>IF($I161,$I161*TreatyCatch!BO274/SUM(TreatyCatch!$BL274:$BM274,TreatyCatch!$BO274:$BP274),"")</f>
        <v/>
      </c>
      <c r="N161" s="859" t="str">
        <f>IF($I161,$I161*TreatyCatch!BP274/SUM(TreatyCatch!$BL274:$BM274,TreatyCatch!$BO274:$BP274),"")</f>
        <v/>
      </c>
      <c r="O161" s="840" t="str">
        <f t="shared" si="76"/>
        <v/>
      </c>
      <c r="P161" s="765"/>
      <c r="Q161" s="852" t="str">
        <f>IF($P161,$P161*TreatyCatch!BR274/SUM(TreatyCatch!$BR274:$BS274,TreatyCatch!$BU274:$BV274),"")</f>
        <v/>
      </c>
      <c r="R161" s="853" t="str">
        <f>IF($P161,$P161*TreatyCatch!BS274/SUM(TreatyCatch!$BR274:$BS274,TreatyCatch!$BU274:$BV274),"")</f>
        <v/>
      </c>
      <c r="S161" s="846" t="str">
        <f t="shared" si="72"/>
        <v/>
      </c>
      <c r="T161" s="893" t="str">
        <f>IF($P161,$P161*TreatyCatch!BU274/SUM(TreatyCatch!$BR274:$BS274,TreatyCatch!$BU274:$BV274),"")</f>
        <v/>
      </c>
      <c r="U161" s="894" t="str">
        <f>IF($P161,$P161*TreatyCatch!BV274/SUM(TreatyCatch!$BR274:$BS274,TreatyCatch!$BU274:$BV274),"")</f>
        <v/>
      </c>
      <c r="V161" s="877" t="str">
        <f t="shared" si="77"/>
        <v/>
      </c>
      <c r="W161" s="958"/>
      <c r="X161" s="882" t="str">
        <f>IF($W161,$W161*TreatyCatch!BX274/SUM(TreatyCatch!$BX274:$BY274,TreatyCatch!$CA274:$CB274),"")</f>
        <v/>
      </c>
      <c r="Y161" s="883" t="str">
        <f>IF($W161,$W161*TreatyCatch!BY274/SUM(TreatyCatch!$BX274:$BY274,TreatyCatch!$CA274:$CB274),"")</f>
        <v/>
      </c>
      <c r="Z161" s="901" t="str">
        <f t="shared" si="73"/>
        <v/>
      </c>
      <c r="AA161" s="858" t="str">
        <f>IF($W161,$W161*TreatyCatch!CA274/SUM(TreatyCatch!$BX274:$BY274,TreatyCatch!$CA274:$CB274),"")</f>
        <v/>
      </c>
      <c r="AB161" s="859" t="str">
        <f>IF($W161,$W161*TreatyCatch!CB274/SUM(TreatyCatch!$BX274:$BY274,TreatyCatch!$CA274:$CB274),"")</f>
        <v/>
      </c>
      <c r="AC161" s="840" t="str">
        <f t="shared" si="78"/>
        <v/>
      </c>
      <c r="AD161" s="958"/>
      <c r="AE161" s="1071" t="str">
        <f>IF($AD161,$AD161*TreatyCatch!CD391/SUM(TreatyCatch!$CD391:$CE391,TreatyCatch!$CG391:$CH391),"")</f>
        <v/>
      </c>
      <c r="AF161" s="1072" t="str">
        <f>IF($AD161,$AD161*TreatyCatch!CE391/SUM(TreatyCatch!$CD391:$CE391,TreatyCatch!$CG391:$CH391),"")</f>
        <v/>
      </c>
      <c r="AG161" s="1073" t="str">
        <f t="shared" si="74"/>
        <v/>
      </c>
      <c r="AH161" s="1077" t="str">
        <f>IF($AD161,$AD161*TreatyCatch!CG391/SUM(TreatyCatch!$CD391:CE391,TreatyCatch!$CG391:$CH391),"")</f>
        <v/>
      </c>
      <c r="AI161" s="1078" t="str">
        <f>IF($AD161,$AD161*TreatyCatch!CH391/SUM(TreatyCatch!$CD391:CF391,TreatyCatch!$CG391:$CH391),"")</f>
        <v/>
      </c>
      <c r="AJ161" s="1080" t="str">
        <f t="shared" si="79"/>
        <v/>
      </c>
      <c r="AK161" s="958"/>
      <c r="AL161" s="882"/>
      <c r="AM161" s="883"/>
      <c r="AN161" s="901"/>
      <c r="AO161" s="858"/>
      <c r="AP161" s="859"/>
      <c r="AQ161" s="840"/>
      <c r="AR161" s="765"/>
      <c r="AS161" s="852"/>
      <c r="AT161" s="853"/>
      <c r="AU161" s="846"/>
      <c r="AV161" s="893"/>
      <c r="AW161" s="894"/>
      <c r="AX161" s="877"/>
      <c r="AY161" s="765"/>
      <c r="AZ161" s="882"/>
      <c r="BA161" s="883"/>
      <c r="BB161" s="901"/>
      <c r="BC161" s="858"/>
      <c r="BD161" s="859"/>
      <c r="BE161" s="840"/>
      <c r="BF161" s="765"/>
      <c r="BG161" s="852"/>
      <c r="BH161" s="853"/>
      <c r="BI161" s="846"/>
      <c r="BJ161" s="893"/>
      <c r="BK161" s="894"/>
      <c r="BL161" s="877"/>
      <c r="BM161" s="765"/>
      <c r="BN161" s="882"/>
      <c r="BO161" s="883"/>
      <c r="BP161" s="901"/>
      <c r="BQ161" s="858"/>
      <c r="BR161" s="859"/>
      <c r="BS161" s="840"/>
      <c r="BT161" s="765"/>
      <c r="BU161" s="852"/>
      <c r="BV161" s="853"/>
      <c r="BW161" s="846"/>
      <c r="BX161" s="893"/>
      <c r="BY161" s="894"/>
      <c r="BZ161" s="877"/>
      <c r="CA161" s="765"/>
      <c r="CB161" s="882"/>
      <c r="CC161" s="883"/>
      <c r="CD161" s="901"/>
      <c r="CE161" s="858"/>
      <c r="CF161" s="859"/>
      <c r="CG161" s="840"/>
      <c r="CH161" s="765"/>
      <c r="CI161" s="852"/>
      <c r="CJ161" s="853"/>
      <c r="CK161" s="846"/>
      <c r="CL161" s="893"/>
      <c r="CM161" s="894"/>
      <c r="CN161" s="877"/>
    </row>
    <row r="162" spans="1:92" x14ac:dyDescent="0.25">
      <c r="A162" s="757">
        <v>37</v>
      </c>
      <c r="B162" s="765"/>
      <c r="C162" s="844" t="str">
        <f>IF($B162,$B162*TreatyCatch!BF275/SUM(TreatyCatch!$BF275:$BG275,TreatyCatch!$BI275:$BJ275),"")</f>
        <v/>
      </c>
      <c r="D162" s="844" t="str">
        <f>IF($B162,$B162*TreatyCatch!BG275/SUM(TreatyCatch!$BF275:$BG275,TreatyCatch!$BI275:$BJ275),"")</f>
        <v/>
      </c>
      <c r="E162" s="846" t="str">
        <f t="shared" si="70"/>
        <v/>
      </c>
      <c r="F162" s="876" t="str">
        <f>IF($B162,$B162*TreatyCatch!BI275/SUM(TreatyCatch!$BF275:$BG275,TreatyCatch!$BI275:$BJ275),"")</f>
        <v/>
      </c>
      <c r="G162" s="889" t="str">
        <f>IF($B162,$B162*TreatyCatch!BJ275/SUM(TreatyCatch!$BF275:$BG275,TreatyCatch!$BI275:$BJ275),"")</f>
        <v/>
      </c>
      <c r="H162" s="877" t="str">
        <f t="shared" si="75"/>
        <v/>
      </c>
      <c r="I162" s="765"/>
      <c r="J162" s="882" t="str">
        <f>IF($I162,$I162*TreatyCatch!BL275/SUM(TreatyCatch!$BL275:$BM275,TreatyCatch!$BO275:$BP275),"")</f>
        <v/>
      </c>
      <c r="K162" s="883" t="str">
        <f>IF($I162,$I162*TreatyCatch!BM275/SUM(TreatyCatch!$BL275:$BM275,TreatyCatch!$BO275:$BP275),"")</f>
        <v/>
      </c>
      <c r="L162" s="871" t="str">
        <f t="shared" si="71"/>
        <v/>
      </c>
      <c r="M162" s="858" t="str">
        <f>IF($I162,$I162*TreatyCatch!BO275/SUM(TreatyCatch!$BL275:$BM275,TreatyCatch!$BO275:$BP275),"")</f>
        <v/>
      </c>
      <c r="N162" s="859" t="str">
        <f>IF($I162,$I162*TreatyCatch!BP275/SUM(TreatyCatch!$BL275:$BM275,TreatyCatch!$BO275:$BP275),"")</f>
        <v/>
      </c>
      <c r="O162" s="840" t="str">
        <f t="shared" si="76"/>
        <v/>
      </c>
      <c r="P162" s="765"/>
      <c r="Q162" s="852" t="str">
        <f>IF($P162,$P162*TreatyCatch!BR275/SUM(TreatyCatch!$BR275:$BS275,TreatyCatch!$BU275:$BV275),"")</f>
        <v/>
      </c>
      <c r="R162" s="853" t="str">
        <f>IF($P162,$P162*TreatyCatch!BS275/SUM(TreatyCatch!$BR275:$BS275,TreatyCatch!$BU275:$BV275),"")</f>
        <v/>
      </c>
      <c r="S162" s="846" t="str">
        <f t="shared" si="72"/>
        <v/>
      </c>
      <c r="T162" s="893" t="str">
        <f>IF($P162,$P162*TreatyCatch!BU275/SUM(TreatyCatch!$BR275:$BS275,TreatyCatch!$BU275:$BV275),"")</f>
        <v/>
      </c>
      <c r="U162" s="894" t="str">
        <f>IF($P162,$P162*TreatyCatch!BV275/SUM(TreatyCatch!$BR275:$BS275,TreatyCatch!$BU275:$BV275),"")</f>
        <v/>
      </c>
      <c r="V162" s="877" t="str">
        <f t="shared" si="77"/>
        <v/>
      </c>
      <c r="W162" s="958"/>
      <c r="X162" s="882" t="str">
        <f>IF($W162,$W162*TreatyCatch!BX275/SUM(TreatyCatch!$BX275:$BY275,TreatyCatch!$CA275:$CB275),"")</f>
        <v/>
      </c>
      <c r="Y162" s="883" t="str">
        <f>IF($W162,$W162*TreatyCatch!BY275/SUM(TreatyCatch!$BX275:$BY275,TreatyCatch!$CA275:$CB275),"")</f>
        <v/>
      </c>
      <c r="Z162" s="901" t="str">
        <f t="shared" si="73"/>
        <v/>
      </c>
      <c r="AA162" s="858" t="str">
        <f>IF($W162,$W162*TreatyCatch!CA275/SUM(TreatyCatch!$BX275:$BY275,TreatyCatch!$CA275:$CB275),"")</f>
        <v/>
      </c>
      <c r="AB162" s="859" t="str">
        <f>IF($W162,$W162*TreatyCatch!CB275/SUM(TreatyCatch!$BX275:$BY275,TreatyCatch!$CA275:$CB275),"")</f>
        <v/>
      </c>
      <c r="AC162" s="840" t="str">
        <f t="shared" si="78"/>
        <v/>
      </c>
      <c r="AD162" s="958"/>
      <c r="AE162" s="1071" t="str">
        <f>IF($AD162,$AD162*TreatyCatch!CD392/SUM(TreatyCatch!$CD392:$CE392,TreatyCatch!$CG392:$CH392),"")</f>
        <v/>
      </c>
      <c r="AF162" s="1072" t="str">
        <f>IF($AD162,$AD162*TreatyCatch!CE392/SUM(TreatyCatch!$CD392:$CE392,TreatyCatch!$CG392:$CH392),"")</f>
        <v/>
      </c>
      <c r="AG162" s="1073" t="str">
        <f t="shared" si="74"/>
        <v/>
      </c>
      <c r="AH162" s="1077" t="str">
        <f>IF($AD162,$AD162*TreatyCatch!CG392/SUM(TreatyCatch!$CD392:CE392,TreatyCatch!$CG392:$CH392),"")</f>
        <v/>
      </c>
      <c r="AI162" s="1078" t="str">
        <f>IF($AD162,$AD162*TreatyCatch!CH392/SUM(TreatyCatch!$CD392:CF392,TreatyCatch!$CG392:$CH392),"")</f>
        <v/>
      </c>
      <c r="AJ162" s="1080" t="str">
        <f t="shared" si="79"/>
        <v/>
      </c>
      <c r="AK162" s="958"/>
      <c r="AL162" s="882"/>
      <c r="AM162" s="883"/>
      <c r="AN162" s="901"/>
      <c r="AO162" s="858"/>
      <c r="AP162" s="859"/>
      <c r="AQ162" s="840"/>
      <c r="AR162" s="765"/>
      <c r="AS162" s="852"/>
      <c r="AT162" s="853"/>
      <c r="AU162" s="846"/>
      <c r="AV162" s="893"/>
      <c r="AW162" s="894"/>
      <c r="AX162" s="877"/>
      <c r="AY162" s="765"/>
      <c r="AZ162" s="882"/>
      <c r="BA162" s="883"/>
      <c r="BB162" s="901"/>
      <c r="BC162" s="858"/>
      <c r="BD162" s="859"/>
      <c r="BE162" s="840"/>
      <c r="BF162" s="765"/>
      <c r="BG162" s="852"/>
      <c r="BH162" s="853"/>
      <c r="BI162" s="846"/>
      <c r="BJ162" s="893"/>
      <c r="BK162" s="894"/>
      <c r="BL162" s="877"/>
      <c r="BM162" s="765"/>
      <c r="BN162" s="882"/>
      <c r="BO162" s="883"/>
      <c r="BP162" s="901"/>
      <c r="BQ162" s="858"/>
      <c r="BR162" s="859"/>
      <c r="BS162" s="840"/>
      <c r="BT162" s="765"/>
      <c r="BU162" s="852"/>
      <c r="BV162" s="853"/>
      <c r="BW162" s="846"/>
      <c r="BX162" s="893"/>
      <c r="BY162" s="894"/>
      <c r="BZ162" s="877"/>
      <c r="CA162" s="765"/>
      <c r="CB162" s="882"/>
      <c r="CC162" s="883"/>
      <c r="CD162" s="901"/>
      <c r="CE162" s="858"/>
      <c r="CF162" s="859"/>
      <c r="CG162" s="840"/>
      <c r="CH162" s="765"/>
      <c r="CI162" s="852"/>
      <c r="CJ162" s="853"/>
      <c r="CK162" s="846"/>
      <c r="CL162" s="893"/>
      <c r="CM162" s="894"/>
      <c r="CN162" s="877"/>
    </row>
    <row r="163" spans="1:92" x14ac:dyDescent="0.25">
      <c r="A163" s="757">
        <v>38</v>
      </c>
      <c r="B163" s="765"/>
      <c r="C163" s="844" t="str">
        <f>IF($B163,$B163*TreatyCatch!BF276/SUM(TreatyCatch!$BF276:$BG276,TreatyCatch!$BI276:$BJ276),"")</f>
        <v/>
      </c>
      <c r="D163" s="844" t="str">
        <f>IF($B163,$B163*TreatyCatch!BG276/SUM(TreatyCatch!$BF276:$BG276,TreatyCatch!$BI276:$BJ276),"")</f>
        <v/>
      </c>
      <c r="E163" s="846" t="str">
        <f t="shared" si="70"/>
        <v/>
      </c>
      <c r="F163" s="876" t="str">
        <f>IF($B163,$B163*TreatyCatch!BI276/SUM(TreatyCatch!$BF276:$BG276,TreatyCatch!$BI276:$BJ276),"")</f>
        <v/>
      </c>
      <c r="G163" s="889" t="str">
        <f>IF($B163,$B163*TreatyCatch!BJ276/SUM(TreatyCatch!$BF276:$BG276,TreatyCatch!$BI276:$BJ276),"")</f>
        <v/>
      </c>
      <c r="H163" s="877" t="str">
        <f t="shared" si="75"/>
        <v/>
      </c>
      <c r="I163" s="765"/>
      <c r="J163" s="882" t="str">
        <f>IF($I163,$I163*TreatyCatch!BL276/SUM(TreatyCatch!$BL276:$BM276,TreatyCatch!$BO276:$BP276),"")</f>
        <v/>
      </c>
      <c r="K163" s="883" t="str">
        <f>IF($I163,$I163*TreatyCatch!BM276/SUM(TreatyCatch!$BL276:$BM276,TreatyCatch!$BO276:$BP276),"")</f>
        <v/>
      </c>
      <c r="L163" s="871" t="str">
        <f t="shared" si="71"/>
        <v/>
      </c>
      <c r="M163" s="858" t="str">
        <f>IF($I163,$I163*TreatyCatch!BO276/SUM(TreatyCatch!$BL276:$BM276,TreatyCatch!$BO276:$BP276),"")</f>
        <v/>
      </c>
      <c r="N163" s="859" t="str">
        <f>IF($I163,$I163*TreatyCatch!BP276/SUM(TreatyCatch!$BL276:$BM276,TreatyCatch!$BO276:$BP276),"")</f>
        <v/>
      </c>
      <c r="O163" s="840" t="str">
        <f t="shared" si="76"/>
        <v/>
      </c>
      <c r="P163" s="765"/>
      <c r="Q163" s="852" t="str">
        <f>IF($P163,$P163*TreatyCatch!BR276/SUM(TreatyCatch!$BR276:$BS276,TreatyCatch!$BU276:$BV276),"")</f>
        <v/>
      </c>
      <c r="R163" s="853" t="str">
        <f>IF($P163,$P163*TreatyCatch!BS276/SUM(TreatyCatch!$BR276:$BS276,TreatyCatch!$BU276:$BV276),"")</f>
        <v/>
      </c>
      <c r="S163" s="846" t="str">
        <f t="shared" si="72"/>
        <v/>
      </c>
      <c r="T163" s="893" t="str">
        <f>IF($P163,$P163*TreatyCatch!BU276/SUM(TreatyCatch!$BR276:$BS276,TreatyCatch!$BU276:$BV276),"")</f>
        <v/>
      </c>
      <c r="U163" s="894" t="str">
        <f>IF($P163,$P163*TreatyCatch!BV276/SUM(TreatyCatch!$BR276:$BS276,TreatyCatch!$BU276:$BV276),"")</f>
        <v/>
      </c>
      <c r="V163" s="877" t="str">
        <f t="shared" si="77"/>
        <v/>
      </c>
      <c r="W163" s="958"/>
      <c r="X163" s="882" t="str">
        <f>IF($W163,$W163*TreatyCatch!BX276/SUM(TreatyCatch!$BX276:$BY276,TreatyCatch!$CA276:$CB276),"")</f>
        <v/>
      </c>
      <c r="Y163" s="883" t="str">
        <f>IF($W163,$W163*TreatyCatch!BY276/SUM(TreatyCatch!$BX276:$BY276,TreatyCatch!$CA276:$CB276),"")</f>
        <v/>
      </c>
      <c r="Z163" s="901" t="str">
        <f t="shared" si="73"/>
        <v/>
      </c>
      <c r="AA163" s="858" t="str">
        <f>IF($W163,$W163*TreatyCatch!CA276/SUM(TreatyCatch!$BX276:$BY276,TreatyCatch!$CA276:$CB276),"")</f>
        <v/>
      </c>
      <c r="AB163" s="859" t="str">
        <f>IF($W163,$W163*TreatyCatch!CB276/SUM(TreatyCatch!$BX276:$BY276,TreatyCatch!$CA276:$CB276),"")</f>
        <v/>
      </c>
      <c r="AC163" s="840" t="str">
        <f t="shared" si="78"/>
        <v/>
      </c>
      <c r="AD163" s="958"/>
      <c r="AE163" s="1071" t="str">
        <f>IF($AD163,$AD163*TreatyCatch!CD393/SUM(TreatyCatch!$CD393:$CE393,TreatyCatch!$CG393:$CH393),"")</f>
        <v/>
      </c>
      <c r="AF163" s="1072" t="str">
        <f>IF($AD163,$AD163*TreatyCatch!CE393/SUM(TreatyCatch!$CD393:$CE393,TreatyCatch!$CG393:$CH393),"")</f>
        <v/>
      </c>
      <c r="AG163" s="1073" t="str">
        <f t="shared" si="74"/>
        <v/>
      </c>
      <c r="AH163" s="1077" t="str">
        <f>IF($AD163,$AD163*TreatyCatch!CG393/SUM(TreatyCatch!$CD393:CE393,TreatyCatch!$CG393:$CH393),"")</f>
        <v/>
      </c>
      <c r="AI163" s="1078" t="str">
        <f>IF($AD163,$AD163*TreatyCatch!CH393/SUM(TreatyCatch!$CD393:CF393,TreatyCatch!$CG393:$CH393),"")</f>
        <v/>
      </c>
      <c r="AJ163" s="1080" t="str">
        <f t="shared" si="79"/>
        <v/>
      </c>
      <c r="AK163" s="958"/>
      <c r="AL163" s="882"/>
      <c r="AM163" s="883"/>
      <c r="AN163" s="901"/>
      <c r="AO163" s="858"/>
      <c r="AP163" s="859"/>
      <c r="AQ163" s="840"/>
      <c r="AR163" s="765"/>
      <c r="AS163" s="852"/>
      <c r="AT163" s="853"/>
      <c r="AU163" s="846"/>
      <c r="AV163" s="893"/>
      <c r="AW163" s="894"/>
      <c r="AX163" s="877"/>
      <c r="AY163" s="765"/>
      <c r="AZ163" s="882"/>
      <c r="BA163" s="883"/>
      <c r="BB163" s="901"/>
      <c r="BC163" s="858"/>
      <c r="BD163" s="859"/>
      <c r="BE163" s="840"/>
      <c r="BF163" s="765"/>
      <c r="BG163" s="852"/>
      <c r="BH163" s="853"/>
      <c r="BI163" s="846"/>
      <c r="BJ163" s="893"/>
      <c r="BK163" s="894"/>
      <c r="BL163" s="877"/>
      <c r="BM163" s="765"/>
      <c r="BN163" s="882"/>
      <c r="BO163" s="883"/>
      <c r="BP163" s="901"/>
      <c r="BQ163" s="858"/>
      <c r="BR163" s="859"/>
      <c r="BS163" s="840"/>
      <c r="BT163" s="765"/>
      <c r="BU163" s="852"/>
      <c r="BV163" s="853"/>
      <c r="BW163" s="846"/>
      <c r="BX163" s="893"/>
      <c r="BY163" s="894"/>
      <c r="BZ163" s="877"/>
      <c r="CA163" s="765"/>
      <c r="CB163" s="882"/>
      <c r="CC163" s="883"/>
      <c r="CD163" s="901"/>
      <c r="CE163" s="858"/>
      <c r="CF163" s="859"/>
      <c r="CG163" s="840"/>
      <c r="CH163" s="765"/>
      <c r="CI163" s="852"/>
      <c r="CJ163" s="853"/>
      <c r="CK163" s="846"/>
      <c r="CL163" s="893"/>
      <c r="CM163" s="894"/>
      <c r="CN163" s="877"/>
    </row>
    <row r="164" spans="1:92" x14ac:dyDescent="0.25">
      <c r="A164" s="757">
        <v>39</v>
      </c>
      <c r="B164" s="765"/>
      <c r="C164" s="844" t="str">
        <f>IF($B164,$B164*TreatyCatch!BF277/SUM(TreatyCatch!$BF277:$BG277,TreatyCatch!$BI277:$BJ277),"")</f>
        <v/>
      </c>
      <c r="D164" s="844" t="str">
        <f>IF($B164,$B164*TreatyCatch!BG277/SUM(TreatyCatch!$BF277:$BG277,TreatyCatch!$BI277:$BJ277),"")</f>
        <v/>
      </c>
      <c r="E164" s="846" t="str">
        <f t="shared" si="70"/>
        <v/>
      </c>
      <c r="F164" s="876" t="str">
        <f>IF($B164,$B164*TreatyCatch!BI277/SUM(TreatyCatch!$BF277:$BG277,TreatyCatch!$BI277:$BJ277),"")</f>
        <v/>
      </c>
      <c r="G164" s="889" t="str">
        <f>IF($B164,$B164*TreatyCatch!BJ277/SUM(TreatyCatch!$BF277:$BG277,TreatyCatch!$BI277:$BJ277),"")</f>
        <v/>
      </c>
      <c r="H164" s="877" t="str">
        <f t="shared" si="75"/>
        <v/>
      </c>
      <c r="I164" s="765"/>
      <c r="J164" s="882" t="str">
        <f>IF($I164,$I164*TreatyCatch!BL277/SUM(TreatyCatch!$BL277:$BM277,TreatyCatch!$BO277:$BP277),"")</f>
        <v/>
      </c>
      <c r="K164" s="883" t="str">
        <f>IF($I164,$I164*TreatyCatch!BM277/SUM(TreatyCatch!$BL277:$BM277,TreatyCatch!$BO277:$BP277),"")</f>
        <v/>
      </c>
      <c r="L164" s="871" t="str">
        <f t="shared" si="71"/>
        <v/>
      </c>
      <c r="M164" s="858" t="str">
        <f>IF($I164,$I164*TreatyCatch!BO277/SUM(TreatyCatch!$BL277:$BM277,TreatyCatch!$BO277:$BP277),"")</f>
        <v/>
      </c>
      <c r="N164" s="859" t="str">
        <f>IF($I164,$I164*TreatyCatch!BP277/SUM(TreatyCatch!$BL277:$BM277,TreatyCatch!$BO277:$BP277),"")</f>
        <v/>
      </c>
      <c r="O164" s="840" t="str">
        <f t="shared" si="76"/>
        <v/>
      </c>
      <c r="P164" s="765"/>
      <c r="Q164" s="852" t="str">
        <f>IF($P164,$P164*TreatyCatch!BR277/SUM(TreatyCatch!$BR277:$BS277,TreatyCatch!$BU277:$BV277),"")</f>
        <v/>
      </c>
      <c r="R164" s="853" t="str">
        <f>IF($P164,$P164*TreatyCatch!BS277/SUM(TreatyCatch!$BR277:$BS277,TreatyCatch!$BU277:$BV277),"")</f>
        <v/>
      </c>
      <c r="S164" s="846" t="str">
        <f t="shared" si="72"/>
        <v/>
      </c>
      <c r="T164" s="893" t="str">
        <f>IF($P164,$P164*TreatyCatch!BU277/SUM(TreatyCatch!$BR277:$BS277,TreatyCatch!$BU277:$BV277),"")</f>
        <v/>
      </c>
      <c r="U164" s="894" t="str">
        <f>IF($P164,$P164*TreatyCatch!BV277/SUM(TreatyCatch!$BR277:$BS277,TreatyCatch!$BU277:$BV277),"")</f>
        <v/>
      </c>
      <c r="V164" s="877" t="str">
        <f t="shared" si="77"/>
        <v/>
      </c>
      <c r="W164" s="958"/>
      <c r="X164" s="882" t="str">
        <f>IF($W164,$W164*TreatyCatch!BX277/SUM(TreatyCatch!$BX277:$BY277,TreatyCatch!$CA277:$CB277),"")</f>
        <v/>
      </c>
      <c r="Y164" s="883" t="str">
        <f>IF($W164,$W164*TreatyCatch!BY277/SUM(TreatyCatch!$BX277:$BY277,TreatyCatch!$CA277:$CB277),"")</f>
        <v/>
      </c>
      <c r="Z164" s="901" t="str">
        <f t="shared" si="73"/>
        <v/>
      </c>
      <c r="AA164" s="858" t="str">
        <f>IF($W164,$W164*TreatyCatch!CA277/SUM(TreatyCatch!$BX277:$BY277,TreatyCatch!$CA277:$CB277),"")</f>
        <v/>
      </c>
      <c r="AB164" s="859" t="str">
        <f>IF($W164,$W164*TreatyCatch!CB277/SUM(TreatyCatch!$BX277:$BY277,TreatyCatch!$CA277:$CB277),"")</f>
        <v/>
      </c>
      <c r="AC164" s="840" t="str">
        <f t="shared" si="78"/>
        <v/>
      </c>
      <c r="AD164" s="958"/>
      <c r="AE164" s="1071" t="str">
        <f>IF($AD164,$AD164*TreatyCatch!CD394/SUM(TreatyCatch!$CD394:$CE394,TreatyCatch!$CG394:$CH394),"")</f>
        <v/>
      </c>
      <c r="AF164" s="1072" t="str">
        <f>IF($AD164,$AD164*TreatyCatch!CE394/SUM(TreatyCatch!$CD394:$CE394,TreatyCatch!$CG394:$CH394),"")</f>
        <v/>
      </c>
      <c r="AG164" s="1073" t="str">
        <f t="shared" si="74"/>
        <v/>
      </c>
      <c r="AH164" s="1077" t="str">
        <f>IF($AD164,$AD164*TreatyCatch!CG394/SUM(TreatyCatch!$CD394:CE394,TreatyCatch!$CG394:$CH394),"")</f>
        <v/>
      </c>
      <c r="AI164" s="1078" t="str">
        <f>IF($AD164,$AD164*TreatyCatch!CH394/SUM(TreatyCatch!$CD394:CF394,TreatyCatch!$CG394:$CH394),"")</f>
        <v/>
      </c>
      <c r="AJ164" s="1080" t="str">
        <f t="shared" si="79"/>
        <v/>
      </c>
      <c r="AK164" s="958"/>
      <c r="AL164" s="882"/>
      <c r="AM164" s="883"/>
      <c r="AN164" s="901"/>
      <c r="AO164" s="858"/>
      <c r="AP164" s="859"/>
      <c r="AQ164" s="840"/>
      <c r="AR164" s="765"/>
      <c r="AS164" s="852"/>
      <c r="AT164" s="853"/>
      <c r="AU164" s="846"/>
      <c r="AV164" s="893"/>
      <c r="AW164" s="894"/>
      <c r="AX164" s="877"/>
      <c r="AY164" s="765"/>
      <c r="AZ164" s="882"/>
      <c r="BA164" s="883"/>
      <c r="BB164" s="901"/>
      <c r="BC164" s="858"/>
      <c r="BD164" s="859"/>
      <c r="BE164" s="840"/>
      <c r="BF164" s="765"/>
      <c r="BG164" s="852"/>
      <c r="BH164" s="853"/>
      <c r="BI164" s="846"/>
      <c r="BJ164" s="893"/>
      <c r="BK164" s="894"/>
      <c r="BL164" s="877"/>
      <c r="BM164" s="765"/>
      <c r="BN164" s="882"/>
      <c r="BO164" s="883"/>
      <c r="BP164" s="901"/>
      <c r="BQ164" s="858"/>
      <c r="BR164" s="859"/>
      <c r="BS164" s="840"/>
      <c r="BT164" s="765"/>
      <c r="BU164" s="852"/>
      <c r="BV164" s="853"/>
      <c r="BW164" s="846"/>
      <c r="BX164" s="893"/>
      <c r="BY164" s="894"/>
      <c r="BZ164" s="877"/>
      <c r="CA164" s="765"/>
      <c r="CB164" s="882"/>
      <c r="CC164" s="883"/>
      <c r="CD164" s="901"/>
      <c r="CE164" s="858"/>
      <c r="CF164" s="859"/>
      <c r="CG164" s="840"/>
      <c r="CH164" s="765"/>
      <c r="CI164" s="852"/>
      <c r="CJ164" s="853"/>
      <c r="CK164" s="846"/>
      <c r="CL164" s="893"/>
      <c r="CM164" s="894"/>
      <c r="CN164" s="877"/>
    </row>
    <row r="165" spans="1:92" x14ac:dyDescent="0.25">
      <c r="A165" s="757">
        <v>40</v>
      </c>
      <c r="B165" s="765"/>
      <c r="C165" s="844" t="str">
        <f>IF($B165,$B165*TreatyCatch!BF278/SUM(TreatyCatch!$BF278:$BG278,TreatyCatch!$BI278:$BJ278),"")</f>
        <v/>
      </c>
      <c r="D165" s="844" t="str">
        <f>IF($B165,$B165*TreatyCatch!BG278/SUM(TreatyCatch!$BF278:$BG278,TreatyCatch!$BI278:$BJ278),"")</f>
        <v/>
      </c>
      <c r="E165" s="846" t="str">
        <f t="shared" si="70"/>
        <v/>
      </c>
      <c r="F165" s="876" t="str">
        <f>IF($B165,$B165*TreatyCatch!BI278/SUM(TreatyCatch!$BF278:$BG278,TreatyCatch!$BI278:$BJ278),"")</f>
        <v/>
      </c>
      <c r="G165" s="889" t="str">
        <f>IF($B165,$B165*TreatyCatch!BJ278/SUM(TreatyCatch!$BF278:$BG278,TreatyCatch!$BI278:$BJ278),"")</f>
        <v/>
      </c>
      <c r="H165" s="877" t="str">
        <f t="shared" si="75"/>
        <v/>
      </c>
      <c r="I165" s="765"/>
      <c r="J165" s="882" t="str">
        <f>IF($I165,$I165*TreatyCatch!BL278/SUM(TreatyCatch!$BL278:$BM278,TreatyCatch!$BO278:$BP278),"")</f>
        <v/>
      </c>
      <c r="K165" s="883" t="str">
        <f>IF($I165,$I165*TreatyCatch!BM278/SUM(TreatyCatch!$BL278:$BM278,TreatyCatch!$BO278:$BP278),"")</f>
        <v/>
      </c>
      <c r="L165" s="871" t="str">
        <f t="shared" si="71"/>
        <v/>
      </c>
      <c r="M165" s="858" t="str">
        <f>IF($I165,$I165*TreatyCatch!BO278/SUM(TreatyCatch!$BL278:$BM278,TreatyCatch!$BO278:$BP278),"")</f>
        <v/>
      </c>
      <c r="N165" s="859" t="str">
        <f>IF($I165,$I165*TreatyCatch!BP278/SUM(TreatyCatch!$BL278:$BM278,TreatyCatch!$BO278:$BP278),"")</f>
        <v/>
      </c>
      <c r="O165" s="840" t="str">
        <f t="shared" si="76"/>
        <v/>
      </c>
      <c r="P165" s="765"/>
      <c r="Q165" s="852" t="str">
        <f>IF($P165,$P165*TreatyCatch!BR278/SUM(TreatyCatch!$BR278:$BS278,TreatyCatch!$BU278:$BV278),"")</f>
        <v/>
      </c>
      <c r="R165" s="853" t="str">
        <f>IF($P165,$P165*TreatyCatch!BS278/SUM(TreatyCatch!$BR278:$BS278,TreatyCatch!$BU278:$BV278),"")</f>
        <v/>
      </c>
      <c r="S165" s="846" t="str">
        <f t="shared" si="72"/>
        <v/>
      </c>
      <c r="T165" s="893" t="str">
        <f>IF($P165,$P165*TreatyCatch!BU278/SUM(TreatyCatch!$BR278:$BS278,TreatyCatch!$BU278:$BV278),"")</f>
        <v/>
      </c>
      <c r="U165" s="894" t="str">
        <f>IF($P165,$P165*TreatyCatch!BV278/SUM(TreatyCatch!$BR278:$BS278,TreatyCatch!$BU278:$BV278),"")</f>
        <v/>
      </c>
      <c r="V165" s="877" t="str">
        <f t="shared" si="77"/>
        <v/>
      </c>
      <c r="W165" s="958"/>
      <c r="X165" s="882" t="str">
        <f>IF($W165,$W165*TreatyCatch!BX278/SUM(TreatyCatch!$BX278:$BY278,TreatyCatch!$CA278:$CB278),"")</f>
        <v/>
      </c>
      <c r="Y165" s="883" t="str">
        <f>IF($W165,$W165*TreatyCatch!BY278/SUM(TreatyCatch!$BX278:$BY278,TreatyCatch!$CA278:$CB278),"")</f>
        <v/>
      </c>
      <c r="Z165" s="901" t="str">
        <f t="shared" si="73"/>
        <v/>
      </c>
      <c r="AA165" s="858" t="str">
        <f>IF($W165,$W165*TreatyCatch!CA278/SUM(TreatyCatch!$BX278:$BY278,TreatyCatch!$CA278:$CB278),"")</f>
        <v/>
      </c>
      <c r="AB165" s="859" t="str">
        <f>IF($W165,$W165*TreatyCatch!CB278/SUM(TreatyCatch!$BX278:$BY278,TreatyCatch!$CA278:$CB278),"")</f>
        <v/>
      </c>
      <c r="AC165" s="840" t="str">
        <f t="shared" si="78"/>
        <v/>
      </c>
      <c r="AD165" s="958"/>
      <c r="AE165" s="1071" t="str">
        <f>IF($AD165,$AD165*TreatyCatch!CD395/SUM(TreatyCatch!$CD395:$CE395,TreatyCatch!$CG395:$CH395),"")</f>
        <v/>
      </c>
      <c r="AF165" s="1072" t="str">
        <f>IF($AD165,$AD165*TreatyCatch!CE395/SUM(TreatyCatch!$CD395:$CE395,TreatyCatch!$CG395:$CH395),"")</f>
        <v/>
      </c>
      <c r="AG165" s="1073" t="str">
        <f t="shared" si="74"/>
        <v/>
      </c>
      <c r="AH165" s="1077" t="str">
        <f>IF($AD165,$AD165*TreatyCatch!CG395/SUM(TreatyCatch!$CD395:CE395,TreatyCatch!$CG395:$CH395),"")</f>
        <v/>
      </c>
      <c r="AI165" s="1078" t="str">
        <f>IF($AD165,$AD165*TreatyCatch!CH395/SUM(TreatyCatch!$CD395:CF395,TreatyCatch!$CG395:$CH395),"")</f>
        <v/>
      </c>
      <c r="AJ165" s="1080" t="str">
        <f t="shared" si="79"/>
        <v/>
      </c>
      <c r="AK165" s="958"/>
      <c r="AL165" s="882"/>
      <c r="AM165" s="883"/>
      <c r="AN165" s="901"/>
      <c r="AO165" s="858"/>
      <c r="AP165" s="859"/>
      <c r="AQ165" s="840"/>
      <c r="AR165" s="765"/>
      <c r="AS165" s="852"/>
      <c r="AT165" s="853"/>
      <c r="AU165" s="846"/>
      <c r="AV165" s="893"/>
      <c r="AW165" s="894"/>
      <c r="AX165" s="877"/>
      <c r="AY165" s="765"/>
      <c r="AZ165" s="882"/>
      <c r="BA165" s="883"/>
      <c r="BB165" s="901"/>
      <c r="BC165" s="858"/>
      <c r="BD165" s="859"/>
      <c r="BE165" s="840"/>
      <c r="BF165" s="765"/>
      <c r="BG165" s="852"/>
      <c r="BH165" s="853"/>
      <c r="BI165" s="846"/>
      <c r="BJ165" s="893"/>
      <c r="BK165" s="894"/>
      <c r="BL165" s="877"/>
      <c r="BM165" s="765"/>
      <c r="BN165" s="882"/>
      <c r="BO165" s="883"/>
      <c r="BP165" s="901"/>
      <c r="BQ165" s="858"/>
      <c r="BR165" s="859"/>
      <c r="BS165" s="840"/>
      <c r="BT165" s="765"/>
      <c r="BU165" s="852"/>
      <c r="BV165" s="853"/>
      <c r="BW165" s="846"/>
      <c r="BX165" s="893"/>
      <c r="BY165" s="894"/>
      <c r="BZ165" s="877"/>
      <c r="CA165" s="765"/>
      <c r="CB165" s="882"/>
      <c r="CC165" s="883"/>
      <c r="CD165" s="901"/>
      <c r="CE165" s="858"/>
      <c r="CF165" s="859"/>
      <c r="CG165" s="840"/>
      <c r="CH165" s="765"/>
      <c r="CI165" s="852"/>
      <c r="CJ165" s="853"/>
      <c r="CK165" s="846"/>
      <c r="CL165" s="893"/>
      <c r="CM165" s="894"/>
      <c r="CN165" s="877"/>
    </row>
    <row r="166" spans="1:92" x14ac:dyDescent="0.25">
      <c r="A166" s="757">
        <v>41</v>
      </c>
      <c r="B166" s="765"/>
      <c r="C166" s="844" t="str">
        <f>IF($B166,$B166*TreatyCatch!BF279/SUM(TreatyCatch!$BF279:$BG279,TreatyCatch!$BI279:$BJ279),"")</f>
        <v/>
      </c>
      <c r="D166" s="844" t="str">
        <f>IF($B166,$B166*TreatyCatch!BG279/SUM(TreatyCatch!$BF279:$BG279,TreatyCatch!$BI279:$BJ279),"")</f>
        <v/>
      </c>
      <c r="E166" s="846" t="str">
        <f t="shared" si="70"/>
        <v/>
      </c>
      <c r="F166" s="876" t="str">
        <f>IF($B166,$B166*TreatyCatch!BI279/SUM(TreatyCatch!$BF279:$BG279,TreatyCatch!$BI279:$BJ279),"")</f>
        <v/>
      </c>
      <c r="G166" s="889" t="str">
        <f>IF($B166,$B166*TreatyCatch!BJ279/SUM(TreatyCatch!$BF279:$BG279,TreatyCatch!$BI279:$BJ279),"")</f>
        <v/>
      </c>
      <c r="H166" s="877" t="str">
        <f t="shared" si="75"/>
        <v/>
      </c>
      <c r="I166" s="765"/>
      <c r="J166" s="882" t="str">
        <f>IF($I166,$I166*TreatyCatch!BL279/SUM(TreatyCatch!$BL279:$BM279,TreatyCatch!$BO279:$BP279),"")</f>
        <v/>
      </c>
      <c r="K166" s="883" t="str">
        <f>IF($I166,$I166*TreatyCatch!BM279/SUM(TreatyCatch!$BL279:$BM279,TreatyCatch!$BO279:$BP279),"")</f>
        <v/>
      </c>
      <c r="L166" s="871" t="str">
        <f t="shared" si="71"/>
        <v/>
      </c>
      <c r="M166" s="858" t="str">
        <f>IF($I166,$I166*TreatyCatch!BO279/SUM(TreatyCatch!$BL279:$BM279,TreatyCatch!$BO279:$BP279),"")</f>
        <v/>
      </c>
      <c r="N166" s="859" t="str">
        <f>IF($I166,$I166*TreatyCatch!BP279/SUM(TreatyCatch!$BL279:$BM279,TreatyCatch!$BO279:$BP279),"")</f>
        <v/>
      </c>
      <c r="O166" s="840" t="str">
        <f t="shared" si="76"/>
        <v/>
      </c>
      <c r="P166" s="765"/>
      <c r="Q166" s="852" t="str">
        <f>IF($P166,$P166*TreatyCatch!BR279/SUM(TreatyCatch!$BR279:$BS279,TreatyCatch!$BU279:$BV279),"")</f>
        <v/>
      </c>
      <c r="R166" s="853" t="str">
        <f>IF($P166,$P166*TreatyCatch!BS279/SUM(TreatyCatch!$BR279:$BS279,TreatyCatch!$BU279:$BV279),"")</f>
        <v/>
      </c>
      <c r="S166" s="846" t="str">
        <f t="shared" si="72"/>
        <v/>
      </c>
      <c r="T166" s="893" t="str">
        <f>IF($P166,$P166*TreatyCatch!BU279/SUM(TreatyCatch!$BR279:$BS279,TreatyCatch!$BU279:$BV279),"")</f>
        <v/>
      </c>
      <c r="U166" s="894" t="str">
        <f>IF($P166,$P166*TreatyCatch!BV279/SUM(TreatyCatch!$BR279:$BS279,TreatyCatch!$BU279:$BV279),"")</f>
        <v/>
      </c>
      <c r="V166" s="877" t="str">
        <f t="shared" si="77"/>
        <v/>
      </c>
      <c r="W166" s="958"/>
      <c r="X166" s="882" t="str">
        <f>IF($W166,$W166*TreatyCatch!BX279/SUM(TreatyCatch!$BX279:$BY279,TreatyCatch!$CA279:$CB279),"")</f>
        <v/>
      </c>
      <c r="Y166" s="883" t="str">
        <f>IF($W166,$W166*TreatyCatch!BY279/SUM(TreatyCatch!$BX279:$BY279,TreatyCatch!$CA279:$CB279),"")</f>
        <v/>
      </c>
      <c r="Z166" s="901" t="str">
        <f t="shared" si="73"/>
        <v/>
      </c>
      <c r="AA166" s="858" t="str">
        <f>IF($W166,$W166*TreatyCatch!CA279/SUM(TreatyCatch!$BX279:$BY279,TreatyCatch!$CA279:$CB279),"")</f>
        <v/>
      </c>
      <c r="AB166" s="859" t="str">
        <f>IF($W166,$W166*TreatyCatch!CB279/SUM(TreatyCatch!$BX279:$BY279,TreatyCatch!$CA279:$CB279),"")</f>
        <v/>
      </c>
      <c r="AC166" s="840" t="str">
        <f t="shared" si="78"/>
        <v/>
      </c>
      <c r="AD166" s="958"/>
      <c r="AE166" s="1071" t="str">
        <f>IF($AD166,$AD166*TreatyCatch!CD396/SUM(TreatyCatch!$CD396:$CE396,TreatyCatch!$CG396:$CH396),"")</f>
        <v/>
      </c>
      <c r="AF166" s="1072" t="str">
        <f>IF($AD166,$AD166*TreatyCatch!CE396/SUM(TreatyCatch!$CD396:$CE396,TreatyCatch!$CG396:$CH396),"")</f>
        <v/>
      </c>
      <c r="AG166" s="1073" t="str">
        <f t="shared" si="74"/>
        <v/>
      </c>
      <c r="AH166" s="1077" t="str">
        <f>IF($AD166,$AD166*TreatyCatch!CG396/SUM(TreatyCatch!$CD396:CE396,TreatyCatch!$CG396:$CH396),"")</f>
        <v/>
      </c>
      <c r="AI166" s="1078" t="str">
        <f>IF($AD166,$AD166*TreatyCatch!CH396/SUM(TreatyCatch!$CD396:CF396,TreatyCatch!$CG396:$CH396),"")</f>
        <v/>
      </c>
      <c r="AJ166" s="1080" t="str">
        <f t="shared" si="79"/>
        <v/>
      </c>
      <c r="AK166" s="958"/>
      <c r="AL166" s="882"/>
      <c r="AM166" s="883"/>
      <c r="AN166" s="901"/>
      <c r="AO166" s="858"/>
      <c r="AP166" s="859"/>
      <c r="AQ166" s="840"/>
      <c r="AR166" s="765"/>
      <c r="AS166" s="852"/>
      <c r="AT166" s="853"/>
      <c r="AU166" s="846"/>
      <c r="AV166" s="893"/>
      <c r="AW166" s="894"/>
      <c r="AX166" s="877"/>
      <c r="AY166" s="765"/>
      <c r="AZ166" s="882"/>
      <c r="BA166" s="883"/>
      <c r="BB166" s="901"/>
      <c r="BC166" s="858"/>
      <c r="BD166" s="859"/>
      <c r="BE166" s="840"/>
      <c r="BF166" s="765"/>
      <c r="BG166" s="852"/>
      <c r="BH166" s="853"/>
      <c r="BI166" s="846"/>
      <c r="BJ166" s="893"/>
      <c r="BK166" s="894"/>
      <c r="BL166" s="877"/>
      <c r="BM166" s="765"/>
      <c r="BN166" s="882"/>
      <c r="BO166" s="883"/>
      <c r="BP166" s="901"/>
      <c r="BQ166" s="858"/>
      <c r="BR166" s="859"/>
      <c r="BS166" s="840"/>
      <c r="BT166" s="765"/>
      <c r="BU166" s="852"/>
      <c r="BV166" s="853"/>
      <c r="BW166" s="846"/>
      <c r="BX166" s="893"/>
      <c r="BY166" s="894"/>
      <c r="BZ166" s="877"/>
      <c r="CA166" s="765"/>
      <c r="CB166" s="882"/>
      <c r="CC166" s="883"/>
      <c r="CD166" s="901"/>
      <c r="CE166" s="858"/>
      <c r="CF166" s="859"/>
      <c r="CG166" s="840"/>
      <c r="CH166" s="765"/>
      <c r="CI166" s="852"/>
      <c r="CJ166" s="853"/>
      <c r="CK166" s="846"/>
      <c r="CL166" s="893"/>
      <c r="CM166" s="894"/>
      <c r="CN166" s="877"/>
    </row>
    <row r="167" spans="1:92" x14ac:dyDescent="0.25">
      <c r="A167" s="757">
        <v>42</v>
      </c>
      <c r="B167" s="765"/>
      <c r="C167" s="844" t="str">
        <f>IF($B167,$B167*TreatyCatch!BF280/SUM(TreatyCatch!$BF280:$BG280,TreatyCatch!$BI280:$BJ280),"")</f>
        <v/>
      </c>
      <c r="D167" s="844" t="str">
        <f>IF($B167,$B167*TreatyCatch!BG280/SUM(TreatyCatch!$BF280:$BG280,TreatyCatch!$BI280:$BJ280),"")</f>
        <v/>
      </c>
      <c r="E167" s="846" t="str">
        <f t="shared" si="70"/>
        <v/>
      </c>
      <c r="F167" s="876" t="str">
        <f>IF($B167,$B167*TreatyCatch!BI280/SUM(TreatyCatch!$BF280:$BG280,TreatyCatch!$BI280:$BJ280),"")</f>
        <v/>
      </c>
      <c r="G167" s="889" t="str">
        <f>IF($B167,$B167*TreatyCatch!BJ280/SUM(TreatyCatch!$BF280:$BG280,TreatyCatch!$BI280:$BJ280),"")</f>
        <v/>
      </c>
      <c r="H167" s="877" t="str">
        <f t="shared" si="75"/>
        <v/>
      </c>
      <c r="I167" s="765"/>
      <c r="J167" s="882" t="str">
        <f>IF($I167,$I167*TreatyCatch!BL280/SUM(TreatyCatch!$BL280:$BM280,TreatyCatch!$BO280:$BP280),"")</f>
        <v/>
      </c>
      <c r="K167" s="883" t="str">
        <f>IF($I167,$I167*TreatyCatch!BM280/SUM(TreatyCatch!$BL280:$BM280,TreatyCatch!$BO280:$BP280),"")</f>
        <v/>
      </c>
      <c r="L167" s="871" t="str">
        <f t="shared" si="71"/>
        <v/>
      </c>
      <c r="M167" s="858" t="str">
        <f>IF($I167,$I167*TreatyCatch!BO280/SUM(TreatyCatch!$BL280:$BM280,TreatyCatch!$BO280:$BP280),"")</f>
        <v/>
      </c>
      <c r="N167" s="859" t="str">
        <f>IF($I167,$I167*TreatyCatch!BP280/SUM(TreatyCatch!$BL280:$BM280,TreatyCatch!$BO280:$BP280),"")</f>
        <v/>
      </c>
      <c r="O167" s="840" t="str">
        <f t="shared" si="76"/>
        <v/>
      </c>
      <c r="P167" s="765"/>
      <c r="Q167" s="852" t="str">
        <f>IF($P167,$P167*TreatyCatch!BR280/SUM(TreatyCatch!$BR280:$BS280,TreatyCatch!$BU280:$BV280),"")</f>
        <v/>
      </c>
      <c r="R167" s="853" t="str">
        <f>IF($P167,$P167*TreatyCatch!BS280/SUM(TreatyCatch!$BR280:$BS280,TreatyCatch!$BU280:$BV280),"")</f>
        <v/>
      </c>
      <c r="S167" s="846" t="str">
        <f t="shared" si="72"/>
        <v/>
      </c>
      <c r="T167" s="893" t="str">
        <f>IF($P167,$P167*TreatyCatch!BU280/SUM(TreatyCatch!$BR280:$BS280,TreatyCatch!$BU280:$BV280),"")</f>
        <v/>
      </c>
      <c r="U167" s="894" t="str">
        <f>IF($P167,$P167*TreatyCatch!BV280/SUM(TreatyCatch!$BR280:$BS280,TreatyCatch!$BU280:$BV280),"")</f>
        <v/>
      </c>
      <c r="V167" s="877" t="str">
        <f t="shared" si="77"/>
        <v/>
      </c>
      <c r="W167" s="958"/>
      <c r="X167" s="882" t="str">
        <f>IF($W167,$W167*TreatyCatch!BX280/SUM(TreatyCatch!$BX280:$BY280,TreatyCatch!$CA280:$CB280),"")</f>
        <v/>
      </c>
      <c r="Y167" s="883" t="str">
        <f>IF($W167,$W167*TreatyCatch!BY280/SUM(TreatyCatch!$BX280:$BY280,TreatyCatch!$CA280:$CB280),"")</f>
        <v/>
      </c>
      <c r="Z167" s="901" t="str">
        <f t="shared" si="73"/>
        <v/>
      </c>
      <c r="AA167" s="858" t="str">
        <f>IF($W167,$W167*TreatyCatch!CA280/SUM(TreatyCatch!$BX280:$BY280,TreatyCatch!$CA280:$CB280),"")</f>
        <v/>
      </c>
      <c r="AB167" s="859" t="str">
        <f>IF($W167,$W167*TreatyCatch!CB280/SUM(TreatyCatch!$BX280:$BY280,TreatyCatch!$CA280:$CB280),"")</f>
        <v/>
      </c>
      <c r="AC167" s="840" t="str">
        <f t="shared" si="78"/>
        <v/>
      </c>
      <c r="AD167" s="958"/>
      <c r="AE167" s="1071" t="str">
        <f>IF($AD167,$AD167*TreatyCatch!CD397/SUM(TreatyCatch!$CD397:$CE397,TreatyCatch!$CG397:$CH397),"")</f>
        <v/>
      </c>
      <c r="AF167" s="1072" t="str">
        <f>IF($AD167,$AD167*TreatyCatch!CE397/SUM(TreatyCatch!$CD397:$CE397,TreatyCatch!$CG397:$CH397),"")</f>
        <v/>
      </c>
      <c r="AG167" s="1073" t="str">
        <f t="shared" si="74"/>
        <v/>
      </c>
      <c r="AH167" s="1077" t="str">
        <f>IF($AD167,$AD167*TreatyCatch!CG397/SUM(TreatyCatch!$CD397:CE397,TreatyCatch!$CG397:$CH397),"")</f>
        <v/>
      </c>
      <c r="AI167" s="1078" t="str">
        <f>IF($AD167,$AD167*TreatyCatch!CH397/SUM(TreatyCatch!$CD397:CF397,TreatyCatch!$CG397:$CH397),"")</f>
        <v/>
      </c>
      <c r="AJ167" s="1080" t="str">
        <f t="shared" si="79"/>
        <v/>
      </c>
      <c r="AK167" s="958"/>
      <c r="AL167" s="882"/>
      <c r="AM167" s="883"/>
      <c r="AN167" s="901"/>
      <c r="AO167" s="858"/>
      <c r="AP167" s="859"/>
      <c r="AQ167" s="840"/>
      <c r="AR167" s="765"/>
      <c r="AS167" s="852"/>
      <c r="AT167" s="853"/>
      <c r="AU167" s="846"/>
      <c r="AV167" s="893"/>
      <c r="AW167" s="894"/>
      <c r="AX167" s="877"/>
      <c r="AY167" s="765"/>
      <c r="AZ167" s="882"/>
      <c r="BA167" s="883"/>
      <c r="BB167" s="901"/>
      <c r="BC167" s="858"/>
      <c r="BD167" s="859"/>
      <c r="BE167" s="840"/>
      <c r="BF167" s="765"/>
      <c r="BG167" s="852"/>
      <c r="BH167" s="853"/>
      <c r="BI167" s="846"/>
      <c r="BJ167" s="893"/>
      <c r="BK167" s="894"/>
      <c r="BL167" s="877"/>
      <c r="BM167" s="765"/>
      <c r="BN167" s="882"/>
      <c r="BO167" s="883"/>
      <c r="BP167" s="901"/>
      <c r="BQ167" s="858"/>
      <c r="BR167" s="859"/>
      <c r="BS167" s="840"/>
      <c r="BT167" s="765"/>
      <c r="BU167" s="852"/>
      <c r="BV167" s="853"/>
      <c r="BW167" s="846"/>
      <c r="BX167" s="893"/>
      <c r="BY167" s="894"/>
      <c r="BZ167" s="877"/>
      <c r="CA167" s="765"/>
      <c r="CB167" s="882"/>
      <c r="CC167" s="883"/>
      <c r="CD167" s="901"/>
      <c r="CE167" s="858"/>
      <c r="CF167" s="859"/>
      <c r="CG167" s="840"/>
      <c r="CH167" s="765"/>
      <c r="CI167" s="852"/>
      <c r="CJ167" s="853"/>
      <c r="CK167" s="846"/>
      <c r="CL167" s="893"/>
      <c r="CM167" s="894"/>
      <c r="CN167" s="877"/>
    </row>
    <row r="168" spans="1:92" x14ac:dyDescent="0.25">
      <c r="A168" s="757">
        <v>43</v>
      </c>
      <c r="B168" s="765"/>
      <c r="C168" s="844" t="str">
        <f>IF($B168,$B168*TreatyCatch!BF281/SUM(TreatyCatch!$BF281:$BG281,TreatyCatch!$BI281:$BJ281),"")</f>
        <v/>
      </c>
      <c r="D168" s="844" t="str">
        <f>IF($B168,$B168*TreatyCatch!BG281/SUM(TreatyCatch!$BF281:$BG281,TreatyCatch!$BI281:$BJ281),"")</f>
        <v/>
      </c>
      <c r="E168" s="846" t="str">
        <f t="shared" si="70"/>
        <v/>
      </c>
      <c r="F168" s="876" t="str">
        <f>IF($B168,$B168*TreatyCatch!BI281/SUM(TreatyCatch!$BF281:$BG281,TreatyCatch!$BI281:$BJ281),"")</f>
        <v/>
      </c>
      <c r="G168" s="889" t="str">
        <f>IF($B168,$B168*TreatyCatch!BJ281/SUM(TreatyCatch!$BF281:$BG281,TreatyCatch!$BI281:$BJ281),"")</f>
        <v/>
      </c>
      <c r="H168" s="877" t="str">
        <f t="shared" si="75"/>
        <v/>
      </c>
      <c r="I168" s="765"/>
      <c r="J168" s="882" t="str">
        <f>IF($I168,$I168*TreatyCatch!BL281/SUM(TreatyCatch!$BL281:$BM281,TreatyCatch!$BO281:$BP281),"")</f>
        <v/>
      </c>
      <c r="K168" s="883" t="str">
        <f>IF($I168,$I168*TreatyCatch!BM281/SUM(TreatyCatch!$BL281:$BM281,TreatyCatch!$BO281:$BP281),"")</f>
        <v/>
      </c>
      <c r="L168" s="871" t="str">
        <f t="shared" si="71"/>
        <v/>
      </c>
      <c r="M168" s="858" t="str">
        <f>IF($I168,$I168*TreatyCatch!BO281/SUM(TreatyCatch!$BL281:$BM281,TreatyCatch!$BO281:$BP281),"")</f>
        <v/>
      </c>
      <c r="N168" s="859" t="str">
        <f>IF($I168,$I168*TreatyCatch!BP281/SUM(TreatyCatch!$BL281:$BM281,TreatyCatch!$BO281:$BP281),"")</f>
        <v/>
      </c>
      <c r="O168" s="840" t="str">
        <f t="shared" si="76"/>
        <v/>
      </c>
      <c r="P168" s="765"/>
      <c r="Q168" s="852" t="str">
        <f>IF($P168,$P168*TreatyCatch!BR281/SUM(TreatyCatch!$BR281:$BS281,TreatyCatch!$BU281:$BV281),"")</f>
        <v/>
      </c>
      <c r="R168" s="853" t="str">
        <f>IF($P168,$P168*TreatyCatch!BS281/SUM(TreatyCatch!$BR281:$BS281,TreatyCatch!$BU281:$BV281),"")</f>
        <v/>
      </c>
      <c r="S168" s="846" t="str">
        <f t="shared" si="72"/>
        <v/>
      </c>
      <c r="T168" s="893" t="str">
        <f>IF($P168,$P168*TreatyCatch!BU281/SUM(TreatyCatch!$BR281:$BS281,TreatyCatch!$BU281:$BV281),"")</f>
        <v/>
      </c>
      <c r="U168" s="894" t="str">
        <f>IF($P168,$P168*TreatyCatch!BV281/SUM(TreatyCatch!$BR281:$BS281,TreatyCatch!$BU281:$BV281),"")</f>
        <v/>
      </c>
      <c r="V168" s="877" t="str">
        <f t="shared" si="77"/>
        <v/>
      </c>
      <c r="W168" s="958"/>
      <c r="X168" s="882" t="str">
        <f>IF($W168,$W168*TreatyCatch!BX281/SUM(TreatyCatch!$BX281:$BY281,TreatyCatch!$CA281:$CB281),"")</f>
        <v/>
      </c>
      <c r="Y168" s="883" t="str">
        <f>IF($W168,$W168*TreatyCatch!BY281/SUM(TreatyCatch!$BX281:$BY281,TreatyCatch!$CA281:$CB281),"")</f>
        <v/>
      </c>
      <c r="Z168" s="901" t="str">
        <f t="shared" si="73"/>
        <v/>
      </c>
      <c r="AA168" s="858" t="str">
        <f>IF($W168,$W168*TreatyCatch!CA281/SUM(TreatyCatch!$BX281:$BY281,TreatyCatch!$CA281:$CB281),"")</f>
        <v/>
      </c>
      <c r="AB168" s="859" t="str">
        <f>IF($W168,$W168*TreatyCatch!CB281/SUM(TreatyCatch!$BX281:$BY281,TreatyCatch!$CA281:$CB281),"")</f>
        <v/>
      </c>
      <c r="AC168" s="840" t="str">
        <f t="shared" si="78"/>
        <v/>
      </c>
      <c r="AD168" s="958"/>
      <c r="AE168" s="1071" t="str">
        <f>IF($AD168,$AD168*TreatyCatch!CD398/SUM(TreatyCatch!$CD398:$CE398,TreatyCatch!$CG398:$CH398),"")</f>
        <v/>
      </c>
      <c r="AF168" s="1072" t="str">
        <f>IF($AD168,$AD168*TreatyCatch!CE398/SUM(TreatyCatch!$CD398:$CE398,TreatyCatch!$CG398:$CH398),"")</f>
        <v/>
      </c>
      <c r="AG168" s="1073" t="str">
        <f t="shared" si="74"/>
        <v/>
      </c>
      <c r="AH168" s="1077" t="str">
        <f>IF($AD168,$AD168*TreatyCatch!CG398/SUM(TreatyCatch!$CD398:CE398,TreatyCatch!$CG398:$CH398),"")</f>
        <v/>
      </c>
      <c r="AI168" s="1078" t="str">
        <f>IF($AD168,$AD168*TreatyCatch!CH398/SUM(TreatyCatch!$CD398:CF398,TreatyCatch!$CG398:$CH398),"")</f>
        <v/>
      </c>
      <c r="AJ168" s="1080" t="str">
        <f t="shared" si="79"/>
        <v/>
      </c>
      <c r="AK168" s="958"/>
      <c r="AL168" s="882"/>
      <c r="AM168" s="883"/>
      <c r="AN168" s="901"/>
      <c r="AO168" s="858"/>
      <c r="AP168" s="859"/>
      <c r="AQ168" s="840"/>
      <c r="AR168" s="765"/>
      <c r="AS168" s="852"/>
      <c r="AT168" s="853"/>
      <c r="AU168" s="846"/>
      <c r="AV168" s="893"/>
      <c r="AW168" s="894"/>
      <c r="AX168" s="877"/>
      <c r="AY168" s="765"/>
      <c r="AZ168" s="882"/>
      <c r="BA168" s="883"/>
      <c r="BB168" s="901"/>
      <c r="BC168" s="858"/>
      <c r="BD168" s="859"/>
      <c r="BE168" s="840"/>
      <c r="BF168" s="765"/>
      <c r="BG168" s="852"/>
      <c r="BH168" s="853"/>
      <c r="BI168" s="846"/>
      <c r="BJ168" s="893"/>
      <c r="BK168" s="894"/>
      <c r="BL168" s="877"/>
      <c r="BM168" s="765"/>
      <c r="BN168" s="882"/>
      <c r="BO168" s="883"/>
      <c r="BP168" s="901"/>
      <c r="BQ168" s="858"/>
      <c r="BR168" s="859"/>
      <c r="BS168" s="840"/>
      <c r="BT168" s="765"/>
      <c r="BU168" s="852"/>
      <c r="BV168" s="853"/>
      <c r="BW168" s="846"/>
      <c r="BX168" s="893"/>
      <c r="BY168" s="894"/>
      <c r="BZ168" s="877"/>
      <c r="CA168" s="765"/>
      <c r="CB168" s="882"/>
      <c r="CC168" s="883"/>
      <c r="CD168" s="901"/>
      <c r="CE168" s="858"/>
      <c r="CF168" s="859"/>
      <c r="CG168" s="840"/>
      <c r="CH168" s="765"/>
      <c r="CI168" s="852"/>
      <c r="CJ168" s="853"/>
      <c r="CK168" s="846"/>
      <c r="CL168" s="893"/>
      <c r="CM168" s="894"/>
      <c r="CN168" s="877"/>
    </row>
    <row r="169" spans="1:92" x14ac:dyDescent="0.25">
      <c r="A169" s="757">
        <v>44</v>
      </c>
      <c r="B169" s="765"/>
      <c r="C169" s="844" t="str">
        <f>IF($B169,$B169*TreatyCatch!BF282/SUM(TreatyCatch!$BF282:$BG282,TreatyCatch!$BI282:$BJ282),"")</f>
        <v/>
      </c>
      <c r="D169" s="844" t="str">
        <f>IF($B169,$B169*TreatyCatch!BG282/SUM(TreatyCatch!$BF282:$BG282,TreatyCatch!$BI282:$BJ282),"")</f>
        <v/>
      </c>
      <c r="E169" s="846" t="str">
        <f t="shared" si="70"/>
        <v/>
      </c>
      <c r="F169" s="876" t="str">
        <f>IF($B169,$B169*TreatyCatch!BI282/SUM(TreatyCatch!$BF282:$BG282,TreatyCatch!$BI282:$BJ282),"")</f>
        <v/>
      </c>
      <c r="G169" s="889" t="str">
        <f>IF($B169,$B169*TreatyCatch!BJ282/SUM(TreatyCatch!$BF282:$BG282,TreatyCatch!$BI282:$BJ282),"")</f>
        <v/>
      </c>
      <c r="H169" s="877" t="str">
        <f t="shared" si="75"/>
        <v/>
      </c>
      <c r="I169" s="765"/>
      <c r="J169" s="882" t="str">
        <f>IF($I169,$I169*TreatyCatch!BL282/SUM(TreatyCatch!$BL282:$BM282,TreatyCatch!$BO282:$BP282),"")</f>
        <v/>
      </c>
      <c r="K169" s="883" t="str">
        <f>IF($I169,$I169*TreatyCatch!BM282/SUM(TreatyCatch!$BL282:$BM282,TreatyCatch!$BO282:$BP282),"")</f>
        <v/>
      </c>
      <c r="L169" s="871" t="str">
        <f t="shared" si="71"/>
        <v/>
      </c>
      <c r="M169" s="858" t="str">
        <f>IF($I169,$I169*TreatyCatch!BO282/SUM(TreatyCatch!$BL282:$BM282,TreatyCatch!$BO282:$BP282),"")</f>
        <v/>
      </c>
      <c r="N169" s="859" t="str">
        <f>IF($I169,$I169*TreatyCatch!BP282/SUM(TreatyCatch!$BL282:$BM282,TreatyCatch!$BO282:$BP282),"")</f>
        <v/>
      </c>
      <c r="O169" s="840" t="str">
        <f t="shared" si="76"/>
        <v/>
      </c>
      <c r="P169" s="765"/>
      <c r="Q169" s="852" t="str">
        <f>IF($P169,$P169*TreatyCatch!BR282/SUM(TreatyCatch!$BR282:$BS282,TreatyCatch!$BU282:$BV282),"")</f>
        <v/>
      </c>
      <c r="R169" s="853" t="str">
        <f>IF($P169,$P169*TreatyCatch!BS282/SUM(TreatyCatch!$BR282:$BS282,TreatyCatch!$BU282:$BV282),"")</f>
        <v/>
      </c>
      <c r="S169" s="846" t="str">
        <f t="shared" si="72"/>
        <v/>
      </c>
      <c r="T169" s="893" t="str">
        <f>IF($P169,$P169*TreatyCatch!BU282/SUM(TreatyCatch!$BR282:$BS282,TreatyCatch!$BU282:$BV282),"")</f>
        <v/>
      </c>
      <c r="U169" s="894" t="str">
        <f>IF($P169,$P169*TreatyCatch!BV282/SUM(TreatyCatch!$BR282:$BS282,TreatyCatch!$BU282:$BV282),"")</f>
        <v/>
      </c>
      <c r="V169" s="877" t="str">
        <f t="shared" si="77"/>
        <v/>
      </c>
      <c r="W169" s="958"/>
      <c r="X169" s="882" t="str">
        <f>IF($W169,$W169*TreatyCatch!BX282/SUM(TreatyCatch!$BX282:$BY282,TreatyCatch!$CA282:$CB282),"")</f>
        <v/>
      </c>
      <c r="Y169" s="883" t="str">
        <f>IF($W169,$W169*TreatyCatch!BY282/SUM(TreatyCatch!$BX282:$BY282,TreatyCatch!$CA282:$CB282),"")</f>
        <v/>
      </c>
      <c r="Z169" s="901" t="str">
        <f t="shared" si="73"/>
        <v/>
      </c>
      <c r="AA169" s="858" t="str">
        <f>IF($W169,$W169*TreatyCatch!CA282/SUM(TreatyCatch!$BX282:$BY282,TreatyCatch!$CA282:$CB282),"")</f>
        <v/>
      </c>
      <c r="AB169" s="859" t="str">
        <f>IF($W169,$W169*TreatyCatch!CB282/SUM(TreatyCatch!$BX282:$BY282,TreatyCatch!$CA282:$CB282),"")</f>
        <v/>
      </c>
      <c r="AC169" s="840" t="str">
        <f t="shared" si="78"/>
        <v/>
      </c>
      <c r="AD169" s="958"/>
      <c r="AE169" s="1071" t="str">
        <f>IF($AD169,$AD169*TreatyCatch!CD399/SUM(TreatyCatch!$CD399:$CE399,TreatyCatch!$CG399:$CH399),"")</f>
        <v/>
      </c>
      <c r="AF169" s="1072" t="str">
        <f>IF($AD169,$AD169*TreatyCatch!CE399/SUM(TreatyCatch!$CD399:$CE399,TreatyCatch!$CG399:$CH399),"")</f>
        <v/>
      </c>
      <c r="AG169" s="1073" t="str">
        <f t="shared" si="74"/>
        <v/>
      </c>
      <c r="AH169" s="1077" t="str">
        <f>IF($AD169,$AD169*TreatyCatch!CG399/SUM(TreatyCatch!$CD399:CE399,TreatyCatch!$CG399:$CH399),"")</f>
        <v/>
      </c>
      <c r="AI169" s="1078" t="str">
        <f>IF($AD169,$AD169*TreatyCatch!CH399/SUM(TreatyCatch!$CD399:CF399,TreatyCatch!$CG399:$CH399),"")</f>
        <v/>
      </c>
      <c r="AJ169" s="1080" t="str">
        <f t="shared" si="79"/>
        <v/>
      </c>
      <c r="AK169" s="958"/>
      <c r="AL169" s="882"/>
      <c r="AM169" s="883"/>
      <c r="AN169" s="901"/>
      <c r="AO169" s="858"/>
      <c r="AP169" s="859"/>
      <c r="AQ169" s="840"/>
      <c r="AR169" s="765"/>
      <c r="AS169" s="852"/>
      <c r="AT169" s="853"/>
      <c r="AU169" s="846"/>
      <c r="AV169" s="893"/>
      <c r="AW169" s="894"/>
      <c r="AX169" s="877"/>
      <c r="AY169" s="765"/>
      <c r="AZ169" s="882"/>
      <c r="BA169" s="883"/>
      <c r="BB169" s="901"/>
      <c r="BC169" s="858"/>
      <c r="BD169" s="859"/>
      <c r="BE169" s="840"/>
      <c r="BF169" s="765"/>
      <c r="BG169" s="852"/>
      <c r="BH169" s="853"/>
      <c r="BI169" s="846"/>
      <c r="BJ169" s="893"/>
      <c r="BK169" s="894"/>
      <c r="BL169" s="877"/>
      <c r="BM169" s="765"/>
      <c r="BN169" s="882"/>
      <c r="BO169" s="883"/>
      <c r="BP169" s="901"/>
      <c r="BQ169" s="858"/>
      <c r="BR169" s="859"/>
      <c r="BS169" s="840"/>
      <c r="BT169" s="765"/>
      <c r="BU169" s="852"/>
      <c r="BV169" s="853"/>
      <c r="BW169" s="846"/>
      <c r="BX169" s="893"/>
      <c r="BY169" s="894"/>
      <c r="BZ169" s="877"/>
      <c r="CA169" s="765"/>
      <c r="CB169" s="882"/>
      <c r="CC169" s="883"/>
      <c r="CD169" s="901"/>
      <c r="CE169" s="858"/>
      <c r="CF169" s="859"/>
      <c r="CG169" s="840"/>
      <c r="CH169" s="765"/>
      <c r="CI169" s="852"/>
      <c r="CJ169" s="853"/>
      <c r="CK169" s="846"/>
      <c r="CL169" s="893"/>
      <c r="CM169" s="894"/>
      <c r="CN169" s="877"/>
    </row>
    <row r="170" spans="1:92" x14ac:dyDescent="0.25">
      <c r="A170" s="757">
        <v>45</v>
      </c>
      <c r="B170" s="765"/>
      <c r="C170" s="844" t="str">
        <f>IF($B170,$B170*TreatyCatch!BF283/SUM(TreatyCatch!$BF283:$BG283,TreatyCatch!$BI283:$BJ283),"")</f>
        <v/>
      </c>
      <c r="D170" s="844" t="str">
        <f>IF($B170,$B170*TreatyCatch!BG283/SUM(TreatyCatch!$BF283:$BG283,TreatyCatch!$BI283:$BJ283),"")</f>
        <v/>
      </c>
      <c r="E170" s="846" t="str">
        <f t="shared" si="70"/>
        <v/>
      </c>
      <c r="F170" s="876" t="str">
        <f>IF($B170,$B170*TreatyCatch!BI283/SUM(TreatyCatch!$BF283:$BG283,TreatyCatch!$BI283:$BJ283),"")</f>
        <v/>
      </c>
      <c r="G170" s="889" t="str">
        <f>IF($B170,$B170*TreatyCatch!BJ283/SUM(TreatyCatch!$BF283:$BG283,TreatyCatch!$BI283:$BJ283),"")</f>
        <v/>
      </c>
      <c r="H170" s="877" t="str">
        <f t="shared" si="75"/>
        <v/>
      </c>
      <c r="I170" s="765"/>
      <c r="J170" s="882" t="str">
        <f>IF($I170,$I170*TreatyCatch!BL283/SUM(TreatyCatch!$BL283:$BM283,TreatyCatch!$BO283:$BP283),"")</f>
        <v/>
      </c>
      <c r="K170" s="883" t="str">
        <f>IF($I170,$I170*TreatyCatch!BM283/SUM(TreatyCatch!$BL283:$BM283,TreatyCatch!$BO283:$BP283),"")</f>
        <v/>
      </c>
      <c r="L170" s="871" t="str">
        <f t="shared" si="71"/>
        <v/>
      </c>
      <c r="M170" s="858" t="str">
        <f>IF($I170,$I170*TreatyCatch!BO283/SUM(TreatyCatch!$BL283:$BM283,TreatyCatch!$BO283:$BP283),"")</f>
        <v/>
      </c>
      <c r="N170" s="859" t="str">
        <f>IF($I170,$I170*TreatyCatch!BP283/SUM(TreatyCatch!$BL283:$BM283,TreatyCatch!$BO283:$BP283),"")</f>
        <v/>
      </c>
      <c r="O170" s="840" t="str">
        <f t="shared" si="76"/>
        <v/>
      </c>
      <c r="P170" s="765"/>
      <c r="Q170" s="852" t="str">
        <f>IF($P170,$P170*TreatyCatch!BR283/SUM(TreatyCatch!$BR283:$BS283,TreatyCatch!$BU283:$BV283),"")</f>
        <v/>
      </c>
      <c r="R170" s="853" t="str">
        <f>IF($P170,$P170*TreatyCatch!BS283/SUM(TreatyCatch!$BR283:$BS283,TreatyCatch!$BU283:$BV283),"")</f>
        <v/>
      </c>
      <c r="S170" s="846" t="str">
        <f t="shared" si="72"/>
        <v/>
      </c>
      <c r="T170" s="893" t="str">
        <f>IF($P170,$P170*TreatyCatch!BU283/SUM(TreatyCatch!$BR283:$BS283,TreatyCatch!$BU283:$BV283),"")</f>
        <v/>
      </c>
      <c r="U170" s="894" t="str">
        <f>IF($P170,$P170*TreatyCatch!BV283/SUM(TreatyCatch!$BR283:$BS283,TreatyCatch!$BU283:$BV283),"")</f>
        <v/>
      </c>
      <c r="V170" s="877" t="str">
        <f t="shared" si="77"/>
        <v/>
      </c>
      <c r="W170" s="958"/>
      <c r="X170" s="882" t="str">
        <f>IF($W170,$W170*TreatyCatch!BX283/SUM(TreatyCatch!$BX283:$BY283,TreatyCatch!$CA283:$CB283),"")</f>
        <v/>
      </c>
      <c r="Y170" s="883" t="str">
        <f>IF($W170,$W170*TreatyCatch!BY283/SUM(TreatyCatch!$BX283:$BY283,TreatyCatch!$CA283:$CB283),"")</f>
        <v/>
      </c>
      <c r="Z170" s="901" t="str">
        <f t="shared" si="73"/>
        <v/>
      </c>
      <c r="AA170" s="858" t="str">
        <f>IF($W170,$W170*TreatyCatch!CA283/SUM(TreatyCatch!$BX283:$BY283,TreatyCatch!$CA283:$CB283),"")</f>
        <v/>
      </c>
      <c r="AB170" s="859" t="str">
        <f>IF($W170,$W170*TreatyCatch!CB283/SUM(TreatyCatch!$BX283:$BY283,TreatyCatch!$CA283:$CB283),"")</f>
        <v/>
      </c>
      <c r="AC170" s="840" t="str">
        <f t="shared" si="78"/>
        <v/>
      </c>
      <c r="AD170" s="958"/>
      <c r="AE170" s="1071" t="str">
        <f>IF($AD170,$AD170*TreatyCatch!CD400/SUM(TreatyCatch!$CD400:$CE400,TreatyCatch!$CG400:$CH400),"")</f>
        <v/>
      </c>
      <c r="AF170" s="1072" t="str">
        <f>IF($AD170,$AD170*TreatyCatch!CE400/SUM(TreatyCatch!$CD400:$CE400,TreatyCatch!$CG400:$CH400),"")</f>
        <v/>
      </c>
      <c r="AG170" s="1073" t="str">
        <f t="shared" si="74"/>
        <v/>
      </c>
      <c r="AH170" s="1077" t="str">
        <f>IF($AD170,$AD170*TreatyCatch!CG400/SUM(TreatyCatch!$CD400:CE400,TreatyCatch!$CG400:$CH400),"")</f>
        <v/>
      </c>
      <c r="AI170" s="1078" t="str">
        <f>IF($AD170,$AD170*TreatyCatch!CH400/SUM(TreatyCatch!$CD400:CF400,TreatyCatch!$CG400:$CH400),"")</f>
        <v/>
      </c>
      <c r="AJ170" s="1080" t="str">
        <f t="shared" si="79"/>
        <v/>
      </c>
      <c r="AK170" s="958"/>
      <c r="AL170" s="882"/>
      <c r="AM170" s="883"/>
      <c r="AN170" s="901"/>
      <c r="AO170" s="858"/>
      <c r="AP170" s="859"/>
      <c r="AQ170" s="840"/>
      <c r="AR170" s="765"/>
      <c r="AS170" s="852"/>
      <c r="AT170" s="853"/>
      <c r="AU170" s="846"/>
      <c r="AV170" s="893"/>
      <c r="AW170" s="894"/>
      <c r="AX170" s="877"/>
      <c r="AY170" s="765"/>
      <c r="AZ170" s="882"/>
      <c r="BA170" s="883"/>
      <c r="BB170" s="901"/>
      <c r="BC170" s="858"/>
      <c r="BD170" s="859"/>
      <c r="BE170" s="840"/>
      <c r="BF170" s="765"/>
      <c r="BG170" s="852"/>
      <c r="BH170" s="853"/>
      <c r="BI170" s="846"/>
      <c r="BJ170" s="893"/>
      <c r="BK170" s="894"/>
      <c r="BL170" s="877"/>
      <c r="BM170" s="765"/>
      <c r="BN170" s="882"/>
      <c r="BO170" s="883"/>
      <c r="BP170" s="901"/>
      <c r="BQ170" s="858"/>
      <c r="BR170" s="859"/>
      <c r="BS170" s="840"/>
      <c r="BT170" s="765"/>
      <c r="BU170" s="852"/>
      <c r="BV170" s="853"/>
      <c r="BW170" s="846"/>
      <c r="BX170" s="893"/>
      <c r="BY170" s="894"/>
      <c r="BZ170" s="877"/>
      <c r="CA170" s="765"/>
      <c r="CB170" s="882"/>
      <c r="CC170" s="883"/>
      <c r="CD170" s="901"/>
      <c r="CE170" s="858"/>
      <c r="CF170" s="859"/>
      <c r="CG170" s="840"/>
      <c r="CH170" s="765"/>
      <c r="CI170" s="852"/>
      <c r="CJ170" s="853"/>
      <c r="CK170" s="846"/>
      <c r="CL170" s="893"/>
      <c r="CM170" s="894"/>
      <c r="CN170" s="877"/>
    </row>
    <row r="171" spans="1:92" x14ac:dyDescent="0.25">
      <c r="A171" s="757">
        <v>46</v>
      </c>
      <c r="B171" s="765"/>
      <c r="C171" s="844" t="str">
        <f>IF($B171,$B171*TreatyCatch!BF284/SUM(TreatyCatch!$BF284:$BG284,TreatyCatch!$BI284:$BJ284),"")</f>
        <v/>
      </c>
      <c r="D171" s="844" t="str">
        <f>IF($B171,$B171*TreatyCatch!BG284/SUM(TreatyCatch!$BF284:$BG284,TreatyCatch!$BI284:$BJ284),"")</f>
        <v/>
      </c>
      <c r="E171" s="846" t="str">
        <f t="shared" si="70"/>
        <v/>
      </c>
      <c r="F171" s="876" t="str">
        <f>IF($B171,$B171*TreatyCatch!BI284/SUM(TreatyCatch!$BF284:$BG284,TreatyCatch!$BI284:$BJ284),"")</f>
        <v/>
      </c>
      <c r="G171" s="889" t="str">
        <f>IF($B171,$B171*TreatyCatch!BJ284/SUM(TreatyCatch!$BF284:$BG284,TreatyCatch!$BI284:$BJ284),"")</f>
        <v/>
      </c>
      <c r="H171" s="877" t="str">
        <f t="shared" si="75"/>
        <v/>
      </c>
      <c r="I171" s="765"/>
      <c r="J171" s="882" t="str">
        <f>IF($I171,$I171*TreatyCatch!BL284/SUM(TreatyCatch!$BL284:$BM284,TreatyCatch!$BO284:$BP284),"")</f>
        <v/>
      </c>
      <c r="K171" s="883" t="str">
        <f>IF($I171,$I171*TreatyCatch!BM284/SUM(TreatyCatch!$BL284:$BM284,TreatyCatch!$BO284:$BP284),"")</f>
        <v/>
      </c>
      <c r="L171" s="871" t="str">
        <f t="shared" si="71"/>
        <v/>
      </c>
      <c r="M171" s="858" t="str">
        <f>IF($I171,$I171*TreatyCatch!BO284/SUM(TreatyCatch!$BL284:$BM284,TreatyCatch!$BO284:$BP284),"")</f>
        <v/>
      </c>
      <c r="N171" s="859" t="str">
        <f>IF($I171,$I171*TreatyCatch!BP284/SUM(TreatyCatch!$BL284:$BM284,TreatyCatch!$BO284:$BP284),"")</f>
        <v/>
      </c>
      <c r="O171" s="840" t="str">
        <f t="shared" si="76"/>
        <v/>
      </c>
      <c r="P171" s="765"/>
      <c r="Q171" s="852" t="str">
        <f>IF($P171,$P171*TreatyCatch!BR284/SUM(TreatyCatch!$BR284:$BS284,TreatyCatch!$BU284:$BV284),"")</f>
        <v/>
      </c>
      <c r="R171" s="853" t="str">
        <f>IF($P171,$P171*TreatyCatch!BS284/SUM(TreatyCatch!$BR284:$BS284,TreatyCatch!$BU284:$BV284),"")</f>
        <v/>
      </c>
      <c r="S171" s="846" t="str">
        <f t="shared" si="72"/>
        <v/>
      </c>
      <c r="T171" s="893" t="str">
        <f>IF($P171,$P171*TreatyCatch!BU284/SUM(TreatyCatch!$BR284:$BS284,TreatyCatch!$BU284:$BV284),"")</f>
        <v/>
      </c>
      <c r="U171" s="894" t="str">
        <f>IF($P171,$P171*TreatyCatch!BV284/SUM(TreatyCatch!$BR284:$BS284,TreatyCatch!$BU284:$BV284),"")</f>
        <v/>
      </c>
      <c r="V171" s="877" t="str">
        <f t="shared" si="77"/>
        <v/>
      </c>
      <c r="W171" s="958"/>
      <c r="X171" s="882" t="str">
        <f>IF($W171,$W171*TreatyCatch!BX284/SUM(TreatyCatch!$BX284:$BY284,TreatyCatch!$CA284:$CB284),"")</f>
        <v/>
      </c>
      <c r="Y171" s="883" t="str">
        <f>IF($W171,$W171*TreatyCatch!BY284/SUM(TreatyCatch!$BX284:$BY284,TreatyCatch!$CA284:$CB284),"")</f>
        <v/>
      </c>
      <c r="Z171" s="901" t="str">
        <f t="shared" si="73"/>
        <v/>
      </c>
      <c r="AA171" s="858" t="str">
        <f>IF($W171,$W171*TreatyCatch!CA284/SUM(TreatyCatch!$BX284:$BY284,TreatyCatch!$CA284:$CB284),"")</f>
        <v/>
      </c>
      <c r="AB171" s="859" t="str">
        <f>IF($W171,$W171*TreatyCatch!CB284/SUM(TreatyCatch!$BX284:$BY284,TreatyCatch!$CA284:$CB284),"")</f>
        <v/>
      </c>
      <c r="AC171" s="840" t="str">
        <f t="shared" si="78"/>
        <v/>
      </c>
      <c r="AD171" s="958"/>
      <c r="AE171" s="1071" t="str">
        <f>IF($AD171,$AD171*TreatyCatch!CD401/SUM(TreatyCatch!$CD401:$CE401,TreatyCatch!$CG401:$CH401),"")</f>
        <v/>
      </c>
      <c r="AF171" s="1072" t="str">
        <f>IF($AD171,$AD171*TreatyCatch!CE401/SUM(TreatyCatch!$CD401:$CE401,TreatyCatch!$CG401:$CH401),"")</f>
        <v/>
      </c>
      <c r="AG171" s="1073" t="str">
        <f t="shared" si="74"/>
        <v/>
      </c>
      <c r="AH171" s="1077" t="str">
        <f>IF($AD171,$AD171*TreatyCatch!CG401/SUM(TreatyCatch!$CD401:CE401,TreatyCatch!$CG401:$CH401),"")</f>
        <v/>
      </c>
      <c r="AI171" s="1078" t="str">
        <f>IF($AD171,$AD171*TreatyCatch!CH401/SUM(TreatyCatch!$CD401:CF401,TreatyCatch!$CG401:$CH401),"")</f>
        <v/>
      </c>
      <c r="AJ171" s="1080" t="str">
        <f t="shared" si="79"/>
        <v/>
      </c>
      <c r="AK171" s="958"/>
      <c r="AL171" s="882"/>
      <c r="AM171" s="883"/>
      <c r="AN171" s="901"/>
      <c r="AO171" s="858"/>
      <c r="AP171" s="859"/>
      <c r="AQ171" s="840"/>
      <c r="AR171" s="765"/>
      <c r="AS171" s="852"/>
      <c r="AT171" s="853"/>
      <c r="AU171" s="846"/>
      <c r="AV171" s="893"/>
      <c r="AW171" s="894"/>
      <c r="AX171" s="877"/>
      <c r="AY171" s="765"/>
      <c r="AZ171" s="882"/>
      <c r="BA171" s="883"/>
      <c r="BB171" s="901"/>
      <c r="BC171" s="858"/>
      <c r="BD171" s="859"/>
      <c r="BE171" s="840"/>
      <c r="BF171" s="765"/>
      <c r="BG171" s="852"/>
      <c r="BH171" s="853"/>
      <c r="BI171" s="846"/>
      <c r="BJ171" s="893"/>
      <c r="BK171" s="894"/>
      <c r="BL171" s="877"/>
      <c r="BM171" s="765"/>
      <c r="BN171" s="882"/>
      <c r="BO171" s="883"/>
      <c r="BP171" s="901"/>
      <c r="BQ171" s="858"/>
      <c r="BR171" s="859"/>
      <c r="BS171" s="840"/>
      <c r="BT171" s="765"/>
      <c r="BU171" s="852"/>
      <c r="BV171" s="853"/>
      <c r="BW171" s="846"/>
      <c r="BX171" s="893"/>
      <c r="BY171" s="894"/>
      <c r="BZ171" s="877"/>
      <c r="CA171" s="765"/>
      <c r="CB171" s="882"/>
      <c r="CC171" s="883"/>
      <c r="CD171" s="901"/>
      <c r="CE171" s="858"/>
      <c r="CF171" s="859"/>
      <c r="CG171" s="840"/>
      <c r="CH171" s="765"/>
      <c r="CI171" s="852"/>
      <c r="CJ171" s="853"/>
      <c r="CK171" s="846"/>
      <c r="CL171" s="893"/>
      <c r="CM171" s="894"/>
      <c r="CN171" s="877"/>
    </row>
    <row r="172" spans="1:92" x14ac:dyDescent="0.25">
      <c r="A172" s="757">
        <v>47</v>
      </c>
      <c r="B172" s="765"/>
      <c r="C172" s="844" t="str">
        <f>IF($B172,$B172*TreatyCatch!BF285/SUM(TreatyCatch!$BF285:$BG285,TreatyCatch!$BI285:$BJ285),"")</f>
        <v/>
      </c>
      <c r="D172" s="844" t="str">
        <f>IF($B172,$B172*TreatyCatch!BG285/SUM(TreatyCatch!$BF285:$BG285,TreatyCatch!$BI285:$BJ285),"")</f>
        <v/>
      </c>
      <c r="E172" s="846" t="str">
        <f t="shared" si="70"/>
        <v/>
      </c>
      <c r="F172" s="876" t="str">
        <f>IF($B172,$B172*TreatyCatch!BI285/SUM(TreatyCatch!$BF285:$BG285,TreatyCatch!$BI285:$BJ285),"")</f>
        <v/>
      </c>
      <c r="G172" s="889" t="str">
        <f>IF($B172,$B172*TreatyCatch!BJ285/SUM(TreatyCatch!$BF285:$BG285,TreatyCatch!$BI285:$BJ285),"")</f>
        <v/>
      </c>
      <c r="H172" s="877" t="str">
        <f t="shared" si="75"/>
        <v/>
      </c>
      <c r="I172" s="765"/>
      <c r="J172" s="882" t="str">
        <f>IF($I172,$I172*TreatyCatch!BL285/SUM(TreatyCatch!$BL285:$BM285,TreatyCatch!$BO285:$BP285),"")</f>
        <v/>
      </c>
      <c r="K172" s="883" t="str">
        <f>IF($I172,$I172*TreatyCatch!BM285/SUM(TreatyCatch!$BL285:$BM285,TreatyCatch!$BO285:$BP285),"")</f>
        <v/>
      </c>
      <c r="L172" s="871" t="str">
        <f t="shared" si="71"/>
        <v/>
      </c>
      <c r="M172" s="858" t="str">
        <f>IF($I172,$I172*TreatyCatch!BO285/SUM(TreatyCatch!$BL285:$BM285,TreatyCatch!$BO285:$BP285),"")</f>
        <v/>
      </c>
      <c r="N172" s="859" t="str">
        <f>IF($I172,$I172*TreatyCatch!BP285/SUM(TreatyCatch!$BL285:$BM285,TreatyCatch!$BO285:$BP285),"")</f>
        <v/>
      </c>
      <c r="O172" s="840" t="str">
        <f t="shared" si="76"/>
        <v/>
      </c>
      <c r="P172" s="765"/>
      <c r="Q172" s="852" t="str">
        <f>IF($P172,$P172*TreatyCatch!BR285/SUM(TreatyCatch!$BR285:$BS285,TreatyCatch!$BU285:$BV285),"")</f>
        <v/>
      </c>
      <c r="R172" s="853" t="str">
        <f>IF($P172,$P172*TreatyCatch!BS285/SUM(TreatyCatch!$BR285:$BS285,TreatyCatch!$BU285:$BV285),"")</f>
        <v/>
      </c>
      <c r="S172" s="846" t="str">
        <f t="shared" si="72"/>
        <v/>
      </c>
      <c r="T172" s="893" t="str">
        <f>IF($P172,$P172*TreatyCatch!BU285/SUM(TreatyCatch!$BR285:$BS285,TreatyCatch!$BU285:$BV285),"")</f>
        <v/>
      </c>
      <c r="U172" s="894" t="str">
        <f>IF($P172,$P172*TreatyCatch!BV285/SUM(TreatyCatch!$BR285:$BS285,TreatyCatch!$BU285:$BV285),"")</f>
        <v/>
      </c>
      <c r="V172" s="877" t="str">
        <f t="shared" si="77"/>
        <v/>
      </c>
      <c r="W172" s="958"/>
      <c r="X172" s="882" t="str">
        <f>IF($W172,$W172*TreatyCatch!BX285/SUM(TreatyCatch!$BX285:$BY285,TreatyCatch!$CA285:$CB285),"")</f>
        <v/>
      </c>
      <c r="Y172" s="883" t="str">
        <f>IF($W172,$W172*TreatyCatch!BY285/SUM(TreatyCatch!$BX285:$BY285,TreatyCatch!$CA285:$CB285),"")</f>
        <v/>
      </c>
      <c r="Z172" s="901" t="str">
        <f t="shared" si="73"/>
        <v/>
      </c>
      <c r="AA172" s="858" t="str">
        <f>IF($W172,$W172*TreatyCatch!CA285/SUM(TreatyCatch!$BX285:$BY285,TreatyCatch!$CA285:$CB285),"")</f>
        <v/>
      </c>
      <c r="AB172" s="859" t="str">
        <f>IF($W172,$W172*TreatyCatch!CB285/SUM(TreatyCatch!$BX285:$BY285,TreatyCatch!$CA285:$CB285),"")</f>
        <v/>
      </c>
      <c r="AC172" s="840" t="str">
        <f t="shared" si="78"/>
        <v/>
      </c>
      <c r="AD172" s="958"/>
      <c r="AE172" s="1071" t="str">
        <f>IF($AD172,$AD172*TreatyCatch!CD402/SUM(TreatyCatch!$CD402:$CE402,TreatyCatch!$CG402:$CH402),"")</f>
        <v/>
      </c>
      <c r="AF172" s="1072" t="str">
        <f>IF($AD172,$AD172*TreatyCatch!CE402/SUM(TreatyCatch!$CD402:$CE402,TreatyCatch!$CG402:$CH402),"")</f>
        <v/>
      </c>
      <c r="AG172" s="1073" t="str">
        <f t="shared" si="74"/>
        <v/>
      </c>
      <c r="AH172" s="1077" t="str">
        <f>IF($AD172,$AD172*TreatyCatch!CG402/SUM(TreatyCatch!$CD402:CE402,TreatyCatch!$CG402:$CH402),"")</f>
        <v/>
      </c>
      <c r="AI172" s="1078" t="str">
        <f>IF($AD172,$AD172*TreatyCatch!CH402/SUM(TreatyCatch!$CD402:CF402,TreatyCatch!$CG402:$CH402),"")</f>
        <v/>
      </c>
      <c r="AJ172" s="1080" t="str">
        <f t="shared" si="79"/>
        <v/>
      </c>
      <c r="AK172" s="958"/>
      <c r="AL172" s="882"/>
      <c r="AM172" s="883"/>
      <c r="AN172" s="901"/>
      <c r="AO172" s="858"/>
      <c r="AP172" s="859"/>
      <c r="AQ172" s="840"/>
      <c r="AR172" s="765"/>
      <c r="AS172" s="852"/>
      <c r="AT172" s="853"/>
      <c r="AU172" s="846"/>
      <c r="AV172" s="893"/>
      <c r="AW172" s="894"/>
      <c r="AX172" s="877"/>
      <c r="AY172" s="765"/>
      <c r="AZ172" s="882"/>
      <c r="BA172" s="883"/>
      <c r="BB172" s="901"/>
      <c r="BC172" s="858"/>
      <c r="BD172" s="859"/>
      <c r="BE172" s="840"/>
      <c r="BF172" s="765"/>
      <c r="BG172" s="852"/>
      <c r="BH172" s="853"/>
      <c r="BI172" s="846"/>
      <c r="BJ172" s="893"/>
      <c r="BK172" s="894"/>
      <c r="BL172" s="877"/>
      <c r="BM172" s="765"/>
      <c r="BN172" s="882"/>
      <c r="BO172" s="883"/>
      <c r="BP172" s="901"/>
      <c r="BQ172" s="858"/>
      <c r="BR172" s="859"/>
      <c r="BS172" s="840"/>
      <c r="BT172" s="765"/>
      <c r="BU172" s="852"/>
      <c r="BV172" s="853"/>
      <c r="BW172" s="846"/>
      <c r="BX172" s="893"/>
      <c r="BY172" s="894"/>
      <c r="BZ172" s="877"/>
      <c r="CA172" s="765"/>
      <c r="CB172" s="882"/>
      <c r="CC172" s="883"/>
      <c r="CD172" s="901"/>
      <c r="CE172" s="858"/>
      <c r="CF172" s="859"/>
      <c r="CG172" s="840"/>
      <c r="CH172" s="765"/>
      <c r="CI172" s="852"/>
      <c r="CJ172" s="853"/>
      <c r="CK172" s="846"/>
      <c r="CL172" s="893"/>
      <c r="CM172" s="894"/>
      <c r="CN172" s="877"/>
    </row>
    <row r="173" spans="1:92" x14ac:dyDescent="0.25">
      <c r="A173" s="757">
        <v>48</v>
      </c>
      <c r="B173" s="765"/>
      <c r="C173" s="844" t="str">
        <f>IF($B173,$B173*TreatyCatch!BF286/SUM(TreatyCatch!$BF286:$BG286,TreatyCatch!$BI286:$BJ286),"")</f>
        <v/>
      </c>
      <c r="D173" s="844" t="str">
        <f>IF($B173,$B173*TreatyCatch!BG286/SUM(TreatyCatch!$BF286:$BG286,TreatyCatch!$BI286:$BJ286),"")</f>
        <v/>
      </c>
      <c r="E173" s="846" t="str">
        <f t="shared" si="70"/>
        <v/>
      </c>
      <c r="F173" s="876" t="str">
        <f>IF($B173,$B173*TreatyCatch!BI286/SUM(TreatyCatch!$BF286:$BG286,TreatyCatch!$BI286:$BJ286),"")</f>
        <v/>
      </c>
      <c r="G173" s="889" t="str">
        <f>IF($B173,$B173*TreatyCatch!BJ286/SUM(TreatyCatch!$BF286:$BG286,TreatyCatch!$BI286:$BJ286),"")</f>
        <v/>
      </c>
      <c r="H173" s="877" t="str">
        <f t="shared" si="75"/>
        <v/>
      </c>
      <c r="I173" s="765"/>
      <c r="J173" s="882" t="str">
        <f>IF($I173,$I173*TreatyCatch!BL286/SUM(TreatyCatch!$BL286:$BM286,TreatyCatch!$BO286:$BP286),"")</f>
        <v/>
      </c>
      <c r="K173" s="883" t="str">
        <f>IF($I173,$I173*TreatyCatch!BM286/SUM(TreatyCatch!$BL286:$BM286,TreatyCatch!$BO286:$BP286),"")</f>
        <v/>
      </c>
      <c r="L173" s="871" t="str">
        <f t="shared" si="71"/>
        <v/>
      </c>
      <c r="M173" s="858" t="str">
        <f>IF($I173,$I173*TreatyCatch!BO286/SUM(TreatyCatch!$BL286:$BM286,TreatyCatch!$BO286:$BP286),"")</f>
        <v/>
      </c>
      <c r="N173" s="859" t="str">
        <f>IF($I173,$I173*TreatyCatch!BP286/SUM(TreatyCatch!$BL286:$BM286,TreatyCatch!$BO286:$BP286),"")</f>
        <v/>
      </c>
      <c r="O173" s="840" t="str">
        <f t="shared" si="76"/>
        <v/>
      </c>
      <c r="P173" s="765"/>
      <c r="Q173" s="852" t="str">
        <f>IF($P173,$P173*TreatyCatch!BR286/SUM(TreatyCatch!$BR286:$BS286,TreatyCatch!$BU286:$BV286),"")</f>
        <v/>
      </c>
      <c r="R173" s="853" t="str">
        <f>IF($P173,$P173*TreatyCatch!BS286/SUM(TreatyCatch!$BR286:$BS286,TreatyCatch!$BU286:$BV286),"")</f>
        <v/>
      </c>
      <c r="S173" s="846" t="str">
        <f t="shared" si="72"/>
        <v/>
      </c>
      <c r="T173" s="893" t="str">
        <f>IF($P173,$P173*TreatyCatch!BU286/SUM(TreatyCatch!$BR286:$BS286,TreatyCatch!$BU286:$BV286),"")</f>
        <v/>
      </c>
      <c r="U173" s="894" t="str">
        <f>IF($P173,$P173*TreatyCatch!BV286/SUM(TreatyCatch!$BR286:$BS286,TreatyCatch!$BU286:$BV286),"")</f>
        <v/>
      </c>
      <c r="V173" s="877" t="str">
        <f t="shared" si="77"/>
        <v/>
      </c>
      <c r="W173" s="958"/>
      <c r="X173" s="882" t="str">
        <f>IF($W173,$W173*TreatyCatch!BX286/SUM(TreatyCatch!$BX286:$BY286,TreatyCatch!$CA286:$CB286),"")</f>
        <v/>
      </c>
      <c r="Y173" s="883" t="str">
        <f>IF($W173,$W173*TreatyCatch!BY286/SUM(TreatyCatch!$BX286:$BY286,TreatyCatch!$CA286:$CB286),"")</f>
        <v/>
      </c>
      <c r="Z173" s="901" t="str">
        <f t="shared" si="73"/>
        <v/>
      </c>
      <c r="AA173" s="858" t="str">
        <f>IF($W173,$W173*TreatyCatch!CA286/SUM(TreatyCatch!$BX286:$BY286,TreatyCatch!$CA286:$CB286),"")</f>
        <v/>
      </c>
      <c r="AB173" s="859" t="str">
        <f>IF($W173,$W173*TreatyCatch!CB286/SUM(TreatyCatch!$BX286:$BY286,TreatyCatch!$CA286:$CB286),"")</f>
        <v/>
      </c>
      <c r="AC173" s="840" t="str">
        <f t="shared" si="78"/>
        <v/>
      </c>
      <c r="AD173" s="958"/>
      <c r="AE173" s="1071" t="str">
        <f>IF($AD173,$AD173*TreatyCatch!CD403/SUM(TreatyCatch!$CD403:$CE403,TreatyCatch!$CG403:$CH403),"")</f>
        <v/>
      </c>
      <c r="AF173" s="1072" t="str">
        <f>IF($AD173,$AD173*TreatyCatch!CE403/SUM(TreatyCatch!$CD403:$CE403,TreatyCatch!$CG403:$CH403),"")</f>
        <v/>
      </c>
      <c r="AG173" s="1073" t="str">
        <f t="shared" si="74"/>
        <v/>
      </c>
      <c r="AH173" s="1077" t="str">
        <f>IF($AD173,$AD173*TreatyCatch!CG403/SUM(TreatyCatch!$CD403:CE403,TreatyCatch!$CG403:$CH403),"")</f>
        <v/>
      </c>
      <c r="AI173" s="1078" t="str">
        <f>IF($AD173,$AD173*TreatyCatch!CH403/SUM(TreatyCatch!$CD403:CF403,TreatyCatch!$CG403:$CH403),"")</f>
        <v/>
      </c>
      <c r="AJ173" s="1080" t="str">
        <f t="shared" si="79"/>
        <v/>
      </c>
      <c r="AK173" s="958"/>
      <c r="AL173" s="882"/>
      <c r="AM173" s="883"/>
      <c r="AN173" s="901"/>
      <c r="AO173" s="858"/>
      <c r="AP173" s="859"/>
      <c r="AQ173" s="840"/>
      <c r="AR173" s="765"/>
      <c r="AS173" s="852"/>
      <c r="AT173" s="853"/>
      <c r="AU173" s="846"/>
      <c r="AV173" s="893"/>
      <c r="AW173" s="894"/>
      <c r="AX173" s="877"/>
      <c r="AY173" s="765"/>
      <c r="AZ173" s="882"/>
      <c r="BA173" s="883"/>
      <c r="BB173" s="901"/>
      <c r="BC173" s="858"/>
      <c r="BD173" s="859"/>
      <c r="BE173" s="840"/>
      <c r="BF173" s="765"/>
      <c r="BG173" s="852"/>
      <c r="BH173" s="853"/>
      <c r="BI173" s="846"/>
      <c r="BJ173" s="893"/>
      <c r="BK173" s="894"/>
      <c r="BL173" s="877"/>
      <c r="BM173" s="765"/>
      <c r="BN173" s="882"/>
      <c r="BO173" s="883"/>
      <c r="BP173" s="901"/>
      <c r="BQ173" s="858"/>
      <c r="BR173" s="859"/>
      <c r="BS173" s="840"/>
      <c r="BT173" s="765"/>
      <c r="BU173" s="852"/>
      <c r="BV173" s="853"/>
      <c r="BW173" s="846"/>
      <c r="BX173" s="893"/>
      <c r="BY173" s="894"/>
      <c r="BZ173" s="877"/>
      <c r="CA173" s="765"/>
      <c r="CB173" s="882"/>
      <c r="CC173" s="883"/>
      <c r="CD173" s="901"/>
      <c r="CE173" s="858"/>
      <c r="CF173" s="859"/>
      <c r="CG173" s="840"/>
      <c r="CH173" s="765"/>
      <c r="CI173" s="852"/>
      <c r="CJ173" s="853"/>
      <c r="CK173" s="846"/>
      <c r="CL173" s="893"/>
      <c r="CM173" s="894"/>
      <c r="CN173" s="877"/>
    </row>
    <row r="174" spans="1:92" x14ac:dyDescent="0.25">
      <c r="A174" s="757">
        <v>49</v>
      </c>
      <c r="B174" s="765"/>
      <c r="C174" s="844" t="str">
        <f>IF($B174,$B174*TreatyCatch!BF287/SUM(TreatyCatch!$BF287:$BG287,TreatyCatch!$BI287:$BJ287),"")</f>
        <v/>
      </c>
      <c r="D174" s="844" t="str">
        <f>IF($B174,$B174*TreatyCatch!BG287/SUM(TreatyCatch!$BF287:$BG287,TreatyCatch!$BI287:$BJ287),"")</f>
        <v/>
      </c>
      <c r="E174" s="846" t="str">
        <f t="shared" si="70"/>
        <v/>
      </c>
      <c r="F174" s="876" t="str">
        <f>IF($B174,$B174*TreatyCatch!BI287/SUM(TreatyCatch!$BF287:$BG287,TreatyCatch!$BI287:$BJ287),"")</f>
        <v/>
      </c>
      <c r="G174" s="889" t="str">
        <f>IF($B174,$B174*TreatyCatch!BJ287/SUM(TreatyCatch!$BF287:$BG287,TreatyCatch!$BI287:$BJ287),"")</f>
        <v/>
      </c>
      <c r="H174" s="877" t="str">
        <f t="shared" si="75"/>
        <v/>
      </c>
      <c r="I174" s="765"/>
      <c r="J174" s="882" t="str">
        <f>IF($I174,$I174*TreatyCatch!BL287/SUM(TreatyCatch!$BL287:$BM287,TreatyCatch!$BO287:$BP287),"")</f>
        <v/>
      </c>
      <c r="K174" s="883" t="str">
        <f>IF($I174,$I174*TreatyCatch!BM287/SUM(TreatyCatch!$BL287:$BM287,TreatyCatch!$BO287:$BP287),"")</f>
        <v/>
      </c>
      <c r="L174" s="871" t="str">
        <f t="shared" si="71"/>
        <v/>
      </c>
      <c r="M174" s="858" t="str">
        <f>IF($I174,$I174*TreatyCatch!BO287/SUM(TreatyCatch!$BL287:$BM287,TreatyCatch!$BO287:$BP287),"")</f>
        <v/>
      </c>
      <c r="N174" s="859" t="str">
        <f>IF($I174,$I174*TreatyCatch!BP287/SUM(TreatyCatch!$BL287:$BM287,TreatyCatch!$BO287:$BP287),"")</f>
        <v/>
      </c>
      <c r="O174" s="840" t="str">
        <f t="shared" si="76"/>
        <v/>
      </c>
      <c r="P174" s="765"/>
      <c r="Q174" s="852" t="str">
        <f>IF($P174,$P174*TreatyCatch!BR287/SUM(TreatyCatch!$BR287:$BS287,TreatyCatch!$BU287:$BV287),"")</f>
        <v/>
      </c>
      <c r="R174" s="853" t="str">
        <f>IF($P174,$P174*TreatyCatch!BS287/SUM(TreatyCatch!$BR287:$BS287,TreatyCatch!$BU287:$BV287),"")</f>
        <v/>
      </c>
      <c r="S174" s="846" t="str">
        <f t="shared" si="72"/>
        <v/>
      </c>
      <c r="T174" s="893" t="str">
        <f>IF($P174,$P174*TreatyCatch!BU287/SUM(TreatyCatch!$BR287:$BS287,TreatyCatch!$BU287:$BV287),"")</f>
        <v/>
      </c>
      <c r="U174" s="894" t="str">
        <f>IF($P174,$P174*TreatyCatch!BV287/SUM(TreatyCatch!$BR287:$BS287,TreatyCatch!$BU287:$BV287),"")</f>
        <v/>
      </c>
      <c r="V174" s="877" t="str">
        <f t="shared" si="77"/>
        <v/>
      </c>
      <c r="W174" s="958"/>
      <c r="X174" s="882" t="str">
        <f>IF($W174,$W174*TreatyCatch!BX287/SUM(TreatyCatch!$BX287:$BY287,TreatyCatch!$CA287:$CB287),"")</f>
        <v/>
      </c>
      <c r="Y174" s="883" t="str">
        <f>IF($W174,$W174*TreatyCatch!BY287/SUM(TreatyCatch!$BX287:$BY287,TreatyCatch!$CA287:$CB287),"")</f>
        <v/>
      </c>
      <c r="Z174" s="901" t="str">
        <f t="shared" si="73"/>
        <v/>
      </c>
      <c r="AA174" s="858" t="str">
        <f>IF($W174,$W174*TreatyCatch!CA287/SUM(TreatyCatch!$BX287:$BY287,TreatyCatch!$CA287:$CB287),"")</f>
        <v/>
      </c>
      <c r="AB174" s="859" t="str">
        <f>IF($W174,$W174*TreatyCatch!CB287/SUM(TreatyCatch!$BX287:$BY287,TreatyCatch!$CA287:$CB287),"")</f>
        <v/>
      </c>
      <c r="AC174" s="840" t="str">
        <f t="shared" si="78"/>
        <v/>
      </c>
      <c r="AD174" s="958"/>
      <c r="AE174" s="1071" t="str">
        <f>IF($AD174,$AD174*TreatyCatch!CD404/SUM(TreatyCatch!$CD404:$CE404,TreatyCatch!$CG404:$CH404),"")</f>
        <v/>
      </c>
      <c r="AF174" s="1072" t="str">
        <f>IF($AD174,$AD174*TreatyCatch!CE404/SUM(TreatyCatch!$CD404:$CE404,TreatyCatch!$CG404:$CH404),"")</f>
        <v/>
      </c>
      <c r="AG174" s="1073" t="str">
        <f t="shared" si="74"/>
        <v/>
      </c>
      <c r="AH174" s="1077" t="str">
        <f>IF($AD174,$AD174*TreatyCatch!CG404/SUM(TreatyCatch!$CD404:CE404,TreatyCatch!$CG404:$CH404),"")</f>
        <v/>
      </c>
      <c r="AI174" s="1078" t="str">
        <f>IF($AD174,$AD174*TreatyCatch!CH404/SUM(TreatyCatch!$CD404:CF404,TreatyCatch!$CG404:$CH404),"")</f>
        <v/>
      </c>
      <c r="AJ174" s="1080" t="str">
        <f t="shared" si="79"/>
        <v/>
      </c>
      <c r="AK174" s="958"/>
      <c r="AL174" s="882"/>
      <c r="AM174" s="883"/>
      <c r="AN174" s="901"/>
      <c r="AO174" s="858"/>
      <c r="AP174" s="859"/>
      <c r="AQ174" s="840"/>
      <c r="AR174" s="765"/>
      <c r="AS174" s="852"/>
      <c r="AT174" s="853"/>
      <c r="AU174" s="846"/>
      <c r="AV174" s="893"/>
      <c r="AW174" s="894"/>
      <c r="AX174" s="877"/>
      <c r="AY174" s="765"/>
      <c r="AZ174" s="882"/>
      <c r="BA174" s="883"/>
      <c r="BB174" s="901"/>
      <c r="BC174" s="858"/>
      <c r="BD174" s="859"/>
      <c r="BE174" s="840"/>
      <c r="BF174" s="765"/>
      <c r="BG174" s="852"/>
      <c r="BH174" s="853"/>
      <c r="BI174" s="846"/>
      <c r="BJ174" s="893"/>
      <c r="BK174" s="894"/>
      <c r="BL174" s="877"/>
      <c r="BM174" s="765"/>
      <c r="BN174" s="882"/>
      <c r="BO174" s="883"/>
      <c r="BP174" s="901"/>
      <c r="BQ174" s="858"/>
      <c r="BR174" s="859"/>
      <c r="BS174" s="840"/>
      <c r="BT174" s="765"/>
      <c r="BU174" s="852"/>
      <c r="BV174" s="853"/>
      <c r="BW174" s="846"/>
      <c r="BX174" s="893"/>
      <c r="BY174" s="894"/>
      <c r="BZ174" s="877"/>
      <c r="CA174" s="765"/>
      <c r="CB174" s="882"/>
      <c r="CC174" s="883"/>
      <c r="CD174" s="901"/>
      <c r="CE174" s="858"/>
      <c r="CF174" s="859"/>
      <c r="CG174" s="840"/>
      <c r="CH174" s="765"/>
      <c r="CI174" s="852"/>
      <c r="CJ174" s="853"/>
      <c r="CK174" s="846"/>
      <c r="CL174" s="893"/>
      <c r="CM174" s="894"/>
      <c r="CN174" s="877"/>
    </row>
    <row r="175" spans="1:92" x14ac:dyDescent="0.25">
      <c r="A175" s="757">
        <v>50</v>
      </c>
      <c r="B175" s="765"/>
      <c r="C175" s="844" t="str">
        <f>IF($B175,$B175*TreatyCatch!BF288/SUM(TreatyCatch!$BF288:$BG288,TreatyCatch!$BI288:$BJ288),"")</f>
        <v/>
      </c>
      <c r="D175" s="844" t="str">
        <f>IF($B175,$B175*TreatyCatch!BG288/SUM(TreatyCatch!$BF288:$BG288,TreatyCatch!$BI288:$BJ288),"")</f>
        <v/>
      </c>
      <c r="E175" s="846" t="str">
        <f t="shared" si="70"/>
        <v/>
      </c>
      <c r="F175" s="876" t="str">
        <f>IF($B175,$B175*TreatyCatch!BI288/SUM(TreatyCatch!$BF288:$BG288,TreatyCatch!$BI288:$BJ288),"")</f>
        <v/>
      </c>
      <c r="G175" s="889" t="str">
        <f>IF($B175,$B175*TreatyCatch!BJ288/SUM(TreatyCatch!$BF288:$BG288,TreatyCatch!$BI288:$BJ288),"")</f>
        <v/>
      </c>
      <c r="H175" s="877" t="str">
        <f t="shared" si="75"/>
        <v/>
      </c>
      <c r="I175" s="765"/>
      <c r="J175" s="882" t="str">
        <f>IF($I175,$I175*TreatyCatch!BL288/SUM(TreatyCatch!$BL288:$BM288,TreatyCatch!$BO288:$BP288),"")</f>
        <v/>
      </c>
      <c r="K175" s="883" t="str">
        <f>IF($I175,$I175*TreatyCatch!BM288/SUM(TreatyCatch!$BL288:$BM288,TreatyCatch!$BO288:$BP288),"")</f>
        <v/>
      </c>
      <c r="L175" s="871" t="str">
        <f t="shared" si="71"/>
        <v/>
      </c>
      <c r="M175" s="858" t="str">
        <f>IF($I175,$I175*TreatyCatch!BO288/SUM(TreatyCatch!$BL288:$BM288,TreatyCatch!$BO288:$BP288),"")</f>
        <v/>
      </c>
      <c r="N175" s="859" t="str">
        <f>IF($I175,$I175*TreatyCatch!BP288/SUM(TreatyCatch!$BL288:$BM288,TreatyCatch!$BO288:$BP288),"")</f>
        <v/>
      </c>
      <c r="O175" s="840" t="str">
        <f t="shared" si="76"/>
        <v/>
      </c>
      <c r="P175" s="765"/>
      <c r="Q175" s="852" t="str">
        <f>IF($P175,$P175*TreatyCatch!BR288/SUM(TreatyCatch!$BR288:$BS288,TreatyCatch!$BU288:$BV288),"")</f>
        <v/>
      </c>
      <c r="R175" s="853" t="str">
        <f>IF($P175,$P175*TreatyCatch!BS288/SUM(TreatyCatch!$BR288:$BS288,TreatyCatch!$BU288:$BV288),"")</f>
        <v/>
      </c>
      <c r="S175" s="846" t="str">
        <f t="shared" si="72"/>
        <v/>
      </c>
      <c r="T175" s="893" t="str">
        <f>IF($P175,$P175*TreatyCatch!BU288/SUM(TreatyCatch!$BR288:$BS288,TreatyCatch!$BU288:$BV288),"")</f>
        <v/>
      </c>
      <c r="U175" s="894" t="str">
        <f>IF($P175,$P175*TreatyCatch!BV288/SUM(TreatyCatch!$BR288:$BS288,TreatyCatch!$BU288:$BV288),"")</f>
        <v/>
      </c>
      <c r="V175" s="877" t="str">
        <f t="shared" si="77"/>
        <v/>
      </c>
      <c r="W175" s="958"/>
      <c r="X175" s="882" t="str">
        <f>IF($W175,$W175*TreatyCatch!BX288/SUM(TreatyCatch!$BX288:$BY288,TreatyCatch!$CA288:$CB288),"")</f>
        <v/>
      </c>
      <c r="Y175" s="883" t="str">
        <f>IF($W175,$W175*TreatyCatch!BY288/SUM(TreatyCatch!$BX288:$BY288,TreatyCatch!$CA288:$CB288),"")</f>
        <v/>
      </c>
      <c r="Z175" s="901" t="str">
        <f t="shared" si="73"/>
        <v/>
      </c>
      <c r="AA175" s="858" t="str">
        <f>IF($W175,$W175*TreatyCatch!CA288/SUM(TreatyCatch!$BX288:$BY288,TreatyCatch!$CA288:$CB288),"")</f>
        <v/>
      </c>
      <c r="AB175" s="859" t="str">
        <f>IF($W175,$W175*TreatyCatch!CB288/SUM(TreatyCatch!$BX288:$BY288,TreatyCatch!$CA288:$CB288),"")</f>
        <v/>
      </c>
      <c r="AC175" s="840" t="str">
        <f t="shared" si="78"/>
        <v/>
      </c>
      <c r="AD175" s="958"/>
      <c r="AE175" s="1071" t="str">
        <f>IF($AD175,$AD175*TreatyCatch!CD405/SUM(TreatyCatch!$CD405:$CE405,TreatyCatch!$CG405:$CH405),"")</f>
        <v/>
      </c>
      <c r="AF175" s="1072" t="str">
        <f>IF($AD175,$AD175*TreatyCatch!CE405/SUM(TreatyCatch!$CD405:$CE405,TreatyCatch!$CG405:$CH405),"")</f>
        <v/>
      </c>
      <c r="AG175" s="1073" t="str">
        <f t="shared" si="74"/>
        <v/>
      </c>
      <c r="AH175" s="1077" t="str">
        <f>IF($AD175,$AD175*TreatyCatch!CG405/SUM(TreatyCatch!$CD405:CE405,TreatyCatch!$CG405:$CH405),"")</f>
        <v/>
      </c>
      <c r="AI175" s="1078" t="str">
        <f>IF($AD175,$AD175*TreatyCatch!CH405/SUM(TreatyCatch!$CD405:CF405,TreatyCatch!$CG405:$CH405),"")</f>
        <v/>
      </c>
      <c r="AJ175" s="1080" t="str">
        <f t="shared" si="79"/>
        <v/>
      </c>
      <c r="AK175" s="958"/>
      <c r="AL175" s="882"/>
      <c r="AM175" s="883"/>
      <c r="AN175" s="901"/>
      <c r="AO175" s="858"/>
      <c r="AP175" s="859"/>
      <c r="AQ175" s="840"/>
      <c r="AR175" s="765"/>
      <c r="AS175" s="852"/>
      <c r="AT175" s="853"/>
      <c r="AU175" s="846"/>
      <c r="AV175" s="893"/>
      <c r="AW175" s="894"/>
      <c r="AX175" s="877"/>
      <c r="AY175" s="765"/>
      <c r="AZ175" s="882"/>
      <c r="BA175" s="883"/>
      <c r="BB175" s="901"/>
      <c r="BC175" s="858"/>
      <c r="BD175" s="859"/>
      <c r="BE175" s="840"/>
      <c r="BF175" s="765"/>
      <c r="BG175" s="852"/>
      <c r="BH175" s="853"/>
      <c r="BI175" s="846"/>
      <c r="BJ175" s="893"/>
      <c r="BK175" s="894"/>
      <c r="BL175" s="877"/>
      <c r="BM175" s="765"/>
      <c r="BN175" s="882"/>
      <c r="BO175" s="883"/>
      <c r="BP175" s="901"/>
      <c r="BQ175" s="858"/>
      <c r="BR175" s="859"/>
      <c r="BS175" s="840"/>
      <c r="BT175" s="765"/>
      <c r="BU175" s="852"/>
      <c r="BV175" s="853"/>
      <c r="BW175" s="846"/>
      <c r="BX175" s="893"/>
      <c r="BY175" s="894"/>
      <c r="BZ175" s="877"/>
      <c r="CA175" s="765"/>
      <c r="CB175" s="882"/>
      <c r="CC175" s="883"/>
      <c r="CD175" s="901"/>
      <c r="CE175" s="858"/>
      <c r="CF175" s="859"/>
      <c r="CG175" s="840"/>
      <c r="CH175" s="765"/>
      <c r="CI175" s="852"/>
      <c r="CJ175" s="853"/>
      <c r="CK175" s="846"/>
      <c r="CL175" s="893"/>
      <c r="CM175" s="894"/>
      <c r="CN175" s="877"/>
    </row>
    <row r="176" spans="1:92" x14ac:dyDescent="0.25">
      <c r="A176" s="757">
        <v>51</v>
      </c>
      <c r="B176" s="765"/>
      <c r="C176" s="844" t="str">
        <f>IF($B176,$B176*TreatyCatch!BF289/SUM(TreatyCatch!$BF289:$BG289,TreatyCatch!$BI289:$BJ289),"")</f>
        <v/>
      </c>
      <c r="D176" s="844" t="str">
        <f>IF($B176,$B176*TreatyCatch!BG289/SUM(TreatyCatch!$BF289:$BG289,TreatyCatch!$BI289:$BJ289),"")</f>
        <v/>
      </c>
      <c r="E176" s="846" t="str">
        <f t="shared" si="70"/>
        <v/>
      </c>
      <c r="F176" s="876" t="str">
        <f>IF($B176,$B176*TreatyCatch!BI289/SUM(TreatyCatch!$BF289:$BG289,TreatyCatch!$BI289:$BJ289),"")</f>
        <v/>
      </c>
      <c r="G176" s="889" t="str">
        <f>IF($B176,$B176*TreatyCatch!BJ289/SUM(TreatyCatch!$BF289:$BG289,TreatyCatch!$BI289:$BJ289),"")</f>
        <v/>
      </c>
      <c r="H176" s="877" t="str">
        <f t="shared" si="75"/>
        <v/>
      </c>
      <c r="I176" s="765"/>
      <c r="J176" s="882" t="str">
        <f>IF($I176,$I176*TreatyCatch!BL289/SUM(TreatyCatch!$BL289:$BM289,TreatyCatch!$BO289:$BP289),"")</f>
        <v/>
      </c>
      <c r="K176" s="883" t="str">
        <f>IF($I176,$I176*TreatyCatch!BM289/SUM(TreatyCatch!$BL289:$BM289,TreatyCatch!$BO289:$BP289),"")</f>
        <v/>
      </c>
      <c r="L176" s="871" t="str">
        <f t="shared" si="71"/>
        <v/>
      </c>
      <c r="M176" s="858" t="str">
        <f>IF($I176,$I176*TreatyCatch!BO289/SUM(TreatyCatch!$BL289:$BM289,TreatyCatch!$BO289:$BP289),"")</f>
        <v/>
      </c>
      <c r="N176" s="859" t="str">
        <f>IF($I176,$I176*TreatyCatch!BP289/SUM(TreatyCatch!$BL289:$BM289,TreatyCatch!$BO289:$BP289),"")</f>
        <v/>
      </c>
      <c r="O176" s="840" t="str">
        <f t="shared" si="76"/>
        <v/>
      </c>
      <c r="P176" s="765"/>
      <c r="Q176" s="852" t="str">
        <f>IF($P176,$P176*TreatyCatch!BR289/SUM(TreatyCatch!$BR289:$BS289,TreatyCatch!$BU289:$BV289),"")</f>
        <v/>
      </c>
      <c r="R176" s="853" t="str">
        <f>IF($P176,$P176*TreatyCatch!BS289/SUM(TreatyCatch!$BR289:$BS289,TreatyCatch!$BU289:$BV289),"")</f>
        <v/>
      </c>
      <c r="S176" s="846" t="str">
        <f t="shared" si="72"/>
        <v/>
      </c>
      <c r="T176" s="893" t="str">
        <f>IF($P176,$P176*TreatyCatch!BU289/SUM(TreatyCatch!$BR289:$BS289,TreatyCatch!$BU289:$BV289),"")</f>
        <v/>
      </c>
      <c r="U176" s="894" t="str">
        <f>IF($P176,$P176*TreatyCatch!BV289/SUM(TreatyCatch!$BR289:$BS289,TreatyCatch!$BU289:$BV289),"")</f>
        <v/>
      </c>
      <c r="V176" s="877" t="str">
        <f t="shared" si="77"/>
        <v/>
      </c>
      <c r="W176" s="958"/>
      <c r="X176" s="882" t="str">
        <f>IF($W176,$W176*TreatyCatch!BX289/SUM(TreatyCatch!$BX289:$BY289,TreatyCatch!$CA289:$CB289),"")</f>
        <v/>
      </c>
      <c r="Y176" s="883" t="str">
        <f>IF($W176,$W176*TreatyCatch!BY289/SUM(TreatyCatch!$BX289:$BY289,TreatyCatch!$CA289:$CB289),"")</f>
        <v/>
      </c>
      <c r="Z176" s="901" t="str">
        <f t="shared" si="73"/>
        <v/>
      </c>
      <c r="AA176" s="858" t="str">
        <f>IF($W176,$W176*TreatyCatch!CA289/SUM(TreatyCatch!$BX289:$BY289,TreatyCatch!$CA289:$CB289),"")</f>
        <v/>
      </c>
      <c r="AB176" s="859" t="str">
        <f>IF($W176,$W176*TreatyCatch!CB289/SUM(TreatyCatch!$BX289:$BY289,TreatyCatch!$CA289:$CB289),"")</f>
        <v/>
      </c>
      <c r="AC176" s="840" t="str">
        <f t="shared" si="78"/>
        <v/>
      </c>
      <c r="AD176" s="958"/>
      <c r="AE176" s="1071" t="str">
        <f>IF($AD176,$AD176*TreatyCatch!CD406/SUM(TreatyCatch!$CD406:$CE406,TreatyCatch!$CG406:$CH406),"")</f>
        <v/>
      </c>
      <c r="AF176" s="1072" t="str">
        <f>IF($AD176,$AD176*TreatyCatch!CE406/SUM(TreatyCatch!$CD406:$CE406,TreatyCatch!$CG406:$CH406),"")</f>
        <v/>
      </c>
      <c r="AG176" s="1073" t="str">
        <f t="shared" si="74"/>
        <v/>
      </c>
      <c r="AH176" s="1077" t="str">
        <f>IF($AD176,$AD176*TreatyCatch!CG406/SUM(TreatyCatch!$CD406:CE406,TreatyCatch!$CG406:$CH406),"")</f>
        <v/>
      </c>
      <c r="AI176" s="1078" t="str">
        <f>IF($AD176,$AD176*TreatyCatch!CH406/SUM(TreatyCatch!$CD406:CF406,TreatyCatch!$CG406:$CH406),"")</f>
        <v/>
      </c>
      <c r="AJ176" s="1080" t="str">
        <f t="shared" si="79"/>
        <v/>
      </c>
      <c r="AK176" s="958"/>
      <c r="AL176" s="882"/>
      <c r="AM176" s="883"/>
      <c r="AN176" s="901"/>
      <c r="AO176" s="858"/>
      <c r="AP176" s="859"/>
      <c r="AQ176" s="840"/>
      <c r="AR176" s="765"/>
      <c r="AS176" s="852"/>
      <c r="AT176" s="853"/>
      <c r="AU176" s="846"/>
      <c r="AV176" s="893"/>
      <c r="AW176" s="894"/>
      <c r="AX176" s="877"/>
      <c r="AY176" s="765"/>
      <c r="AZ176" s="882"/>
      <c r="BA176" s="883"/>
      <c r="BB176" s="901"/>
      <c r="BC176" s="858"/>
      <c r="BD176" s="859"/>
      <c r="BE176" s="840"/>
      <c r="BF176" s="765"/>
      <c r="BG176" s="852"/>
      <c r="BH176" s="853"/>
      <c r="BI176" s="846"/>
      <c r="BJ176" s="893"/>
      <c r="BK176" s="894"/>
      <c r="BL176" s="877"/>
      <c r="BM176" s="765"/>
      <c r="BN176" s="882"/>
      <c r="BO176" s="883"/>
      <c r="BP176" s="901"/>
      <c r="BQ176" s="858"/>
      <c r="BR176" s="859"/>
      <c r="BS176" s="840"/>
      <c r="BT176" s="765"/>
      <c r="BU176" s="852"/>
      <c r="BV176" s="853"/>
      <c r="BW176" s="846"/>
      <c r="BX176" s="893"/>
      <c r="BY176" s="894"/>
      <c r="BZ176" s="877"/>
      <c r="CA176" s="765"/>
      <c r="CB176" s="882"/>
      <c r="CC176" s="883"/>
      <c r="CD176" s="901"/>
      <c r="CE176" s="858"/>
      <c r="CF176" s="859"/>
      <c r="CG176" s="840"/>
      <c r="CH176" s="765"/>
      <c r="CI176" s="852"/>
      <c r="CJ176" s="853"/>
      <c r="CK176" s="846"/>
      <c r="CL176" s="893"/>
      <c r="CM176" s="894"/>
      <c r="CN176" s="877"/>
    </row>
    <row r="177" spans="1:92" x14ac:dyDescent="0.25">
      <c r="A177" s="757">
        <v>52</v>
      </c>
      <c r="B177" s="765"/>
      <c r="C177" s="844" t="str">
        <f>IF($B177,$B177*TreatyCatch!BF290/SUM(TreatyCatch!$BF290:$BG290,TreatyCatch!$BI290:$BJ290),"")</f>
        <v/>
      </c>
      <c r="D177" s="844" t="str">
        <f>IF($B177,$B177*TreatyCatch!BG290/SUM(TreatyCatch!$BF290:$BG290,TreatyCatch!$BI290:$BJ290),"")</f>
        <v/>
      </c>
      <c r="E177" s="846" t="str">
        <f t="shared" si="70"/>
        <v/>
      </c>
      <c r="F177" s="876" t="str">
        <f>IF($B177,$B177*TreatyCatch!BI290/SUM(TreatyCatch!$BF290:$BG290,TreatyCatch!$BI290:$BJ290),"")</f>
        <v/>
      </c>
      <c r="G177" s="889" t="str">
        <f>IF($B177,$B177*TreatyCatch!BJ290/SUM(TreatyCatch!$BF290:$BG290,TreatyCatch!$BI290:$BJ290),"")</f>
        <v/>
      </c>
      <c r="H177" s="877" t="str">
        <f t="shared" si="75"/>
        <v/>
      </c>
      <c r="I177" s="765"/>
      <c r="J177" s="882" t="str">
        <f>IF($I177,$I177*TreatyCatch!BL290/SUM(TreatyCatch!$BL290:$BM290,TreatyCatch!$BO290:$BP290),"")</f>
        <v/>
      </c>
      <c r="K177" s="883" t="str">
        <f>IF($I177,$I177*TreatyCatch!BM290/SUM(TreatyCatch!$BL290:$BM290,TreatyCatch!$BO290:$BP290),"")</f>
        <v/>
      </c>
      <c r="L177" s="871" t="str">
        <f t="shared" si="71"/>
        <v/>
      </c>
      <c r="M177" s="858" t="str">
        <f>IF($I177,$I177*TreatyCatch!BO290/SUM(TreatyCatch!$BL290:$BM290,TreatyCatch!$BO290:$BP290),"")</f>
        <v/>
      </c>
      <c r="N177" s="859" t="str">
        <f>IF($I177,$I177*TreatyCatch!BP290/SUM(TreatyCatch!$BL290:$BM290,TreatyCatch!$BO290:$BP290),"")</f>
        <v/>
      </c>
      <c r="O177" s="840" t="str">
        <f t="shared" si="76"/>
        <v/>
      </c>
      <c r="P177" s="765"/>
      <c r="Q177" s="852" t="str">
        <f>IF($P177,$P177*TreatyCatch!BR290/SUM(TreatyCatch!$BR290:$BS290,TreatyCatch!$BU290:$BV290),"")</f>
        <v/>
      </c>
      <c r="R177" s="853" t="str">
        <f>IF($P177,$P177*TreatyCatch!BS290/SUM(TreatyCatch!$BR290:$BS290,TreatyCatch!$BU290:$BV290),"")</f>
        <v/>
      </c>
      <c r="S177" s="846" t="str">
        <f t="shared" si="72"/>
        <v/>
      </c>
      <c r="T177" s="893" t="str">
        <f>IF($P177,$P177*TreatyCatch!BU290/SUM(TreatyCatch!$BR290:$BS290,TreatyCatch!$BU290:$BV290),"")</f>
        <v/>
      </c>
      <c r="U177" s="894" t="str">
        <f>IF($P177,$P177*TreatyCatch!BV290/SUM(TreatyCatch!$BR290:$BS290,TreatyCatch!$BU290:$BV290),"")</f>
        <v/>
      </c>
      <c r="V177" s="877" t="str">
        <f t="shared" si="77"/>
        <v/>
      </c>
      <c r="W177" s="958"/>
      <c r="X177" s="882" t="str">
        <f>IF($W177,$W177*TreatyCatch!BX290/SUM(TreatyCatch!$BX290:$BY290,TreatyCatch!$CA290:$CB290),"")</f>
        <v/>
      </c>
      <c r="Y177" s="883" t="str">
        <f>IF($W177,$W177*TreatyCatch!BY290/SUM(TreatyCatch!$BX290:$BY290,TreatyCatch!$CA290:$CB290),"")</f>
        <v/>
      </c>
      <c r="Z177" s="901" t="str">
        <f t="shared" si="73"/>
        <v/>
      </c>
      <c r="AA177" s="858" t="str">
        <f>IF($W177,$W177*TreatyCatch!CA290/SUM(TreatyCatch!$BX290:$BY290,TreatyCatch!$CA290:$CB290),"")</f>
        <v/>
      </c>
      <c r="AB177" s="859" t="str">
        <f>IF($W177,$W177*TreatyCatch!CB290/SUM(TreatyCatch!$BX290:$BY290,TreatyCatch!$CA290:$CB290),"")</f>
        <v/>
      </c>
      <c r="AC177" s="840" t="str">
        <f t="shared" si="78"/>
        <v/>
      </c>
      <c r="AD177" s="958"/>
      <c r="AE177" s="1071" t="str">
        <f>IF($AD177,$AD177*TreatyCatch!CD407/SUM(TreatyCatch!$CD407:$CE407,TreatyCatch!$CG407:$CH407),"")</f>
        <v/>
      </c>
      <c r="AF177" s="1072" t="str">
        <f>IF($AD177,$AD177*TreatyCatch!CE407/SUM(TreatyCatch!$CD407:$CE407,TreatyCatch!$CG407:$CH407),"")</f>
        <v/>
      </c>
      <c r="AG177" s="1073" t="str">
        <f t="shared" si="74"/>
        <v/>
      </c>
      <c r="AH177" s="1077" t="str">
        <f>IF($AD177,$AD177*TreatyCatch!CG407/SUM(TreatyCatch!$CD407:CE407,TreatyCatch!$CG407:$CH407),"")</f>
        <v/>
      </c>
      <c r="AI177" s="1078" t="str">
        <f>IF($AD177,$AD177*TreatyCatch!CH407/SUM(TreatyCatch!$CD407:CF407,TreatyCatch!$CG407:$CH407),"")</f>
        <v/>
      </c>
      <c r="AJ177" s="1080" t="str">
        <f t="shared" si="79"/>
        <v/>
      </c>
      <c r="AK177" s="958"/>
      <c r="AL177" s="882"/>
      <c r="AM177" s="883"/>
      <c r="AN177" s="901"/>
      <c r="AO177" s="858"/>
      <c r="AP177" s="859"/>
      <c r="AQ177" s="840"/>
      <c r="AR177" s="765"/>
      <c r="AS177" s="852"/>
      <c r="AT177" s="853"/>
      <c r="AU177" s="846"/>
      <c r="AV177" s="893"/>
      <c r="AW177" s="894"/>
      <c r="AX177" s="877"/>
      <c r="AY177" s="765"/>
      <c r="AZ177" s="882"/>
      <c r="BA177" s="883"/>
      <c r="BB177" s="901"/>
      <c r="BC177" s="858"/>
      <c r="BD177" s="859"/>
      <c r="BE177" s="840"/>
      <c r="BF177" s="765"/>
      <c r="BG177" s="852"/>
      <c r="BH177" s="853"/>
      <c r="BI177" s="846"/>
      <c r="BJ177" s="893"/>
      <c r="BK177" s="894"/>
      <c r="BL177" s="877"/>
      <c r="BM177" s="765"/>
      <c r="BN177" s="882"/>
      <c r="BO177" s="883"/>
      <c r="BP177" s="901"/>
      <c r="BQ177" s="858"/>
      <c r="BR177" s="859"/>
      <c r="BS177" s="840"/>
      <c r="BT177" s="765"/>
      <c r="BU177" s="852"/>
      <c r="BV177" s="853"/>
      <c r="BW177" s="846"/>
      <c r="BX177" s="893"/>
      <c r="BY177" s="894"/>
      <c r="BZ177" s="877"/>
      <c r="CA177" s="765"/>
      <c r="CB177" s="882"/>
      <c r="CC177" s="883"/>
      <c r="CD177" s="901"/>
      <c r="CE177" s="858"/>
      <c r="CF177" s="859"/>
      <c r="CG177" s="840"/>
      <c r="CH177" s="765"/>
      <c r="CI177" s="852"/>
      <c r="CJ177" s="853"/>
      <c r="CK177" s="846"/>
      <c r="CL177" s="893"/>
      <c r="CM177" s="894"/>
      <c r="CN177" s="877"/>
    </row>
    <row r="178" spans="1:92" x14ac:dyDescent="0.25">
      <c r="A178" s="758">
        <v>53</v>
      </c>
      <c r="B178" s="766"/>
      <c r="C178" s="849" t="str">
        <f>IF($B178,$B178*TreatyCatch!BF291/SUM(TreatyCatch!$BF291:$BG291,TreatyCatch!$BI291:$BJ291),"")</f>
        <v/>
      </c>
      <c r="D178" s="849" t="str">
        <f>IF($B178,$B178*TreatyCatch!BG291/SUM(TreatyCatch!$BF291:$BG291,TreatyCatch!$BI291:$BJ291),"")</f>
        <v/>
      </c>
      <c r="E178" s="847" t="str">
        <f t="shared" si="70"/>
        <v/>
      </c>
      <c r="F178" s="878" t="str">
        <f>IF($B178,$B178*TreatyCatch!BI291/SUM(TreatyCatch!$BF291:$BG291,TreatyCatch!$BI291:$BJ291),"")</f>
        <v/>
      </c>
      <c r="G178" s="890" t="str">
        <f>IF($B178,$B178*TreatyCatch!BJ291/SUM(TreatyCatch!$BF291:$BG291,TreatyCatch!$BI291:$BJ291),"")</f>
        <v/>
      </c>
      <c r="H178" s="879" t="str">
        <f t="shared" si="75"/>
        <v/>
      </c>
      <c r="I178" s="766"/>
      <c r="J178" s="885" t="str">
        <f>IF($I178,$I178*TreatyCatch!BL291/SUM(TreatyCatch!$BL291:$BM291,TreatyCatch!$BO291:$BP291),"")</f>
        <v/>
      </c>
      <c r="K178" s="886" t="str">
        <f>IF($I178,$I178*TreatyCatch!BM291/SUM(TreatyCatch!$BL291:$BM291,TreatyCatch!$BO291:$BP291),"")</f>
        <v/>
      </c>
      <c r="L178" s="873" t="str">
        <f t="shared" si="71"/>
        <v/>
      </c>
      <c r="M178" s="861" t="str">
        <f>IF($I178,$I178*TreatyCatch!BO291/SUM(TreatyCatch!$BL291:$BM291,TreatyCatch!$BO291:$BP291),"")</f>
        <v/>
      </c>
      <c r="N178" s="862" t="str">
        <f>IF($I178,$I178*TreatyCatch!BP291/SUM(TreatyCatch!$BL291:$BM291,TreatyCatch!$BO291:$BP291),"")</f>
        <v/>
      </c>
      <c r="O178" s="841" t="str">
        <f t="shared" si="76"/>
        <v/>
      </c>
      <c r="P178" s="766"/>
      <c r="Q178" s="854" t="str">
        <f>IF($P178,$P178*TreatyCatch!BR291/SUM(TreatyCatch!$BR291:$BS291,TreatyCatch!$BU291:$BV291),"")</f>
        <v/>
      </c>
      <c r="R178" s="855" t="str">
        <f>IF($P178,$P178*TreatyCatch!BS291/SUM(TreatyCatch!$BR291:$BS291,TreatyCatch!$BU291:$BV291),"")</f>
        <v/>
      </c>
      <c r="S178" s="847" t="str">
        <f t="shared" si="72"/>
        <v/>
      </c>
      <c r="T178" s="895" t="str">
        <f>IF($P178,$P178*TreatyCatch!BU291/SUM(TreatyCatch!$BR291:$BS291,TreatyCatch!$BU291:$BV291),"")</f>
        <v/>
      </c>
      <c r="U178" s="896" t="str">
        <f>IF($P178,$P178*TreatyCatch!BV291/SUM(TreatyCatch!$BR291:$BS291,TreatyCatch!$BU291:$BV291),"")</f>
        <v/>
      </c>
      <c r="V178" s="879" t="str">
        <f t="shared" si="77"/>
        <v/>
      </c>
      <c r="W178" s="964"/>
      <c r="X178" s="885" t="str">
        <f>IF($W178,$W178*TreatyCatch!BX291/SUM(TreatyCatch!$BX291:$BY291,TreatyCatch!$CA291:$CB291),"")</f>
        <v/>
      </c>
      <c r="Y178" s="886" t="str">
        <f>IF($W178,$W178*TreatyCatch!BY291/SUM(TreatyCatch!$BX291:$BY291,TreatyCatch!$CA291:$CB291),"")</f>
        <v/>
      </c>
      <c r="Z178" s="902" t="str">
        <f t="shared" si="73"/>
        <v/>
      </c>
      <c r="AA178" s="861" t="str">
        <f>IF($W178,$W178*TreatyCatch!CA291/SUM(TreatyCatch!$BX291:$BY291,TreatyCatch!$CA291:$CB291),"")</f>
        <v/>
      </c>
      <c r="AB178" s="862" t="str">
        <f>IF($W178,$W178*TreatyCatch!CB291/SUM(TreatyCatch!$BX291:$BY291,TreatyCatch!$CA291:$CB291),"")</f>
        <v/>
      </c>
      <c r="AC178" s="841" t="str">
        <f t="shared" si="78"/>
        <v/>
      </c>
      <c r="AD178" s="964"/>
      <c r="AE178" s="1074" t="str">
        <f>IF($AD178,$AD178*TreatyCatch!CD408/SUM(TreatyCatch!$CD408:$CE408,TreatyCatch!$CG408:$CH408),"")</f>
        <v/>
      </c>
      <c r="AF178" s="1075" t="str">
        <f>IF($AD178,$AD178*TreatyCatch!CE408/SUM(TreatyCatch!$CD408:$CE408,TreatyCatch!$CG408:$CH408),"")</f>
        <v/>
      </c>
      <c r="AG178" s="1076" t="str">
        <f t="shared" si="74"/>
        <v/>
      </c>
      <c r="AH178" s="1081" t="str">
        <f>IF($AD178,$AD178*TreatyCatch!CG408/SUM(TreatyCatch!$CD408:CE408,TreatyCatch!$CG408:$CH408),"")</f>
        <v/>
      </c>
      <c r="AI178" s="1082" t="str">
        <f>IF($AD178,$AD178*TreatyCatch!CH408/SUM(TreatyCatch!$CD408:CF408,TreatyCatch!$CG408:$CH408),"")</f>
        <v/>
      </c>
      <c r="AJ178" s="1083" t="str">
        <f t="shared" si="79"/>
        <v/>
      </c>
      <c r="AK178" s="964"/>
      <c r="AL178" s="885"/>
      <c r="AM178" s="886"/>
      <c r="AN178" s="902"/>
      <c r="AO178" s="861"/>
      <c r="AP178" s="862"/>
      <c r="AQ178" s="841"/>
      <c r="AR178" s="766"/>
      <c r="AS178" s="854"/>
      <c r="AT178" s="855"/>
      <c r="AU178" s="847"/>
      <c r="AV178" s="895"/>
      <c r="AW178" s="896"/>
      <c r="AX178" s="879"/>
      <c r="AY178" s="766"/>
      <c r="AZ178" s="885"/>
      <c r="BA178" s="886"/>
      <c r="BB178" s="902"/>
      <c r="BC178" s="861"/>
      <c r="BD178" s="862"/>
      <c r="BE178" s="841"/>
      <c r="BF178" s="766"/>
      <c r="BG178" s="854"/>
      <c r="BH178" s="855"/>
      <c r="BI178" s="847"/>
      <c r="BJ178" s="895"/>
      <c r="BK178" s="896"/>
      <c r="BL178" s="879"/>
      <c r="BM178" s="766"/>
      <c r="BN178" s="885"/>
      <c r="BO178" s="886"/>
      <c r="BP178" s="902"/>
      <c r="BQ178" s="861"/>
      <c r="BR178" s="862"/>
      <c r="BS178" s="841"/>
      <c r="BT178" s="766"/>
      <c r="BU178" s="854"/>
      <c r="BV178" s="855"/>
      <c r="BW178" s="847"/>
      <c r="BX178" s="895"/>
      <c r="BY178" s="896"/>
      <c r="BZ178" s="879"/>
      <c r="CA178" s="766"/>
      <c r="CB178" s="885"/>
      <c r="CC178" s="886"/>
      <c r="CD178" s="902"/>
      <c r="CE178" s="861"/>
      <c r="CF178" s="862"/>
      <c r="CG178" s="841"/>
      <c r="CH178" s="766"/>
      <c r="CI178" s="854"/>
      <c r="CJ178" s="855"/>
      <c r="CK178" s="847"/>
      <c r="CL178" s="895"/>
      <c r="CM178" s="896"/>
      <c r="CN178" s="879"/>
    </row>
    <row r="179" spans="1:92" x14ac:dyDescent="0.25">
      <c r="W179" s="899"/>
      <c r="X179" s="1084"/>
      <c r="Y179" s="1084"/>
      <c r="Z179" s="1084"/>
      <c r="AA179" s="1084"/>
      <c r="AB179" s="1084"/>
      <c r="AC179" s="1084"/>
    </row>
    <row r="180" spans="1:92" x14ac:dyDescent="0.25">
      <c r="W180" s="899"/>
      <c r="X180" s="1084"/>
      <c r="Y180" s="1084"/>
      <c r="Z180" s="1084"/>
      <c r="AA180" s="1084"/>
      <c r="AB180" s="1084"/>
      <c r="AC180" s="1084"/>
    </row>
    <row r="181" spans="1:92" x14ac:dyDescent="0.25">
      <c r="A181" s="756" t="s">
        <v>170</v>
      </c>
      <c r="W181" s="899"/>
      <c r="X181" s="1084"/>
      <c r="Y181" s="1084"/>
      <c r="Z181" s="1084"/>
      <c r="AA181" s="1084"/>
      <c r="AB181" s="1084"/>
      <c r="AC181" s="1084"/>
    </row>
    <row r="182" spans="1:92" x14ac:dyDescent="0.25">
      <c r="B182" s="769">
        <v>2012</v>
      </c>
      <c r="C182" s="770"/>
      <c r="D182" s="770"/>
      <c r="E182" s="770"/>
      <c r="F182" s="770"/>
      <c r="G182" s="772"/>
      <c r="H182" s="770"/>
      <c r="I182" s="771">
        <v>2013</v>
      </c>
      <c r="J182" s="772"/>
      <c r="K182" s="767"/>
      <c r="L182" s="767"/>
      <c r="M182" s="767"/>
      <c r="N182" s="767"/>
      <c r="O182" s="768"/>
      <c r="P182" s="771">
        <v>2014</v>
      </c>
      <c r="Q182" s="772"/>
      <c r="R182" s="767"/>
      <c r="S182" s="767"/>
      <c r="T182" s="767"/>
      <c r="U182" s="767"/>
      <c r="V182" s="768"/>
      <c r="W182" s="1040">
        <v>2015</v>
      </c>
      <c r="X182" s="1042"/>
      <c r="Y182" s="1043"/>
      <c r="Z182" s="1043"/>
      <c r="AA182" s="1043"/>
      <c r="AB182" s="1043"/>
      <c r="AC182" s="1044"/>
      <c r="AD182" s="1040">
        <v>2016</v>
      </c>
      <c r="AE182" s="1042"/>
      <c r="AF182" s="1043"/>
      <c r="AG182" s="1043"/>
      <c r="AH182" s="1043"/>
      <c r="AI182" s="1043"/>
      <c r="AJ182" s="1044"/>
      <c r="AK182" s="1040">
        <v>2017</v>
      </c>
      <c r="AL182" s="1042"/>
      <c r="AM182" s="1043"/>
      <c r="AN182" s="1043"/>
      <c r="AO182" s="1043"/>
      <c r="AP182" s="1043"/>
      <c r="AQ182" s="1044"/>
      <c r="AR182" s="771">
        <f>AR124</f>
        <v>2018</v>
      </c>
      <c r="AS182" s="772"/>
      <c r="AT182" s="767"/>
      <c r="AU182" s="767"/>
      <c r="AV182" s="767"/>
      <c r="AW182" s="767"/>
      <c r="AX182" s="768"/>
      <c r="AY182" s="771">
        <f>AY124</f>
        <v>2019</v>
      </c>
      <c r="AZ182" s="772"/>
      <c r="BA182" s="767"/>
      <c r="BB182" s="767"/>
      <c r="BC182" s="767"/>
      <c r="BD182" s="767"/>
      <c r="BE182" s="768"/>
      <c r="BF182" s="771">
        <f>BF124</f>
        <v>2020</v>
      </c>
      <c r="BG182" s="772"/>
      <c r="BH182" s="767"/>
      <c r="BI182" s="767"/>
      <c r="BJ182" s="767"/>
      <c r="BK182" s="767"/>
      <c r="BL182" s="768"/>
      <c r="BM182" s="771">
        <f>BM124</f>
        <v>2021</v>
      </c>
      <c r="BN182" s="772"/>
      <c r="BO182" s="767"/>
      <c r="BP182" s="767"/>
      <c r="BQ182" s="767"/>
      <c r="BR182" s="767"/>
      <c r="BS182" s="768"/>
      <c r="BT182" s="771">
        <f>BT124</f>
        <v>2022</v>
      </c>
      <c r="BU182" s="772"/>
      <c r="BV182" s="767"/>
      <c r="BW182" s="767"/>
      <c r="BX182" s="767"/>
      <c r="BY182" s="767"/>
      <c r="BZ182" s="768"/>
      <c r="CA182" s="771">
        <f>CA124</f>
        <v>2023</v>
      </c>
      <c r="CB182" s="772"/>
      <c r="CC182" s="767"/>
      <c r="CD182" s="767"/>
      <c r="CE182" s="767"/>
      <c r="CF182" s="767"/>
      <c r="CG182" s="768"/>
      <c r="CH182" s="771">
        <f>CH124</f>
        <v>2024</v>
      </c>
      <c r="CI182" s="772"/>
      <c r="CJ182" s="767"/>
      <c r="CK182" s="767"/>
      <c r="CL182" s="767"/>
      <c r="CM182" s="767"/>
      <c r="CN182" s="768"/>
    </row>
    <row r="183" spans="1:92" x14ac:dyDescent="0.25">
      <c r="A183" s="759" t="s">
        <v>265</v>
      </c>
      <c r="B183" s="764" t="s">
        <v>171</v>
      </c>
      <c r="C183" s="761" t="s">
        <v>257</v>
      </c>
      <c r="D183" s="761" t="s">
        <v>172</v>
      </c>
      <c r="E183" s="760" t="s">
        <v>261</v>
      </c>
      <c r="F183" s="761" t="s">
        <v>259</v>
      </c>
      <c r="G183" s="762" t="s">
        <v>173</v>
      </c>
      <c r="H183" s="774" t="s">
        <v>262</v>
      </c>
      <c r="I183" s="764" t="s">
        <v>171</v>
      </c>
      <c r="J183" s="759" t="s">
        <v>257</v>
      </c>
      <c r="K183" s="761" t="s">
        <v>172</v>
      </c>
      <c r="L183" s="760" t="s">
        <v>261</v>
      </c>
      <c r="M183" s="761" t="s">
        <v>259</v>
      </c>
      <c r="N183" s="762" t="s">
        <v>173</v>
      </c>
      <c r="O183" s="774" t="s">
        <v>262</v>
      </c>
      <c r="P183" s="764" t="s">
        <v>171</v>
      </c>
      <c r="Q183" s="759" t="s">
        <v>257</v>
      </c>
      <c r="R183" s="761" t="s">
        <v>172</v>
      </c>
      <c r="S183" s="760" t="s">
        <v>261</v>
      </c>
      <c r="T183" s="761" t="s">
        <v>259</v>
      </c>
      <c r="U183" s="762" t="s">
        <v>173</v>
      </c>
      <c r="V183" s="774" t="s">
        <v>262</v>
      </c>
      <c r="W183" s="1041" t="s">
        <v>171</v>
      </c>
      <c r="X183" s="1045" t="s">
        <v>257</v>
      </c>
      <c r="Y183" s="1046" t="s">
        <v>172</v>
      </c>
      <c r="Z183" s="1047" t="s">
        <v>261</v>
      </c>
      <c r="AA183" s="1046" t="s">
        <v>259</v>
      </c>
      <c r="AB183" s="1048" t="s">
        <v>173</v>
      </c>
      <c r="AC183" s="1049" t="s">
        <v>262</v>
      </c>
      <c r="AD183" s="1041" t="s">
        <v>171</v>
      </c>
      <c r="AE183" s="1045" t="s">
        <v>257</v>
      </c>
      <c r="AF183" s="1046" t="s">
        <v>172</v>
      </c>
      <c r="AG183" s="1047" t="s">
        <v>261</v>
      </c>
      <c r="AH183" s="1046" t="s">
        <v>259</v>
      </c>
      <c r="AI183" s="1048" t="s">
        <v>173</v>
      </c>
      <c r="AJ183" s="1049" t="s">
        <v>262</v>
      </c>
      <c r="AK183" s="1041" t="s">
        <v>171</v>
      </c>
      <c r="AL183" s="1045" t="s">
        <v>257</v>
      </c>
      <c r="AM183" s="1046" t="s">
        <v>172</v>
      </c>
      <c r="AN183" s="1047" t="s">
        <v>261</v>
      </c>
      <c r="AO183" s="1046" t="s">
        <v>259</v>
      </c>
      <c r="AP183" s="1048" t="s">
        <v>173</v>
      </c>
      <c r="AQ183" s="1049" t="s">
        <v>262</v>
      </c>
      <c r="AR183" s="764" t="s">
        <v>171</v>
      </c>
      <c r="AS183" s="759" t="s">
        <v>257</v>
      </c>
      <c r="AT183" s="761" t="s">
        <v>172</v>
      </c>
      <c r="AU183" s="760" t="s">
        <v>261</v>
      </c>
      <c r="AV183" s="761" t="s">
        <v>259</v>
      </c>
      <c r="AW183" s="762" t="s">
        <v>173</v>
      </c>
      <c r="AX183" s="774" t="s">
        <v>262</v>
      </c>
      <c r="AY183" s="764" t="s">
        <v>171</v>
      </c>
      <c r="AZ183" s="759" t="s">
        <v>257</v>
      </c>
      <c r="BA183" s="761" t="s">
        <v>172</v>
      </c>
      <c r="BB183" s="760" t="s">
        <v>261</v>
      </c>
      <c r="BC183" s="761" t="s">
        <v>259</v>
      </c>
      <c r="BD183" s="762" t="s">
        <v>173</v>
      </c>
      <c r="BE183" s="774" t="s">
        <v>262</v>
      </c>
      <c r="BF183" s="764" t="s">
        <v>171</v>
      </c>
      <c r="BG183" s="759" t="s">
        <v>257</v>
      </c>
      <c r="BH183" s="761" t="s">
        <v>172</v>
      </c>
      <c r="BI183" s="760" t="s">
        <v>261</v>
      </c>
      <c r="BJ183" s="761" t="s">
        <v>259</v>
      </c>
      <c r="BK183" s="762" t="s">
        <v>173</v>
      </c>
      <c r="BL183" s="774" t="s">
        <v>262</v>
      </c>
      <c r="BM183" s="764" t="s">
        <v>171</v>
      </c>
      <c r="BN183" s="759" t="s">
        <v>257</v>
      </c>
      <c r="BO183" s="761" t="s">
        <v>172</v>
      </c>
      <c r="BP183" s="760" t="s">
        <v>261</v>
      </c>
      <c r="BQ183" s="761" t="s">
        <v>259</v>
      </c>
      <c r="BR183" s="762" t="s">
        <v>173</v>
      </c>
      <c r="BS183" s="774" t="s">
        <v>262</v>
      </c>
      <c r="BT183" s="764" t="s">
        <v>171</v>
      </c>
      <c r="BU183" s="759" t="s">
        <v>257</v>
      </c>
      <c r="BV183" s="761" t="s">
        <v>172</v>
      </c>
      <c r="BW183" s="760" t="s">
        <v>261</v>
      </c>
      <c r="BX183" s="761" t="s">
        <v>259</v>
      </c>
      <c r="BY183" s="762" t="s">
        <v>173</v>
      </c>
      <c r="BZ183" s="774" t="s">
        <v>262</v>
      </c>
      <c r="CA183" s="764" t="s">
        <v>171</v>
      </c>
      <c r="CB183" s="759" t="s">
        <v>257</v>
      </c>
      <c r="CC183" s="761" t="s">
        <v>172</v>
      </c>
      <c r="CD183" s="760" t="s">
        <v>261</v>
      </c>
      <c r="CE183" s="761" t="s">
        <v>259</v>
      </c>
      <c r="CF183" s="762" t="s">
        <v>173</v>
      </c>
      <c r="CG183" s="774" t="s">
        <v>262</v>
      </c>
      <c r="CH183" s="764" t="s">
        <v>171</v>
      </c>
      <c r="CI183" s="759" t="s">
        <v>257</v>
      </c>
      <c r="CJ183" s="761" t="s">
        <v>172</v>
      </c>
      <c r="CK183" s="760" t="s">
        <v>261</v>
      </c>
      <c r="CL183" s="761" t="s">
        <v>259</v>
      </c>
      <c r="CM183" s="762" t="s">
        <v>173</v>
      </c>
      <c r="CN183" s="774" t="s">
        <v>262</v>
      </c>
    </row>
    <row r="184" spans="1:92" x14ac:dyDescent="0.25">
      <c r="A184" s="763">
        <v>1</v>
      </c>
      <c r="B184" s="773"/>
      <c r="C184" s="868" t="str">
        <f>IF($B184,$B184*TreatyCatch!BF239/SUM(TreatyCatch!$BF239:$BG239,TreatyCatch!$BI239:$BJ239),"")</f>
        <v/>
      </c>
      <c r="D184" s="868" t="str">
        <f>IF($B184,$B184*TreatyCatch!BG239/SUM(TreatyCatch!$BF239:$BG239,TreatyCatch!$BI239:$BJ239),"")</f>
        <v/>
      </c>
      <c r="E184" s="869" t="str">
        <f>IFERROR(C184+0.0661*D184,"")</f>
        <v/>
      </c>
      <c r="F184" s="842" t="str">
        <f>IF($B184,$B184*TreatyCatch!BI239/SUM(TreatyCatch!$BF239:$BG239,TreatyCatch!$BI239:$BJ239),"")</f>
        <v/>
      </c>
      <c r="G184" s="865" t="str">
        <f>IF($B184,$B184*TreatyCatch!BJ239/SUM(TreatyCatch!$BF239:$BG239,TreatyCatch!$BI239:$BJ239),"")</f>
        <v/>
      </c>
      <c r="H184" s="839" t="str">
        <f>IFERROR(F184+0.0661*G184,"")</f>
        <v/>
      </c>
      <c r="I184" s="773"/>
      <c r="J184" s="850" t="str">
        <f>IF($I184,$I184*TreatyCatch!BL239/SUM(TreatyCatch!$BL239:$BM239,TreatyCatch!$BO239:$BP239),"")</f>
        <v/>
      </c>
      <c r="K184" s="851" t="str">
        <f>IF($I184,$I184*TreatyCatch!BM239/SUM(TreatyCatch!$BL239:$BM239,TreatyCatch!$BO239:$BP239),"")</f>
        <v/>
      </c>
      <c r="L184" s="845" t="str">
        <f t="shared" ref="L184:L200" si="80">IFERROR(J184+N$5*K184,"")</f>
        <v/>
      </c>
      <c r="M184" s="891" t="str">
        <f>IF($I184,$I184*TreatyCatch!BO239/SUM(TreatyCatch!$BL239:$BM239,TreatyCatch!$BO239:$BP239),"")</f>
        <v/>
      </c>
      <c r="N184" s="892" t="str">
        <f>IF($I184,$I184*TreatyCatch!BP239/SUM(TreatyCatch!$BL239:$BM239,TreatyCatch!$BO29:$BP239),"")</f>
        <v/>
      </c>
      <c r="O184" s="875" t="str">
        <f t="shared" ref="O184:O209" si="81">IFERROR(M184+N$5*N184,"")</f>
        <v/>
      </c>
      <c r="P184" s="773"/>
      <c r="Q184" s="880" t="str">
        <f>IF($P184,$P184*TreatyCatch!BR239/SUM(TreatyCatch!$BR239:$BS239,TreatyCatch!$BU239:$BV239),"")</f>
        <v/>
      </c>
      <c r="R184" s="881" t="str">
        <f>IF($P184,$P184*TreatyCatch!BS239/SUM(TreatyCatch!$BR239:$BS239,TreatyCatch!$BU239:$BV239),"")</f>
        <v/>
      </c>
      <c r="S184" s="869" t="str">
        <f>IFERROR(Q184+U$5*R184,"")</f>
        <v/>
      </c>
      <c r="T184" s="863" t="str">
        <f>IF($P184,$P184*TreatyCatch!BU239/SUM(TreatyCatch!$BR239:$BS239,TreatyCatch!$BU239:$BV239),"")</f>
        <v/>
      </c>
      <c r="U184" s="864" t="str">
        <f>IF($P184,$P184*TreatyCatch!BV239/SUM(TreatyCatch!$BR239:$BS239,TreatyCatch!$BU239:$BV239),"")</f>
        <v/>
      </c>
      <c r="V184" s="839" t="str">
        <f>IFERROR(T184+U$5*U184,"")</f>
        <v/>
      </c>
      <c r="W184" s="969"/>
      <c r="X184" s="850" t="str">
        <f>IF($W184,$W184*TreatyCatch!BX239/SUM(TreatyCatch!$BX239:$BY239,TreatyCatch!$CA239:$CB239),"")</f>
        <v/>
      </c>
      <c r="Y184" s="851" t="str">
        <f>IF($W184,$W184*TreatyCatch!BY239/SUM(TreatyCatch!$BX239:$BY239,TreatyCatch!$CA239:$CB239),"")</f>
        <v/>
      </c>
      <c r="Z184" s="845" t="str">
        <f>IFERROR(X184+AB$5*Y184,"")</f>
        <v/>
      </c>
      <c r="AA184" s="891" t="str">
        <f>IF($W184,$W184*TreatyCatch!CA239/SUM(TreatyCatch!$BX239:$BY239,TreatyCatch!$CA239:$CB239),"")</f>
        <v/>
      </c>
      <c r="AB184" s="892" t="str">
        <f>IF($W184,$W184*TreatyCatch!CB239/SUM(TreatyCatch!$BX239:$BY239,TreatyCatch!$CA239:$CB239),"")</f>
        <v/>
      </c>
      <c r="AC184" s="875" t="str">
        <f>IFERROR(AA184+AB$5*AB184,"")</f>
        <v/>
      </c>
      <c r="AD184" s="969"/>
      <c r="AE184" s="1050" t="str">
        <f>IF($AD184,$AD184*TreatyCatch!CD414/SUM(TreatyCatch!$CD414:$CE414,TreatyCatch!$CG414:$CH414),"")</f>
        <v/>
      </c>
      <c r="AF184" s="1051" t="str">
        <f>IF($AD184,$AD184*TreatyCatch!CE414/SUM(TreatyCatch!$CD414:$CE414,TreatyCatch!$CG414:$CH414),"")</f>
        <v/>
      </c>
      <c r="AG184" s="1052" t="str">
        <f>IFERROR(AE184+AI$5*AF184,"")</f>
        <v/>
      </c>
      <c r="AH184" s="1053" t="str">
        <f>IF($AD184,$AD184*TreatyCatch!CG414/SUM(TreatyCatch!$CD414:CE414,TreatyCatch!$CG414:$CH414),"")</f>
        <v/>
      </c>
      <c r="AI184" s="1053" t="str">
        <f>IF($AD184,$AD184*TreatyCatch!CH414/SUM(TreatyCatch!$CD414:CF414,TreatyCatch!$CG414:$CH414),"")</f>
        <v/>
      </c>
      <c r="AJ184" s="1055" t="str">
        <f>IFERROR(AH184+AI$5*AI184,"")</f>
        <v/>
      </c>
      <c r="AK184" s="969"/>
      <c r="AL184" s="850"/>
      <c r="AM184" s="851"/>
      <c r="AN184" s="845"/>
      <c r="AO184" s="891"/>
      <c r="AP184" s="892"/>
      <c r="AQ184" s="875"/>
      <c r="AR184" s="773"/>
      <c r="AS184" s="880"/>
      <c r="AT184" s="881"/>
      <c r="AU184" s="869"/>
      <c r="AV184" s="863"/>
      <c r="AW184" s="864"/>
      <c r="AX184" s="839"/>
      <c r="AY184" s="773"/>
      <c r="AZ184" s="850"/>
      <c r="BA184" s="851"/>
      <c r="BB184" s="845"/>
      <c r="BC184" s="891"/>
      <c r="BD184" s="892"/>
      <c r="BE184" s="875"/>
      <c r="BF184" s="773"/>
      <c r="BG184" s="880"/>
      <c r="BH184" s="881"/>
      <c r="BI184" s="869"/>
      <c r="BJ184" s="863"/>
      <c r="BK184" s="864"/>
      <c r="BL184" s="839"/>
      <c r="BM184" s="773"/>
      <c r="BN184" s="850"/>
      <c r="BO184" s="851"/>
      <c r="BP184" s="845"/>
      <c r="BQ184" s="891"/>
      <c r="BR184" s="892"/>
      <c r="BS184" s="875"/>
      <c r="BT184" s="773"/>
      <c r="BU184" s="880"/>
      <c r="BV184" s="881"/>
      <c r="BW184" s="869"/>
      <c r="BX184" s="863"/>
      <c r="BY184" s="864"/>
      <c r="BZ184" s="839"/>
      <c r="CA184" s="773"/>
      <c r="CB184" s="850"/>
      <c r="CC184" s="851"/>
      <c r="CD184" s="845"/>
      <c r="CE184" s="891"/>
      <c r="CF184" s="892"/>
      <c r="CG184" s="875"/>
      <c r="CH184" s="773"/>
      <c r="CI184" s="880"/>
      <c r="CJ184" s="881"/>
      <c r="CK184" s="869"/>
      <c r="CL184" s="863"/>
      <c r="CM184" s="864"/>
      <c r="CN184" s="839"/>
    </row>
    <row r="185" spans="1:92" x14ac:dyDescent="0.25">
      <c r="A185" s="757">
        <v>2</v>
      </c>
      <c r="B185" s="765"/>
      <c r="C185" s="870" t="str">
        <f>IF($B185,$B185*TreatyCatch!BF240/SUM(TreatyCatch!$BF240:$BG240,TreatyCatch!$BI240:$BJ240),"")</f>
        <v/>
      </c>
      <c r="D185" s="870" t="str">
        <f>IF($B185,$B185*TreatyCatch!BG240/SUM(TreatyCatch!$BF240:$BG240,TreatyCatch!$BI240:$BJ240),"")</f>
        <v/>
      </c>
      <c r="E185" s="871" t="str">
        <f t="shared" ref="E185:E200" si="82">IFERROR(C185+0.0661*D185,"")</f>
        <v/>
      </c>
      <c r="F185" s="838" t="str">
        <f>IF($B185,$B185*TreatyCatch!BI240/SUM(TreatyCatch!$BF240:$BG240,TreatyCatch!$BI240:$BJ240),"")</f>
        <v/>
      </c>
      <c r="G185" s="866" t="str">
        <f>IF($B185,$B185*TreatyCatch!BJ240/SUM(TreatyCatch!$BF240:$BG240,TreatyCatch!$BI240:$BJ240),"")</f>
        <v/>
      </c>
      <c r="H185" s="840" t="str">
        <f t="shared" ref="H185:H209" si="83">IFERROR(F185+0.0661*G185,"")</f>
        <v/>
      </c>
      <c r="I185" s="765"/>
      <c r="J185" s="852" t="str">
        <f>IF($I185,$I185*TreatyCatch!BL240/SUM(TreatyCatch!$BL240:$BM240,TreatyCatch!$BO240:$BP240),"")</f>
        <v/>
      </c>
      <c r="K185" s="853" t="str">
        <f>IF($I185,$I185*TreatyCatch!BM240/SUM(TreatyCatch!$BL240:$BM240,TreatyCatch!$BO240:$BP240),"")</f>
        <v/>
      </c>
      <c r="L185" s="846" t="str">
        <f t="shared" si="80"/>
        <v/>
      </c>
      <c r="M185" s="893" t="str">
        <f>IF($I185,$I185*TreatyCatch!BO240/SUM(TreatyCatch!$BL240:$BM240,TreatyCatch!$BO240:$BP240),"")</f>
        <v/>
      </c>
      <c r="N185" s="894" t="str">
        <f>IF($I185,$I185*TreatyCatch!BP240/SUM(TreatyCatch!$BL240:$BM240,TreatyCatch!$BO30:$BP240),"")</f>
        <v/>
      </c>
      <c r="O185" s="877" t="str">
        <f t="shared" si="81"/>
        <v/>
      </c>
      <c r="P185" s="765"/>
      <c r="Q185" s="882" t="str">
        <f>IF($P185,$P185*TreatyCatch!BR240/SUM(TreatyCatch!$BR240:$BS240,TreatyCatch!$BU240:$BV240),"")</f>
        <v/>
      </c>
      <c r="R185" s="883" t="str">
        <f>IF($P185,$P185*TreatyCatch!BS240/SUM(TreatyCatch!$BR240:$BS240,TreatyCatch!$BU240:$BV240),"")</f>
        <v/>
      </c>
      <c r="S185" s="871" t="str">
        <f t="shared" ref="S185:S200" si="84">IFERROR(Q185+U$5*R185,"")</f>
        <v/>
      </c>
      <c r="T185" s="858" t="str">
        <f>IF($P185,$P185*TreatyCatch!BU240/SUM(TreatyCatch!$BR240:$BS240,TreatyCatch!$BU240:$BV240),"")</f>
        <v/>
      </c>
      <c r="U185" s="859" t="str">
        <f>IF($P185,$P185*TreatyCatch!BV240/SUM(TreatyCatch!$BR240:$BS240,TreatyCatch!$BU240:$BV240),"")</f>
        <v/>
      </c>
      <c r="V185" s="840" t="str">
        <f t="shared" ref="V185:V209" si="85">IFERROR(T185+U$5*U185,"")</f>
        <v/>
      </c>
      <c r="W185" s="958"/>
      <c r="X185" s="852" t="str">
        <f>IF($W185,$W185*TreatyCatch!BX240/SUM(TreatyCatch!$BX240:$BY240,TreatyCatch!$CA240:$CB240),"")</f>
        <v/>
      </c>
      <c r="Y185" s="853" t="str">
        <f>IF($W185,$W185*TreatyCatch!BY240/SUM(TreatyCatch!$BX240:$BY240,TreatyCatch!$CA240:$CB240),"")</f>
        <v/>
      </c>
      <c r="Z185" s="846" t="str">
        <f t="shared" ref="Z185:Z200" si="86">IFERROR(X185+AB$5*Y185,"")</f>
        <v/>
      </c>
      <c r="AA185" s="893" t="str">
        <f>IF($W185,$W185*TreatyCatch!CA240/SUM(TreatyCatch!$BX240:$BY240,TreatyCatch!$CA240:$CB240),"")</f>
        <v/>
      </c>
      <c r="AB185" s="894" t="str">
        <f>IF($W185,$W185*TreatyCatch!CB240/SUM(TreatyCatch!$BX240:$BY240,TreatyCatch!$CA240:$CB240),"")</f>
        <v/>
      </c>
      <c r="AC185" s="877" t="str">
        <f t="shared" ref="AC185:AC209" si="87">IFERROR(AA185+AB$5*AB185,"")</f>
        <v/>
      </c>
      <c r="AD185" s="958"/>
      <c r="AE185" s="1056" t="str">
        <f>IF($AD185,$AD185*TreatyCatch!CD415/SUM(TreatyCatch!$CD415:$CE415,TreatyCatch!$CG415:$CH415),"")</f>
        <v/>
      </c>
      <c r="AF185" s="1057" t="str">
        <f>IF($AD185,$AD185*TreatyCatch!CE415/SUM(TreatyCatch!$CD415:$CE415,TreatyCatch!$CG415:$CH415),"")</f>
        <v/>
      </c>
      <c r="AG185" s="1058" t="str">
        <f t="shared" ref="AG185:AG200" si="88">IFERROR(AE185+AI$5*AF185,"")</f>
        <v/>
      </c>
      <c r="AH185" s="1059" t="str">
        <f>IF($AD185,$AD185*TreatyCatch!CG415/SUM(TreatyCatch!$CD415:CE415,TreatyCatch!$CG415:$CH415),"")</f>
        <v/>
      </c>
      <c r="AI185" s="1060" t="str">
        <f>IF($AD185,$AD185*TreatyCatch!CH415/SUM(TreatyCatch!$CD415:CF415,TreatyCatch!$CG415:$CH415),"")</f>
        <v/>
      </c>
      <c r="AJ185" s="1061" t="str">
        <f t="shared" ref="AJ185:AJ209" si="89">IFERROR(AH185+AI$5*AI185,"")</f>
        <v/>
      </c>
      <c r="AK185" s="958"/>
      <c r="AL185" s="852"/>
      <c r="AM185" s="853"/>
      <c r="AN185" s="846"/>
      <c r="AO185" s="893"/>
      <c r="AP185" s="894"/>
      <c r="AQ185" s="877"/>
      <c r="AR185" s="765"/>
      <c r="AS185" s="882"/>
      <c r="AT185" s="883"/>
      <c r="AU185" s="871"/>
      <c r="AV185" s="858"/>
      <c r="AW185" s="859"/>
      <c r="AX185" s="840"/>
      <c r="AY185" s="765"/>
      <c r="AZ185" s="852"/>
      <c r="BA185" s="853"/>
      <c r="BB185" s="846"/>
      <c r="BC185" s="893"/>
      <c r="BD185" s="894"/>
      <c r="BE185" s="877"/>
      <c r="BF185" s="765"/>
      <c r="BG185" s="882"/>
      <c r="BH185" s="883"/>
      <c r="BI185" s="871"/>
      <c r="BJ185" s="858"/>
      <c r="BK185" s="859"/>
      <c r="BL185" s="840"/>
      <c r="BM185" s="765"/>
      <c r="BN185" s="852"/>
      <c r="BO185" s="853"/>
      <c r="BP185" s="846"/>
      <c r="BQ185" s="893"/>
      <c r="BR185" s="894"/>
      <c r="BS185" s="877"/>
      <c r="BT185" s="765"/>
      <c r="BU185" s="882"/>
      <c r="BV185" s="883"/>
      <c r="BW185" s="871"/>
      <c r="BX185" s="858"/>
      <c r="BY185" s="859"/>
      <c r="BZ185" s="840"/>
      <c r="CA185" s="765"/>
      <c r="CB185" s="852"/>
      <c r="CC185" s="853"/>
      <c r="CD185" s="846"/>
      <c r="CE185" s="893"/>
      <c r="CF185" s="894"/>
      <c r="CG185" s="877"/>
      <c r="CH185" s="765"/>
      <c r="CI185" s="882"/>
      <c r="CJ185" s="883"/>
      <c r="CK185" s="871"/>
      <c r="CL185" s="858"/>
      <c r="CM185" s="859"/>
      <c r="CN185" s="840"/>
    </row>
    <row r="186" spans="1:92" x14ac:dyDescent="0.25">
      <c r="A186" s="757">
        <v>3</v>
      </c>
      <c r="B186" s="765"/>
      <c r="C186" s="870" t="str">
        <f>IF($B186,$B186*TreatyCatch!BF241/SUM(TreatyCatch!$BF241:$BG241,TreatyCatch!$BI241:$BJ241),"")</f>
        <v/>
      </c>
      <c r="D186" s="870" t="str">
        <f>IF($B186,$B186*TreatyCatch!BG241/SUM(TreatyCatch!$BF241:$BG241,TreatyCatch!$BI241:$BJ241),"")</f>
        <v/>
      </c>
      <c r="E186" s="871" t="str">
        <f t="shared" si="82"/>
        <v/>
      </c>
      <c r="F186" s="838" t="str">
        <f>IF($B186,$B186*TreatyCatch!BI241/SUM(TreatyCatch!$BF241:$BG241,TreatyCatch!$BI241:$BJ241),"")</f>
        <v/>
      </c>
      <c r="G186" s="866" t="str">
        <f>IF($B186,$B186*TreatyCatch!BJ241/SUM(TreatyCatch!$BF241:$BG241,TreatyCatch!$BI241:$BJ241),"")</f>
        <v/>
      </c>
      <c r="H186" s="840" t="str">
        <f t="shared" si="83"/>
        <v/>
      </c>
      <c r="I186" s="765"/>
      <c r="J186" s="852" t="str">
        <f>IF($I186,$I186*TreatyCatch!BL241/SUM(TreatyCatch!$BL241:$BM241,TreatyCatch!$BO241:$BP241),"")</f>
        <v/>
      </c>
      <c r="K186" s="853" t="str">
        <f>IF($I186,$I186*TreatyCatch!BM241/SUM(TreatyCatch!$BL241:$BM241,TreatyCatch!$BO241:$BP241),"")</f>
        <v/>
      </c>
      <c r="L186" s="846" t="str">
        <f t="shared" si="80"/>
        <v/>
      </c>
      <c r="M186" s="893" t="str">
        <f>IF($I186,$I186*TreatyCatch!BO241/SUM(TreatyCatch!$BL241:$BM241,TreatyCatch!$BO241:$BP241),"")</f>
        <v/>
      </c>
      <c r="N186" s="894" t="str">
        <f>IF($I186,$I186*TreatyCatch!BP241/SUM(TreatyCatch!$BL241:$BM241,TreatyCatch!$BO31:$BP241),"")</f>
        <v/>
      </c>
      <c r="O186" s="877" t="str">
        <f t="shared" si="81"/>
        <v/>
      </c>
      <c r="P186" s="765"/>
      <c r="Q186" s="882" t="str">
        <f>IF($P186,$P186*TreatyCatch!BR241/SUM(TreatyCatch!$BR241:$BS241,TreatyCatch!$BU241:$BV241),"")</f>
        <v/>
      </c>
      <c r="R186" s="883" t="str">
        <f>IF($P186,$P186*TreatyCatch!BS241/SUM(TreatyCatch!$BR241:$BS241,TreatyCatch!$BU241:$BV241),"")</f>
        <v/>
      </c>
      <c r="S186" s="871" t="str">
        <f t="shared" si="84"/>
        <v/>
      </c>
      <c r="T186" s="858" t="str">
        <f>IF($P186,$P186*TreatyCatch!BU241/SUM(TreatyCatch!$BR241:$BS241,TreatyCatch!$BU241:$BV241),"")</f>
        <v/>
      </c>
      <c r="U186" s="859" t="str">
        <f>IF($P186,$P186*TreatyCatch!BV241/SUM(TreatyCatch!$BR241:$BS241,TreatyCatch!$BU241:$BV241),"")</f>
        <v/>
      </c>
      <c r="V186" s="840" t="str">
        <f t="shared" si="85"/>
        <v/>
      </c>
      <c r="W186" s="958"/>
      <c r="X186" s="852" t="str">
        <f>IF($W186,$W186*TreatyCatch!BX241/SUM(TreatyCatch!$BX241:$BY241,TreatyCatch!$CA241:$CB241),"")</f>
        <v/>
      </c>
      <c r="Y186" s="853" t="str">
        <f>IF($W186,$W186*TreatyCatch!BY241/SUM(TreatyCatch!$BX241:$BY241,TreatyCatch!$CA241:$CB241),"")</f>
        <v/>
      </c>
      <c r="Z186" s="846" t="str">
        <f t="shared" si="86"/>
        <v/>
      </c>
      <c r="AA186" s="893" t="str">
        <f>IF($W186,$W186*TreatyCatch!CA241/SUM(TreatyCatch!$BX241:$BY241,TreatyCatch!$CA241:$CB241),"")</f>
        <v/>
      </c>
      <c r="AB186" s="894" t="str">
        <f>IF($W186,$W186*TreatyCatch!CB241/SUM(TreatyCatch!$BX241:$BY241,TreatyCatch!$CA241:$CB241),"")</f>
        <v/>
      </c>
      <c r="AC186" s="877" t="str">
        <f t="shared" si="87"/>
        <v/>
      </c>
      <c r="AD186" s="958"/>
      <c r="AE186" s="1056" t="str">
        <f>IF($AD186,$AD186*TreatyCatch!CD416/SUM(TreatyCatch!$CD416:$CE416,TreatyCatch!$CG416:$CH416),"")</f>
        <v/>
      </c>
      <c r="AF186" s="1057" t="str">
        <f>IF($AD186,$AD186*TreatyCatch!CE416/SUM(TreatyCatch!$CD416:$CE416,TreatyCatch!$CG416:$CH416),"")</f>
        <v/>
      </c>
      <c r="AG186" s="1058" t="str">
        <f t="shared" si="88"/>
        <v/>
      </c>
      <c r="AH186" s="1059" t="str">
        <f>IF($AD186,$AD186*TreatyCatch!CG416/SUM(TreatyCatch!$CD416:CE416,TreatyCatch!$CG416:$CH416),"")</f>
        <v/>
      </c>
      <c r="AI186" s="1060" t="str">
        <f>IF($AD186,$AD186*TreatyCatch!CH416/SUM(TreatyCatch!$CD416:CF416,TreatyCatch!$CG416:$CH416),"")</f>
        <v/>
      </c>
      <c r="AJ186" s="1061" t="str">
        <f t="shared" si="89"/>
        <v/>
      </c>
      <c r="AK186" s="958"/>
      <c r="AL186" s="852"/>
      <c r="AM186" s="853"/>
      <c r="AN186" s="846"/>
      <c r="AO186" s="893"/>
      <c r="AP186" s="894"/>
      <c r="AQ186" s="877"/>
      <c r="AR186" s="765"/>
      <c r="AS186" s="882"/>
      <c r="AT186" s="883"/>
      <c r="AU186" s="871"/>
      <c r="AV186" s="858"/>
      <c r="AW186" s="859"/>
      <c r="AX186" s="840"/>
      <c r="AY186" s="765"/>
      <c r="AZ186" s="852"/>
      <c r="BA186" s="853"/>
      <c r="BB186" s="846"/>
      <c r="BC186" s="893"/>
      <c r="BD186" s="894"/>
      <c r="BE186" s="877"/>
      <c r="BF186" s="765"/>
      <c r="BG186" s="882"/>
      <c r="BH186" s="883"/>
      <c r="BI186" s="871"/>
      <c r="BJ186" s="858"/>
      <c r="BK186" s="859"/>
      <c r="BL186" s="840"/>
      <c r="BM186" s="765"/>
      <c r="BN186" s="852"/>
      <c r="BO186" s="853"/>
      <c r="BP186" s="846"/>
      <c r="BQ186" s="893"/>
      <c r="BR186" s="894"/>
      <c r="BS186" s="877"/>
      <c r="BT186" s="765"/>
      <c r="BU186" s="882"/>
      <c r="BV186" s="883"/>
      <c r="BW186" s="871"/>
      <c r="BX186" s="858"/>
      <c r="BY186" s="859"/>
      <c r="BZ186" s="840"/>
      <c r="CA186" s="765"/>
      <c r="CB186" s="852"/>
      <c r="CC186" s="853"/>
      <c r="CD186" s="846"/>
      <c r="CE186" s="893"/>
      <c r="CF186" s="894"/>
      <c r="CG186" s="877"/>
      <c r="CH186" s="765"/>
      <c r="CI186" s="882"/>
      <c r="CJ186" s="883"/>
      <c r="CK186" s="871"/>
      <c r="CL186" s="858"/>
      <c r="CM186" s="859"/>
      <c r="CN186" s="840"/>
    </row>
    <row r="187" spans="1:92" x14ac:dyDescent="0.25">
      <c r="A187" s="757">
        <v>4</v>
      </c>
      <c r="B187" s="765"/>
      <c r="C187" s="870" t="str">
        <f>IF($B187,$B187*TreatyCatch!BF242/SUM(TreatyCatch!$BF242:$BG242,TreatyCatch!$BI242:$BJ242),"")</f>
        <v/>
      </c>
      <c r="D187" s="870" t="str">
        <f>IF($B187,$B187*TreatyCatch!BG242/SUM(TreatyCatch!$BF242:$BG242,TreatyCatch!$BI242:$BJ242),"")</f>
        <v/>
      </c>
      <c r="E187" s="871" t="str">
        <f t="shared" si="82"/>
        <v/>
      </c>
      <c r="F187" s="838" t="str">
        <f>IF($B187,$B187*TreatyCatch!BI242/SUM(TreatyCatch!$BF242:$BG242,TreatyCatch!$BI242:$BJ242),"")</f>
        <v/>
      </c>
      <c r="G187" s="866" t="str">
        <f>IF($B187,$B187*TreatyCatch!BJ242/SUM(TreatyCatch!$BF242:$BG242,TreatyCatch!$BI242:$BJ242),"")</f>
        <v/>
      </c>
      <c r="H187" s="840" t="str">
        <f t="shared" si="83"/>
        <v/>
      </c>
      <c r="I187" s="765"/>
      <c r="J187" s="852" t="str">
        <f>IF($I187,$I187*TreatyCatch!BL242/SUM(TreatyCatch!$BL242:$BM242,TreatyCatch!$BO242:$BP242),"")</f>
        <v/>
      </c>
      <c r="K187" s="853" t="str">
        <f>IF($I187,$I187*TreatyCatch!BM242/SUM(TreatyCatch!$BL242:$BM242,TreatyCatch!$BO242:$BP242),"")</f>
        <v/>
      </c>
      <c r="L187" s="846" t="str">
        <f t="shared" si="80"/>
        <v/>
      </c>
      <c r="M187" s="893" t="str">
        <f>IF($I187,$I187*TreatyCatch!BO242/SUM(TreatyCatch!$BL242:$BM242,TreatyCatch!$BO242:$BP242),"")</f>
        <v/>
      </c>
      <c r="N187" s="894" t="str">
        <f>IF($I187,$I187*TreatyCatch!BP242/SUM(TreatyCatch!$BL242:$BM242,TreatyCatch!$BO32:$BP242),"")</f>
        <v/>
      </c>
      <c r="O187" s="877" t="str">
        <f t="shared" si="81"/>
        <v/>
      </c>
      <c r="P187" s="765"/>
      <c r="Q187" s="882" t="str">
        <f>IF($P187,$P187*TreatyCatch!BR242/SUM(TreatyCatch!$BR242:$BS242,TreatyCatch!$BU242:$BV242),"")</f>
        <v/>
      </c>
      <c r="R187" s="883" t="str">
        <f>IF($P187,$P187*TreatyCatch!BS242/SUM(TreatyCatch!$BR242:$BS242,TreatyCatch!$BU242:$BV242),"")</f>
        <v/>
      </c>
      <c r="S187" s="871" t="str">
        <f t="shared" si="84"/>
        <v/>
      </c>
      <c r="T187" s="858" t="str">
        <f>IF($P187,$P187*TreatyCatch!BU242/SUM(TreatyCatch!$BR242:$BS242,TreatyCatch!$BU242:$BV242),"")</f>
        <v/>
      </c>
      <c r="U187" s="859" t="str">
        <f>IF($P187,$P187*TreatyCatch!BV242/SUM(TreatyCatch!$BR242:$BS242,TreatyCatch!$BU242:$BV242),"")</f>
        <v/>
      </c>
      <c r="V187" s="840" t="str">
        <f t="shared" si="85"/>
        <v/>
      </c>
      <c r="W187" s="958"/>
      <c r="X187" s="852" t="str">
        <f>IF($W187,$W187*TreatyCatch!BX242/SUM(TreatyCatch!$BX242:$BY242,TreatyCatch!$CA242:$CB242),"")</f>
        <v/>
      </c>
      <c r="Y187" s="853" t="str">
        <f>IF($W187,$W187*TreatyCatch!BY242/SUM(TreatyCatch!$BX242:$BY242,TreatyCatch!$CA242:$CB242),"")</f>
        <v/>
      </c>
      <c r="Z187" s="846" t="str">
        <f t="shared" si="86"/>
        <v/>
      </c>
      <c r="AA187" s="893" t="str">
        <f>IF($W187,$W187*TreatyCatch!CA242/SUM(TreatyCatch!$BX242:$BY242,TreatyCatch!$CA242:$CB242),"")</f>
        <v/>
      </c>
      <c r="AB187" s="894" t="str">
        <f>IF($W187,$W187*TreatyCatch!CB242/SUM(TreatyCatch!$BX242:$BY242,TreatyCatch!$CA242:$CB242),"")</f>
        <v/>
      </c>
      <c r="AC187" s="877" t="str">
        <f t="shared" si="87"/>
        <v/>
      </c>
      <c r="AD187" s="958"/>
      <c r="AE187" s="1056" t="str">
        <f>IF($AD187,$AD187*TreatyCatch!CD417/SUM(TreatyCatch!$CD417:$CE417,TreatyCatch!$CG417:$CH417),"")</f>
        <v/>
      </c>
      <c r="AF187" s="1057" t="str">
        <f>IF($AD187,$AD187*TreatyCatch!CE417/SUM(TreatyCatch!$CD417:$CE417,TreatyCatch!$CG417:$CH417),"")</f>
        <v/>
      </c>
      <c r="AG187" s="1058" t="str">
        <f t="shared" si="88"/>
        <v/>
      </c>
      <c r="AH187" s="1059" t="str">
        <f>IF($AD187,$AD187*TreatyCatch!CG417/SUM(TreatyCatch!$CD417:CE417,TreatyCatch!$CG417:$CH417),"")</f>
        <v/>
      </c>
      <c r="AI187" s="1060" t="str">
        <f>IF($AD187,$AD187*TreatyCatch!CH417/SUM(TreatyCatch!$CD417:CF417,TreatyCatch!$CG417:$CH417),"")</f>
        <v/>
      </c>
      <c r="AJ187" s="1061" t="str">
        <f t="shared" si="89"/>
        <v/>
      </c>
      <c r="AK187" s="958"/>
      <c r="AL187" s="852"/>
      <c r="AM187" s="853"/>
      <c r="AN187" s="846"/>
      <c r="AO187" s="893"/>
      <c r="AP187" s="894"/>
      <c r="AQ187" s="877"/>
      <c r="AR187" s="765"/>
      <c r="AS187" s="882"/>
      <c r="AT187" s="883"/>
      <c r="AU187" s="871"/>
      <c r="AV187" s="858"/>
      <c r="AW187" s="859"/>
      <c r="AX187" s="840"/>
      <c r="AY187" s="765"/>
      <c r="AZ187" s="852"/>
      <c r="BA187" s="853"/>
      <c r="BB187" s="846"/>
      <c r="BC187" s="893"/>
      <c r="BD187" s="894"/>
      <c r="BE187" s="877"/>
      <c r="BF187" s="765"/>
      <c r="BG187" s="882"/>
      <c r="BH187" s="883"/>
      <c r="BI187" s="871"/>
      <c r="BJ187" s="858"/>
      <c r="BK187" s="859"/>
      <c r="BL187" s="840"/>
      <c r="BM187" s="765"/>
      <c r="BN187" s="852"/>
      <c r="BO187" s="853"/>
      <c r="BP187" s="846"/>
      <c r="BQ187" s="893"/>
      <c r="BR187" s="894"/>
      <c r="BS187" s="877"/>
      <c r="BT187" s="765"/>
      <c r="BU187" s="882"/>
      <c r="BV187" s="883"/>
      <c r="BW187" s="871"/>
      <c r="BX187" s="858"/>
      <c r="BY187" s="859"/>
      <c r="BZ187" s="840"/>
      <c r="CA187" s="765"/>
      <c r="CB187" s="852"/>
      <c r="CC187" s="853"/>
      <c r="CD187" s="846"/>
      <c r="CE187" s="893"/>
      <c r="CF187" s="894"/>
      <c r="CG187" s="877"/>
      <c r="CH187" s="765"/>
      <c r="CI187" s="882"/>
      <c r="CJ187" s="883"/>
      <c r="CK187" s="871"/>
      <c r="CL187" s="858"/>
      <c r="CM187" s="859"/>
      <c r="CN187" s="840"/>
    </row>
    <row r="188" spans="1:92" x14ac:dyDescent="0.25">
      <c r="A188" s="757">
        <v>5</v>
      </c>
      <c r="B188" s="765"/>
      <c r="C188" s="870" t="str">
        <f>IF($B188,$B188*TreatyCatch!BF243/SUM(TreatyCatch!$BF243:$BG243,TreatyCatch!$BI243:$BJ243),"")</f>
        <v/>
      </c>
      <c r="D188" s="870" t="str">
        <f>IF($B188,$B188*TreatyCatch!BG243/SUM(TreatyCatch!$BF243:$BG243,TreatyCatch!$BI243:$BJ243),"")</f>
        <v/>
      </c>
      <c r="E188" s="871" t="str">
        <f t="shared" si="82"/>
        <v/>
      </c>
      <c r="F188" s="838" t="str">
        <f>IF($B188,$B188*TreatyCatch!BI243/SUM(TreatyCatch!$BF243:$BG243,TreatyCatch!$BI243:$BJ243),"")</f>
        <v/>
      </c>
      <c r="G188" s="866" t="str">
        <f>IF($B188,$B188*TreatyCatch!BJ243/SUM(TreatyCatch!$BF243:$BG243,TreatyCatch!$BI243:$BJ243),"")</f>
        <v/>
      </c>
      <c r="H188" s="840" t="str">
        <f t="shared" si="83"/>
        <v/>
      </c>
      <c r="I188" s="765"/>
      <c r="J188" s="852" t="str">
        <f>IF($I188,$I188*TreatyCatch!BL243/SUM(TreatyCatch!$BL243:$BM243,TreatyCatch!$BO243:$BP243),"")</f>
        <v/>
      </c>
      <c r="K188" s="853" t="str">
        <f>IF($I188,$I188*TreatyCatch!BM243/SUM(TreatyCatch!$BL243:$BM243,TreatyCatch!$BO243:$BP243),"")</f>
        <v/>
      </c>
      <c r="L188" s="846" t="str">
        <f t="shared" si="80"/>
        <v/>
      </c>
      <c r="M188" s="893" t="str">
        <f>IF($I188,$I188*TreatyCatch!BO243/SUM(TreatyCatch!$BL243:$BM243,TreatyCatch!$BO243:$BP243),"")</f>
        <v/>
      </c>
      <c r="N188" s="894" t="str">
        <f>IF($I188,$I188*TreatyCatch!BP243/SUM(TreatyCatch!$BL243:$BM243,TreatyCatch!$BO33:$BP243),"")</f>
        <v/>
      </c>
      <c r="O188" s="877" t="str">
        <f t="shared" si="81"/>
        <v/>
      </c>
      <c r="P188" s="765"/>
      <c r="Q188" s="882" t="str">
        <f>IF($P188,$P188*TreatyCatch!BR243/SUM(TreatyCatch!$BR243:$BS243,TreatyCatch!$BU243:$BV243),"")</f>
        <v/>
      </c>
      <c r="R188" s="883" t="str">
        <f>IF($P188,$P188*TreatyCatch!BS243/SUM(TreatyCatch!$BR243:$BS243,TreatyCatch!$BU243:$BV243),"")</f>
        <v/>
      </c>
      <c r="S188" s="871" t="str">
        <f t="shared" si="84"/>
        <v/>
      </c>
      <c r="T188" s="858" t="str">
        <f>IF($P188,$P188*TreatyCatch!BU243/SUM(TreatyCatch!$BR243:$BS243,TreatyCatch!$BU243:$BV243),"")</f>
        <v/>
      </c>
      <c r="U188" s="859" t="str">
        <f>IF($P188,$P188*TreatyCatch!BV243/SUM(TreatyCatch!$BR243:$BS243,TreatyCatch!$BU243:$BV243),"")</f>
        <v/>
      </c>
      <c r="V188" s="840" t="str">
        <f t="shared" si="85"/>
        <v/>
      </c>
      <c r="W188" s="958"/>
      <c r="X188" s="852" t="str">
        <f>IF($W188,$W188*TreatyCatch!BX243/SUM(TreatyCatch!$BX243:$BY243,TreatyCatch!$CA243:$CB243),"")</f>
        <v/>
      </c>
      <c r="Y188" s="853" t="str">
        <f>IF($W188,$W188*TreatyCatch!BY243/SUM(TreatyCatch!$BX243:$BY243,TreatyCatch!$CA243:$CB243),"")</f>
        <v/>
      </c>
      <c r="Z188" s="846" t="str">
        <f t="shared" si="86"/>
        <v/>
      </c>
      <c r="AA188" s="893" t="str">
        <f>IF($W188,$W188*TreatyCatch!CA243/SUM(TreatyCatch!$BX243:$BY243,TreatyCatch!$CA243:$CB243),"")</f>
        <v/>
      </c>
      <c r="AB188" s="894" t="str">
        <f>IF($W188,$W188*TreatyCatch!CB243/SUM(TreatyCatch!$BX243:$BY243,TreatyCatch!$CA243:$CB243),"")</f>
        <v/>
      </c>
      <c r="AC188" s="877" t="str">
        <f t="shared" si="87"/>
        <v/>
      </c>
      <c r="AD188" s="958"/>
      <c r="AE188" s="1056" t="str">
        <f>IF($AD188,$AD188*TreatyCatch!CD418/SUM(TreatyCatch!$CD418:$CE418,TreatyCatch!$CG418:$CH418),"")</f>
        <v/>
      </c>
      <c r="AF188" s="1057" t="str">
        <f>IF($AD188,$AD188*TreatyCatch!CE418/SUM(TreatyCatch!$CD418:$CE418,TreatyCatch!$CG418:$CH418),"")</f>
        <v/>
      </c>
      <c r="AG188" s="1058" t="str">
        <f t="shared" si="88"/>
        <v/>
      </c>
      <c r="AH188" s="1059" t="str">
        <f>IF($AD188,$AD188*TreatyCatch!CG418/SUM(TreatyCatch!$CD418:CE418,TreatyCatch!$CG418:$CH418),"")</f>
        <v/>
      </c>
      <c r="AI188" s="1060" t="str">
        <f>IF($AD188,$AD188*TreatyCatch!CH418/SUM(TreatyCatch!$CD418:CF418,TreatyCatch!$CG418:$CH418),"")</f>
        <v/>
      </c>
      <c r="AJ188" s="1061" t="str">
        <f t="shared" si="89"/>
        <v/>
      </c>
      <c r="AK188" s="958"/>
      <c r="AL188" s="852"/>
      <c r="AM188" s="853"/>
      <c r="AN188" s="846"/>
      <c r="AO188" s="893"/>
      <c r="AP188" s="894"/>
      <c r="AQ188" s="877"/>
      <c r="AR188" s="765"/>
      <c r="AS188" s="882"/>
      <c r="AT188" s="883"/>
      <c r="AU188" s="871"/>
      <c r="AV188" s="858"/>
      <c r="AW188" s="859"/>
      <c r="AX188" s="840"/>
      <c r="AY188" s="765"/>
      <c r="AZ188" s="852"/>
      <c r="BA188" s="853"/>
      <c r="BB188" s="846"/>
      <c r="BC188" s="893"/>
      <c r="BD188" s="894"/>
      <c r="BE188" s="877"/>
      <c r="BF188" s="765"/>
      <c r="BG188" s="882"/>
      <c r="BH188" s="883"/>
      <c r="BI188" s="871"/>
      <c r="BJ188" s="858"/>
      <c r="BK188" s="859"/>
      <c r="BL188" s="840"/>
      <c r="BM188" s="765"/>
      <c r="BN188" s="852"/>
      <c r="BO188" s="853"/>
      <c r="BP188" s="846"/>
      <c r="BQ188" s="893"/>
      <c r="BR188" s="894"/>
      <c r="BS188" s="877"/>
      <c r="BT188" s="765"/>
      <c r="BU188" s="882"/>
      <c r="BV188" s="883"/>
      <c r="BW188" s="871"/>
      <c r="BX188" s="858"/>
      <c r="BY188" s="859"/>
      <c r="BZ188" s="840"/>
      <c r="CA188" s="765"/>
      <c r="CB188" s="852"/>
      <c r="CC188" s="853"/>
      <c r="CD188" s="846"/>
      <c r="CE188" s="893"/>
      <c r="CF188" s="894"/>
      <c r="CG188" s="877"/>
      <c r="CH188" s="765"/>
      <c r="CI188" s="882"/>
      <c r="CJ188" s="883"/>
      <c r="CK188" s="871"/>
      <c r="CL188" s="858"/>
      <c r="CM188" s="859"/>
      <c r="CN188" s="840"/>
    </row>
    <row r="189" spans="1:92" x14ac:dyDescent="0.25">
      <c r="A189" s="757">
        <v>6</v>
      </c>
      <c r="B189" s="765"/>
      <c r="C189" s="870" t="str">
        <f>IF($B189,$B189*TreatyCatch!BF244/SUM(TreatyCatch!$BF244:$BG244,TreatyCatch!$BI244:$BJ244),"")</f>
        <v/>
      </c>
      <c r="D189" s="870" t="str">
        <f>IF($B189,$B189*TreatyCatch!BG244/SUM(TreatyCatch!$BF244:$BG244,TreatyCatch!$BI244:$BJ244),"")</f>
        <v/>
      </c>
      <c r="E189" s="871" t="str">
        <f t="shared" si="82"/>
        <v/>
      </c>
      <c r="F189" s="838" t="str">
        <f>IF($B189,$B189*TreatyCatch!BI244/SUM(TreatyCatch!$BF244:$BG244,TreatyCatch!$BI244:$BJ244),"")</f>
        <v/>
      </c>
      <c r="G189" s="866" t="str">
        <f>IF($B189,$B189*TreatyCatch!BJ244/SUM(TreatyCatch!$BF244:$BG244,TreatyCatch!$BI244:$BJ244),"")</f>
        <v/>
      </c>
      <c r="H189" s="840" t="str">
        <f t="shared" si="83"/>
        <v/>
      </c>
      <c r="I189" s="765"/>
      <c r="J189" s="852" t="str">
        <f>IF($I189,$I189*TreatyCatch!BL244/SUM(TreatyCatch!$BL244:$BM244,TreatyCatch!$BO244:$BP244),"")</f>
        <v/>
      </c>
      <c r="K189" s="853" t="str">
        <f>IF($I189,$I189*TreatyCatch!BM244/SUM(TreatyCatch!$BL244:$BM244,TreatyCatch!$BO244:$BP244),"")</f>
        <v/>
      </c>
      <c r="L189" s="846" t="str">
        <f t="shared" si="80"/>
        <v/>
      </c>
      <c r="M189" s="893" t="str">
        <f>IF($I189,$I189*TreatyCatch!BO244/SUM(TreatyCatch!$BL244:$BM244,TreatyCatch!$BO244:$BP244),"")</f>
        <v/>
      </c>
      <c r="N189" s="894" t="str">
        <f>IF($I189,$I189*TreatyCatch!BP244/SUM(TreatyCatch!$BL244:$BM244,TreatyCatch!$BO34:$BP244),"")</f>
        <v/>
      </c>
      <c r="O189" s="877" t="str">
        <f t="shared" si="81"/>
        <v/>
      </c>
      <c r="P189" s="765"/>
      <c r="Q189" s="882" t="str">
        <f>IF($P189,$P189*TreatyCatch!BR244/SUM(TreatyCatch!$BR244:$BS244,TreatyCatch!$BU244:$BV244),"")</f>
        <v/>
      </c>
      <c r="R189" s="883" t="str">
        <f>IF($P189,$P189*TreatyCatch!BS244/SUM(TreatyCatch!$BR244:$BS244,TreatyCatch!$BU244:$BV244),"")</f>
        <v/>
      </c>
      <c r="S189" s="871" t="str">
        <f t="shared" si="84"/>
        <v/>
      </c>
      <c r="T189" s="858" t="str">
        <f>IF($P189,$P189*TreatyCatch!BU244/SUM(TreatyCatch!$BR244:$BS244,TreatyCatch!$BU244:$BV244),"")</f>
        <v/>
      </c>
      <c r="U189" s="859" t="str">
        <f>IF($P189,$P189*TreatyCatch!BV244/SUM(TreatyCatch!$BR244:$BS244,TreatyCatch!$BU244:$BV244),"")</f>
        <v/>
      </c>
      <c r="V189" s="840" t="str">
        <f t="shared" si="85"/>
        <v/>
      </c>
      <c r="W189" s="958"/>
      <c r="X189" s="852" t="str">
        <f>IF($W189,$W189*TreatyCatch!BX244/SUM(TreatyCatch!$BX244:$BY244,TreatyCatch!$CA244:$CB244),"")</f>
        <v/>
      </c>
      <c r="Y189" s="853" t="str">
        <f>IF($W189,$W189*TreatyCatch!BY244/SUM(TreatyCatch!$BX244:$BY244,TreatyCatch!$CA244:$CB244),"")</f>
        <v/>
      </c>
      <c r="Z189" s="846" t="str">
        <f t="shared" si="86"/>
        <v/>
      </c>
      <c r="AA189" s="893" t="str">
        <f>IF($W189,$W189*TreatyCatch!CA244/SUM(TreatyCatch!$BX244:$BY244,TreatyCatch!$CA244:$CB244),"")</f>
        <v/>
      </c>
      <c r="AB189" s="894" t="str">
        <f>IF($W189,$W189*TreatyCatch!CB244/SUM(TreatyCatch!$BX244:$BY244,TreatyCatch!$CA244:$CB244),"")</f>
        <v/>
      </c>
      <c r="AC189" s="877" t="str">
        <f t="shared" si="87"/>
        <v/>
      </c>
      <c r="AD189" s="958"/>
      <c r="AE189" s="1056" t="str">
        <f>IF($AD189,$AD189*TreatyCatch!CD419/SUM(TreatyCatch!$CD419:$CE419,TreatyCatch!$CG419:$CH419),"")</f>
        <v/>
      </c>
      <c r="AF189" s="1057" t="str">
        <f>IF($AD189,$AD189*TreatyCatch!CE419/SUM(TreatyCatch!$CD419:$CE419,TreatyCatch!$CG419:$CH419),"")</f>
        <v/>
      </c>
      <c r="AG189" s="1058" t="str">
        <f t="shared" si="88"/>
        <v/>
      </c>
      <c r="AH189" s="1059" t="str">
        <f>IF($AD189,$AD189*TreatyCatch!CG419/SUM(TreatyCatch!$CD419:CE419,TreatyCatch!$CG419:$CH419),"")</f>
        <v/>
      </c>
      <c r="AI189" s="1060" t="str">
        <f>IF($AD189,$AD189*TreatyCatch!CH419/SUM(TreatyCatch!$CD419:CF419,TreatyCatch!$CG419:$CH419),"")</f>
        <v/>
      </c>
      <c r="AJ189" s="1061" t="str">
        <f t="shared" si="89"/>
        <v/>
      </c>
      <c r="AK189" s="958"/>
      <c r="AL189" s="852"/>
      <c r="AM189" s="853"/>
      <c r="AN189" s="846"/>
      <c r="AO189" s="893"/>
      <c r="AP189" s="894"/>
      <c r="AQ189" s="877"/>
      <c r="AR189" s="765"/>
      <c r="AS189" s="882"/>
      <c r="AT189" s="883"/>
      <c r="AU189" s="871"/>
      <c r="AV189" s="858"/>
      <c r="AW189" s="859"/>
      <c r="AX189" s="840"/>
      <c r="AY189" s="765"/>
      <c r="AZ189" s="852"/>
      <c r="BA189" s="853"/>
      <c r="BB189" s="846"/>
      <c r="BC189" s="893"/>
      <c r="BD189" s="894"/>
      <c r="BE189" s="877"/>
      <c r="BF189" s="765"/>
      <c r="BG189" s="882"/>
      <c r="BH189" s="883"/>
      <c r="BI189" s="871"/>
      <c r="BJ189" s="858"/>
      <c r="BK189" s="859"/>
      <c r="BL189" s="840"/>
      <c r="BM189" s="765"/>
      <c r="BN189" s="852"/>
      <c r="BO189" s="853"/>
      <c r="BP189" s="846"/>
      <c r="BQ189" s="893"/>
      <c r="BR189" s="894"/>
      <c r="BS189" s="877"/>
      <c r="BT189" s="765"/>
      <c r="BU189" s="882"/>
      <c r="BV189" s="883"/>
      <c r="BW189" s="871"/>
      <c r="BX189" s="858"/>
      <c r="BY189" s="859"/>
      <c r="BZ189" s="840"/>
      <c r="CA189" s="765"/>
      <c r="CB189" s="852"/>
      <c r="CC189" s="853"/>
      <c r="CD189" s="846"/>
      <c r="CE189" s="893"/>
      <c r="CF189" s="894"/>
      <c r="CG189" s="877"/>
      <c r="CH189" s="765"/>
      <c r="CI189" s="882"/>
      <c r="CJ189" s="883"/>
      <c r="CK189" s="871"/>
      <c r="CL189" s="858"/>
      <c r="CM189" s="859"/>
      <c r="CN189" s="840"/>
    </row>
    <row r="190" spans="1:92" x14ac:dyDescent="0.25">
      <c r="A190" s="757">
        <v>7</v>
      </c>
      <c r="B190" s="765"/>
      <c r="C190" s="870" t="str">
        <f>IF($B190,$B190*TreatyCatch!BF245/SUM(TreatyCatch!$BF245:$BG245,TreatyCatch!$BI245:$BJ245),"")</f>
        <v/>
      </c>
      <c r="D190" s="870" t="str">
        <f>IF($B190,$B190*TreatyCatch!BG245/SUM(TreatyCatch!$BF245:$BG245,TreatyCatch!$BI245:$BJ245),"")</f>
        <v/>
      </c>
      <c r="E190" s="871" t="str">
        <f t="shared" si="82"/>
        <v/>
      </c>
      <c r="F190" s="838" t="str">
        <f>IF($B190,$B190*TreatyCatch!BI245/SUM(TreatyCatch!$BF245:$BG245,TreatyCatch!$BI245:$BJ245),"")</f>
        <v/>
      </c>
      <c r="G190" s="866" t="str">
        <f>IF($B190,$B190*TreatyCatch!BJ245/SUM(TreatyCatch!$BF245:$BG245,TreatyCatch!$BI245:$BJ245),"")</f>
        <v/>
      </c>
      <c r="H190" s="840" t="str">
        <f t="shared" si="83"/>
        <v/>
      </c>
      <c r="I190" s="765"/>
      <c r="J190" s="852" t="str">
        <f>IF($I190,$I190*TreatyCatch!BL245/SUM(TreatyCatch!$BL245:$BM245,TreatyCatch!$BO245:$BP245),"")</f>
        <v/>
      </c>
      <c r="K190" s="853" t="str">
        <f>IF($I190,$I190*TreatyCatch!BM245/SUM(TreatyCatch!$BL245:$BM245,TreatyCatch!$BO245:$BP245),"")</f>
        <v/>
      </c>
      <c r="L190" s="846" t="str">
        <f t="shared" si="80"/>
        <v/>
      </c>
      <c r="M190" s="893" t="str">
        <f>IF($I190,$I190*TreatyCatch!BO245/SUM(TreatyCatch!$BL245:$BM245,TreatyCatch!$BO245:$BP245),"")</f>
        <v/>
      </c>
      <c r="N190" s="894" t="str">
        <f>IF($I190,$I190*TreatyCatch!BP245/SUM(TreatyCatch!$BL245:$BM245,TreatyCatch!$BO35:$BP245),"")</f>
        <v/>
      </c>
      <c r="O190" s="877" t="str">
        <f t="shared" si="81"/>
        <v/>
      </c>
      <c r="P190" s="765"/>
      <c r="Q190" s="882" t="str">
        <f>IF($P190,$P190*TreatyCatch!BR245/SUM(TreatyCatch!$BR245:$BS245,TreatyCatch!$BU245:$BV245),"")</f>
        <v/>
      </c>
      <c r="R190" s="883" t="str">
        <f>IF($P190,$P190*TreatyCatch!BS245/SUM(TreatyCatch!$BR245:$BS245,TreatyCatch!$BU245:$BV245),"")</f>
        <v/>
      </c>
      <c r="S190" s="871" t="str">
        <f t="shared" si="84"/>
        <v/>
      </c>
      <c r="T190" s="858" t="str">
        <f>IF($P190,$P190*TreatyCatch!BU245/SUM(TreatyCatch!$BR245:$BS245,TreatyCatch!$BU245:$BV245),"")</f>
        <v/>
      </c>
      <c r="U190" s="859" t="str">
        <f>IF($P190,$P190*TreatyCatch!BV245/SUM(TreatyCatch!$BR245:$BS245,TreatyCatch!$BU245:$BV245),"")</f>
        <v/>
      </c>
      <c r="V190" s="840" t="str">
        <f t="shared" si="85"/>
        <v/>
      </c>
      <c r="W190" s="958"/>
      <c r="X190" s="852" t="str">
        <f>IF($W190,$W190*TreatyCatch!BX245/SUM(TreatyCatch!$BX245:$BY245,TreatyCatch!$CA245:$CB245),"")</f>
        <v/>
      </c>
      <c r="Y190" s="853" t="str">
        <f>IF($W190,$W190*TreatyCatch!BY245/SUM(TreatyCatch!$BX245:$BY245,TreatyCatch!$CA245:$CB245),"")</f>
        <v/>
      </c>
      <c r="Z190" s="846" t="str">
        <f t="shared" si="86"/>
        <v/>
      </c>
      <c r="AA190" s="893" t="str">
        <f>IF($W190,$W190*TreatyCatch!CA245/SUM(TreatyCatch!$BX245:$BY245,TreatyCatch!$CA245:$CB245),"")</f>
        <v/>
      </c>
      <c r="AB190" s="894" t="str">
        <f>IF($W190,$W190*TreatyCatch!CB245/SUM(TreatyCatch!$BX245:$BY245,TreatyCatch!$CA245:$CB245),"")</f>
        <v/>
      </c>
      <c r="AC190" s="877" t="str">
        <f t="shared" si="87"/>
        <v/>
      </c>
      <c r="AD190" s="958"/>
      <c r="AE190" s="1056" t="str">
        <f>IF($AD190,$AD190*TreatyCatch!CD420/SUM(TreatyCatch!$CD420:$CE420,TreatyCatch!$CG420:$CH420),"")</f>
        <v/>
      </c>
      <c r="AF190" s="1057" t="str">
        <f>IF($AD190,$AD190*TreatyCatch!CE420/SUM(TreatyCatch!$CD420:$CE420,TreatyCatch!$CG420:$CH420),"")</f>
        <v/>
      </c>
      <c r="AG190" s="1058" t="str">
        <f t="shared" si="88"/>
        <v/>
      </c>
      <c r="AH190" s="1059" t="str">
        <f>IF($AD190,$AD190*TreatyCatch!CG420/SUM(TreatyCatch!$CD420:CE420,TreatyCatch!$CG420:$CH420),"")</f>
        <v/>
      </c>
      <c r="AI190" s="1060" t="str">
        <f>IF($AD190,$AD190*TreatyCatch!CH420/SUM(TreatyCatch!$CD420:CF420,TreatyCatch!$CG420:$CH420),"")</f>
        <v/>
      </c>
      <c r="AJ190" s="1061" t="str">
        <f t="shared" si="89"/>
        <v/>
      </c>
      <c r="AK190" s="958"/>
      <c r="AL190" s="852"/>
      <c r="AM190" s="853"/>
      <c r="AN190" s="846"/>
      <c r="AO190" s="893"/>
      <c r="AP190" s="894"/>
      <c r="AQ190" s="877"/>
      <c r="AR190" s="765"/>
      <c r="AS190" s="882"/>
      <c r="AT190" s="883"/>
      <c r="AU190" s="871"/>
      <c r="AV190" s="858"/>
      <c r="AW190" s="859"/>
      <c r="AX190" s="840"/>
      <c r="AY190" s="765"/>
      <c r="AZ190" s="852"/>
      <c r="BA190" s="853"/>
      <c r="BB190" s="846"/>
      <c r="BC190" s="893"/>
      <c r="BD190" s="894"/>
      <c r="BE190" s="877"/>
      <c r="BF190" s="765"/>
      <c r="BG190" s="882"/>
      <c r="BH190" s="883"/>
      <c r="BI190" s="871"/>
      <c r="BJ190" s="858"/>
      <c r="BK190" s="859"/>
      <c r="BL190" s="840"/>
      <c r="BM190" s="765"/>
      <c r="BN190" s="852"/>
      <c r="BO190" s="853"/>
      <c r="BP190" s="846"/>
      <c r="BQ190" s="893"/>
      <c r="BR190" s="894"/>
      <c r="BS190" s="877"/>
      <c r="BT190" s="765"/>
      <c r="BU190" s="882"/>
      <c r="BV190" s="883"/>
      <c r="BW190" s="871"/>
      <c r="BX190" s="858"/>
      <c r="BY190" s="859"/>
      <c r="BZ190" s="840"/>
      <c r="CA190" s="765"/>
      <c r="CB190" s="852"/>
      <c r="CC190" s="853"/>
      <c r="CD190" s="846"/>
      <c r="CE190" s="893"/>
      <c r="CF190" s="894"/>
      <c r="CG190" s="877"/>
      <c r="CH190" s="765"/>
      <c r="CI190" s="882"/>
      <c r="CJ190" s="883"/>
      <c r="CK190" s="871"/>
      <c r="CL190" s="858"/>
      <c r="CM190" s="859"/>
      <c r="CN190" s="840"/>
    </row>
    <row r="191" spans="1:92" x14ac:dyDescent="0.25">
      <c r="A191" s="757">
        <v>8</v>
      </c>
      <c r="B191" s="765"/>
      <c r="C191" s="870" t="str">
        <f>IF($B191,$B191*TreatyCatch!BF246/SUM(TreatyCatch!$BF246:$BG246,TreatyCatch!$BI246:$BJ246),"")</f>
        <v/>
      </c>
      <c r="D191" s="870" t="str">
        <f>IF($B191,$B191*TreatyCatch!BG246/SUM(TreatyCatch!$BF246:$BG246,TreatyCatch!$BI246:$BJ246),"")</f>
        <v/>
      </c>
      <c r="E191" s="871" t="str">
        <f t="shared" si="82"/>
        <v/>
      </c>
      <c r="F191" s="838" t="str">
        <f>IF($B191,$B191*TreatyCatch!BI246/SUM(TreatyCatch!$BF246:$BG246,TreatyCatch!$BI246:$BJ246),"")</f>
        <v/>
      </c>
      <c r="G191" s="866" t="str">
        <f>IF($B191,$B191*TreatyCatch!BJ246/SUM(TreatyCatch!$BF246:$BG246,TreatyCatch!$BI246:$BJ246),"")</f>
        <v/>
      </c>
      <c r="H191" s="840" t="str">
        <f t="shared" si="83"/>
        <v/>
      </c>
      <c r="I191" s="765"/>
      <c r="J191" s="852" t="str">
        <f>IF($I191,$I191*TreatyCatch!BL246/SUM(TreatyCatch!$BL246:$BM246,TreatyCatch!$BO246:$BP246),"")</f>
        <v/>
      </c>
      <c r="K191" s="853" t="str">
        <f>IF($I191,$I191*TreatyCatch!BM246/SUM(TreatyCatch!$BL246:$BM246,TreatyCatch!$BO246:$BP246),"")</f>
        <v/>
      </c>
      <c r="L191" s="846" t="str">
        <f t="shared" si="80"/>
        <v/>
      </c>
      <c r="M191" s="893" t="str">
        <f>IF($I191,$I191*TreatyCatch!BO246/SUM(TreatyCatch!$BL246:$BM246,TreatyCatch!$BO246:$BP246),"")</f>
        <v/>
      </c>
      <c r="N191" s="894" t="str">
        <f>IF($I191,$I191*TreatyCatch!BP246/SUM(TreatyCatch!$BL246:$BM246,TreatyCatch!$BO36:$BP246),"")</f>
        <v/>
      </c>
      <c r="O191" s="877" t="str">
        <f t="shared" si="81"/>
        <v/>
      </c>
      <c r="P191" s="765"/>
      <c r="Q191" s="882" t="str">
        <f>IF($P191,$P191*TreatyCatch!BR246/SUM(TreatyCatch!$BR246:$BS246,TreatyCatch!$BU246:$BV246),"")</f>
        <v/>
      </c>
      <c r="R191" s="883" t="str">
        <f>IF($P191,$P191*TreatyCatch!BS246/SUM(TreatyCatch!$BR246:$BS246,TreatyCatch!$BU246:$BV246),"")</f>
        <v/>
      </c>
      <c r="S191" s="871" t="str">
        <f t="shared" si="84"/>
        <v/>
      </c>
      <c r="T191" s="858" t="str">
        <f>IF($P191,$P191*TreatyCatch!BU246/SUM(TreatyCatch!$BR246:$BS246,TreatyCatch!$BU246:$BV246),"")</f>
        <v/>
      </c>
      <c r="U191" s="859" t="str">
        <f>IF($P191,$P191*TreatyCatch!BV246/SUM(TreatyCatch!$BR246:$BS246,TreatyCatch!$BU246:$BV246),"")</f>
        <v/>
      </c>
      <c r="V191" s="840" t="str">
        <f t="shared" si="85"/>
        <v/>
      </c>
      <c r="W191" s="958"/>
      <c r="X191" s="852" t="str">
        <f>IF($W191,$W191*TreatyCatch!BX246/SUM(TreatyCatch!$BX246:$BY246,TreatyCatch!$CA246:$CB246),"")</f>
        <v/>
      </c>
      <c r="Y191" s="853" t="str">
        <f>IF($W191,$W191*TreatyCatch!BY246/SUM(TreatyCatch!$BX246:$BY246,TreatyCatch!$CA246:$CB246),"")</f>
        <v/>
      </c>
      <c r="Z191" s="846" t="str">
        <f t="shared" si="86"/>
        <v/>
      </c>
      <c r="AA191" s="893" t="str">
        <f>IF($W191,$W191*TreatyCatch!CA246/SUM(TreatyCatch!$BX246:$BY246,TreatyCatch!$CA246:$CB246),"")</f>
        <v/>
      </c>
      <c r="AB191" s="894" t="str">
        <f>IF($W191,$W191*TreatyCatch!CB246/SUM(TreatyCatch!$BX246:$BY246,TreatyCatch!$CA246:$CB246),"")</f>
        <v/>
      </c>
      <c r="AC191" s="877" t="str">
        <f t="shared" si="87"/>
        <v/>
      </c>
      <c r="AD191" s="958"/>
      <c r="AE191" s="1056" t="str">
        <f>IF($AD191,$AD191*TreatyCatch!CD421/SUM(TreatyCatch!$CD421:$CE421,TreatyCatch!$CG421:$CH421),"")</f>
        <v/>
      </c>
      <c r="AF191" s="1057" t="str">
        <f>IF($AD191,$AD191*TreatyCatch!CE421/SUM(TreatyCatch!$CD421:$CE421,TreatyCatch!$CG421:$CH421),"")</f>
        <v/>
      </c>
      <c r="AG191" s="1058" t="str">
        <f t="shared" si="88"/>
        <v/>
      </c>
      <c r="AH191" s="1059" t="str">
        <f>IF($AD191,$AD191*TreatyCatch!CG421/SUM(TreatyCatch!$CD421:CE421,TreatyCatch!$CG421:$CH421),"")</f>
        <v/>
      </c>
      <c r="AI191" s="1060" t="str">
        <f>IF($AD191,$AD191*TreatyCatch!CH421/SUM(TreatyCatch!$CD421:CF421,TreatyCatch!$CG421:$CH421),"")</f>
        <v/>
      </c>
      <c r="AJ191" s="1061" t="str">
        <f t="shared" si="89"/>
        <v/>
      </c>
      <c r="AK191" s="958"/>
      <c r="AL191" s="852"/>
      <c r="AM191" s="853"/>
      <c r="AN191" s="846"/>
      <c r="AO191" s="893"/>
      <c r="AP191" s="894"/>
      <c r="AQ191" s="877"/>
      <c r="AR191" s="765"/>
      <c r="AS191" s="882"/>
      <c r="AT191" s="883"/>
      <c r="AU191" s="871"/>
      <c r="AV191" s="858"/>
      <c r="AW191" s="859"/>
      <c r="AX191" s="840"/>
      <c r="AY191" s="765"/>
      <c r="AZ191" s="852"/>
      <c r="BA191" s="853"/>
      <c r="BB191" s="846"/>
      <c r="BC191" s="893"/>
      <c r="BD191" s="894"/>
      <c r="BE191" s="877"/>
      <c r="BF191" s="765"/>
      <c r="BG191" s="882"/>
      <c r="BH191" s="883"/>
      <c r="BI191" s="871"/>
      <c r="BJ191" s="858"/>
      <c r="BK191" s="859"/>
      <c r="BL191" s="840"/>
      <c r="BM191" s="765"/>
      <c r="BN191" s="852"/>
      <c r="BO191" s="853"/>
      <c r="BP191" s="846"/>
      <c r="BQ191" s="893"/>
      <c r="BR191" s="894"/>
      <c r="BS191" s="877"/>
      <c r="BT191" s="765"/>
      <c r="BU191" s="882"/>
      <c r="BV191" s="883"/>
      <c r="BW191" s="871"/>
      <c r="BX191" s="858"/>
      <c r="BY191" s="859"/>
      <c r="BZ191" s="840"/>
      <c r="CA191" s="765"/>
      <c r="CB191" s="852"/>
      <c r="CC191" s="853"/>
      <c r="CD191" s="846"/>
      <c r="CE191" s="893"/>
      <c r="CF191" s="894"/>
      <c r="CG191" s="877"/>
      <c r="CH191" s="765"/>
      <c r="CI191" s="882"/>
      <c r="CJ191" s="883"/>
      <c r="CK191" s="871"/>
      <c r="CL191" s="858"/>
      <c r="CM191" s="859"/>
      <c r="CN191" s="840"/>
    </row>
    <row r="192" spans="1:92" x14ac:dyDescent="0.25">
      <c r="A192" s="757">
        <v>9</v>
      </c>
      <c r="B192" s="765"/>
      <c r="C192" s="870" t="str">
        <f>IF($B192,$B192*TreatyCatch!BF247/SUM(TreatyCatch!$BF247:$BG247,TreatyCatch!$BI247:$BJ247),"")</f>
        <v/>
      </c>
      <c r="D192" s="870" t="str">
        <f>IF($B192,$B192*TreatyCatch!BG247/SUM(TreatyCatch!$BF247:$BG247,TreatyCatch!$BI247:$BJ247),"")</f>
        <v/>
      </c>
      <c r="E192" s="871" t="str">
        <f t="shared" si="82"/>
        <v/>
      </c>
      <c r="F192" s="838" t="str">
        <f>IF($B192,$B192*TreatyCatch!BI247/SUM(TreatyCatch!$BF247:$BG247,TreatyCatch!$BI247:$BJ247),"")</f>
        <v/>
      </c>
      <c r="G192" s="866" t="str">
        <f>IF($B192,$B192*TreatyCatch!BJ247/SUM(TreatyCatch!$BF247:$BG247,TreatyCatch!$BI247:$BJ247),"")</f>
        <v/>
      </c>
      <c r="H192" s="840" t="str">
        <f t="shared" si="83"/>
        <v/>
      </c>
      <c r="I192" s="765"/>
      <c r="J192" s="852" t="str">
        <f>IF($I192,$I192*TreatyCatch!BL247/SUM(TreatyCatch!$BL247:$BM247,TreatyCatch!$BO247:$BP247),"")</f>
        <v/>
      </c>
      <c r="K192" s="853" t="str">
        <f>IF($I192,$I192*TreatyCatch!BM247/SUM(TreatyCatch!$BL247:$BM247,TreatyCatch!$BO247:$BP247),"")</f>
        <v/>
      </c>
      <c r="L192" s="846" t="str">
        <f t="shared" si="80"/>
        <v/>
      </c>
      <c r="M192" s="893" t="str">
        <f>IF($I192,$I192*TreatyCatch!BO247/SUM(TreatyCatch!$BL247:$BM247,TreatyCatch!$BO247:$BP247),"")</f>
        <v/>
      </c>
      <c r="N192" s="894" t="str">
        <f>IF($I192,$I192*TreatyCatch!BP247/SUM(TreatyCatch!$BL247:$BM247,TreatyCatch!$BO37:$BP247),"")</f>
        <v/>
      </c>
      <c r="O192" s="877" t="str">
        <f t="shared" si="81"/>
        <v/>
      </c>
      <c r="P192" s="765"/>
      <c r="Q192" s="882" t="str">
        <f>IF($P192,$P192*TreatyCatch!BR247/SUM(TreatyCatch!$BR247:$BS247,TreatyCatch!$BU247:$BV247),"")</f>
        <v/>
      </c>
      <c r="R192" s="883" t="str">
        <f>IF($P192,$P192*TreatyCatch!BS247/SUM(TreatyCatch!$BR247:$BS247,TreatyCatch!$BU247:$BV247),"")</f>
        <v/>
      </c>
      <c r="S192" s="871" t="str">
        <f t="shared" si="84"/>
        <v/>
      </c>
      <c r="T192" s="858" t="str">
        <f>IF($P192,$P192*TreatyCatch!BU247/SUM(TreatyCatch!$BR247:$BS247,TreatyCatch!$BU247:$BV247),"")</f>
        <v/>
      </c>
      <c r="U192" s="859" t="str">
        <f>IF($P192,$P192*TreatyCatch!BV247/SUM(TreatyCatch!$BR247:$BS247,TreatyCatch!$BU247:$BV247),"")</f>
        <v/>
      </c>
      <c r="V192" s="840" t="str">
        <f t="shared" si="85"/>
        <v/>
      </c>
      <c r="W192" s="958"/>
      <c r="X192" s="852" t="str">
        <f>IF($W192,$W192*TreatyCatch!BX247/SUM(TreatyCatch!$BX247:$BY247,TreatyCatch!$CA247:$CB247),"")</f>
        <v/>
      </c>
      <c r="Y192" s="853" t="str">
        <f>IF($W192,$W192*TreatyCatch!BY247/SUM(TreatyCatch!$BX247:$BY247,TreatyCatch!$CA247:$CB247),"")</f>
        <v/>
      </c>
      <c r="Z192" s="846" t="str">
        <f t="shared" si="86"/>
        <v/>
      </c>
      <c r="AA192" s="893" t="str">
        <f>IF($W192,$W192*TreatyCatch!CA247/SUM(TreatyCatch!$BX247:$BY247,TreatyCatch!$CA247:$CB247),"")</f>
        <v/>
      </c>
      <c r="AB192" s="894" t="str">
        <f>IF($W192,$W192*TreatyCatch!CB247/SUM(TreatyCatch!$BX247:$BY247,TreatyCatch!$CA247:$CB247),"")</f>
        <v/>
      </c>
      <c r="AC192" s="877" t="str">
        <f t="shared" si="87"/>
        <v/>
      </c>
      <c r="AD192" s="958"/>
      <c r="AE192" s="1056" t="str">
        <f>IF($AD192,$AD192*TreatyCatch!CD422/SUM(TreatyCatch!$CD422:$CE422,TreatyCatch!$CG422:$CH422),"")</f>
        <v/>
      </c>
      <c r="AF192" s="1057" t="str">
        <f>IF($AD192,$AD192*TreatyCatch!CE422/SUM(TreatyCatch!$CD422:$CE422,TreatyCatch!$CG422:$CH422),"")</f>
        <v/>
      </c>
      <c r="AG192" s="1058" t="str">
        <f t="shared" si="88"/>
        <v/>
      </c>
      <c r="AH192" s="1059" t="str">
        <f>IF($AD192,$AD192*TreatyCatch!CG422/SUM(TreatyCatch!$CD422:CE422,TreatyCatch!$CG422:$CH422),"")</f>
        <v/>
      </c>
      <c r="AI192" s="1060" t="str">
        <f>IF($AD192,$AD192*TreatyCatch!CH422/SUM(TreatyCatch!$CD422:CF422,TreatyCatch!$CG422:$CH422),"")</f>
        <v/>
      </c>
      <c r="AJ192" s="1061" t="str">
        <f t="shared" si="89"/>
        <v/>
      </c>
      <c r="AK192" s="958"/>
      <c r="AL192" s="852"/>
      <c r="AM192" s="853"/>
      <c r="AN192" s="846"/>
      <c r="AO192" s="893"/>
      <c r="AP192" s="894"/>
      <c r="AQ192" s="877"/>
      <c r="AR192" s="765"/>
      <c r="AS192" s="882"/>
      <c r="AT192" s="883"/>
      <c r="AU192" s="871"/>
      <c r="AV192" s="858"/>
      <c r="AW192" s="859"/>
      <c r="AX192" s="840"/>
      <c r="AY192" s="765"/>
      <c r="AZ192" s="852"/>
      <c r="BA192" s="853"/>
      <c r="BB192" s="846"/>
      <c r="BC192" s="893"/>
      <c r="BD192" s="894"/>
      <c r="BE192" s="877"/>
      <c r="BF192" s="765"/>
      <c r="BG192" s="882"/>
      <c r="BH192" s="883"/>
      <c r="BI192" s="871"/>
      <c r="BJ192" s="858"/>
      <c r="BK192" s="859"/>
      <c r="BL192" s="840"/>
      <c r="BM192" s="765"/>
      <c r="BN192" s="852"/>
      <c r="BO192" s="853"/>
      <c r="BP192" s="846"/>
      <c r="BQ192" s="893"/>
      <c r="BR192" s="894"/>
      <c r="BS192" s="877"/>
      <c r="BT192" s="765"/>
      <c r="BU192" s="882"/>
      <c r="BV192" s="883"/>
      <c r="BW192" s="871"/>
      <c r="BX192" s="858"/>
      <c r="BY192" s="859"/>
      <c r="BZ192" s="840"/>
      <c r="CA192" s="765"/>
      <c r="CB192" s="852"/>
      <c r="CC192" s="853"/>
      <c r="CD192" s="846"/>
      <c r="CE192" s="893"/>
      <c r="CF192" s="894"/>
      <c r="CG192" s="877"/>
      <c r="CH192" s="765"/>
      <c r="CI192" s="882"/>
      <c r="CJ192" s="883"/>
      <c r="CK192" s="871"/>
      <c r="CL192" s="858"/>
      <c r="CM192" s="859"/>
      <c r="CN192" s="840"/>
    </row>
    <row r="193" spans="1:92" x14ac:dyDescent="0.25">
      <c r="A193" s="757">
        <v>10</v>
      </c>
      <c r="B193" s="765"/>
      <c r="C193" s="870" t="str">
        <f>IF($B193,$B193*TreatyCatch!BF248/SUM(TreatyCatch!$BF248:$BG248,TreatyCatch!$BI248:$BJ248),"")</f>
        <v/>
      </c>
      <c r="D193" s="870" t="str">
        <f>IF($B193,$B193*TreatyCatch!BG248/SUM(TreatyCatch!$BF248:$BG248,TreatyCatch!$BI248:$BJ248),"")</f>
        <v/>
      </c>
      <c r="E193" s="871" t="str">
        <f t="shared" si="82"/>
        <v/>
      </c>
      <c r="F193" s="838" t="str">
        <f>IF($B193,$B193*TreatyCatch!BI248/SUM(TreatyCatch!$BF248:$BG248,TreatyCatch!$BI248:$BJ248),"")</f>
        <v/>
      </c>
      <c r="G193" s="866" t="str">
        <f>IF($B193,$B193*TreatyCatch!BJ248/SUM(TreatyCatch!$BF248:$BG248,TreatyCatch!$BI248:$BJ248),"")</f>
        <v/>
      </c>
      <c r="H193" s="840" t="str">
        <f t="shared" si="83"/>
        <v/>
      </c>
      <c r="I193" s="765"/>
      <c r="J193" s="852" t="str">
        <f>IF($I193,$I193*TreatyCatch!BL248/SUM(TreatyCatch!$BL248:$BM248,TreatyCatch!$BO248:$BP248),"")</f>
        <v/>
      </c>
      <c r="K193" s="853" t="str">
        <f>IF($I193,$I193*TreatyCatch!BM248/SUM(TreatyCatch!$BL248:$BM248,TreatyCatch!$BO248:$BP248),"")</f>
        <v/>
      </c>
      <c r="L193" s="846" t="str">
        <f t="shared" si="80"/>
        <v/>
      </c>
      <c r="M193" s="893" t="str">
        <f>IF($I193,$I193*TreatyCatch!BO248/SUM(TreatyCatch!$BL248:$BM248,TreatyCatch!$BO248:$BP248),"")</f>
        <v/>
      </c>
      <c r="N193" s="894" t="str">
        <f>IF($I193,$I193*TreatyCatch!BP248/SUM(TreatyCatch!$BL248:$BM248,TreatyCatch!$BO38:$BP248),"")</f>
        <v/>
      </c>
      <c r="O193" s="877" t="str">
        <f t="shared" si="81"/>
        <v/>
      </c>
      <c r="P193" s="765"/>
      <c r="Q193" s="882" t="str">
        <f>IF($P193,$P193*TreatyCatch!BR248/SUM(TreatyCatch!$BR248:$BS248,TreatyCatch!$BU248:$BV248),"")</f>
        <v/>
      </c>
      <c r="R193" s="883" t="str">
        <f>IF($P193,$P193*TreatyCatch!BS248/SUM(TreatyCatch!$BR248:$BS248,TreatyCatch!$BU248:$BV248),"")</f>
        <v/>
      </c>
      <c r="S193" s="871" t="str">
        <f t="shared" si="84"/>
        <v/>
      </c>
      <c r="T193" s="858" t="str">
        <f>IF($P193,$P193*TreatyCatch!BU248/SUM(TreatyCatch!$BR248:$BS248,TreatyCatch!$BU248:$BV248),"")</f>
        <v/>
      </c>
      <c r="U193" s="859" t="str">
        <f>IF($P193,$P193*TreatyCatch!BV248/SUM(TreatyCatch!$BR248:$BS248,TreatyCatch!$BU248:$BV248),"")</f>
        <v/>
      </c>
      <c r="V193" s="840" t="str">
        <f t="shared" si="85"/>
        <v/>
      </c>
      <c r="W193" s="958"/>
      <c r="X193" s="852" t="str">
        <f>IF($W193,$W193*TreatyCatch!BX248/SUM(TreatyCatch!$BX248:$BY248,TreatyCatch!$CA248:$CB248),"")</f>
        <v/>
      </c>
      <c r="Y193" s="853" t="str">
        <f>IF($W193,$W193*TreatyCatch!BY248/SUM(TreatyCatch!$BX248:$BY248,TreatyCatch!$CA248:$CB248),"")</f>
        <v/>
      </c>
      <c r="Z193" s="846" t="str">
        <f t="shared" si="86"/>
        <v/>
      </c>
      <c r="AA193" s="893" t="str">
        <f>IF($W193,$W193*TreatyCatch!CA248/SUM(TreatyCatch!$BX248:$BY248,TreatyCatch!$CA248:$CB248),"")</f>
        <v/>
      </c>
      <c r="AB193" s="894" t="str">
        <f>IF($W193,$W193*TreatyCatch!CB248/SUM(TreatyCatch!$BX248:$BY248,TreatyCatch!$CA248:$CB248),"")</f>
        <v/>
      </c>
      <c r="AC193" s="877" t="str">
        <f t="shared" si="87"/>
        <v/>
      </c>
      <c r="AD193" s="958"/>
      <c r="AE193" s="1056" t="str">
        <f>IF($AD193,$AD193*TreatyCatch!CD423/SUM(TreatyCatch!$CD423:$CE423,TreatyCatch!$CG423:$CH423),"")</f>
        <v/>
      </c>
      <c r="AF193" s="1057" t="str">
        <f>IF($AD193,$AD193*TreatyCatch!CE423/SUM(TreatyCatch!$CD423:$CE423,TreatyCatch!$CG423:$CH423),"")</f>
        <v/>
      </c>
      <c r="AG193" s="1058" t="str">
        <f t="shared" si="88"/>
        <v/>
      </c>
      <c r="AH193" s="1059" t="str">
        <f>IF($AD193,$AD193*TreatyCatch!CG423/SUM(TreatyCatch!$CD423:CE423,TreatyCatch!$CG423:$CH423),"")</f>
        <v/>
      </c>
      <c r="AI193" s="1060" t="str">
        <f>IF($AD193,$AD193*TreatyCatch!CH423/SUM(TreatyCatch!$CD423:CF423,TreatyCatch!$CG423:$CH423),"")</f>
        <v/>
      </c>
      <c r="AJ193" s="1061" t="str">
        <f t="shared" si="89"/>
        <v/>
      </c>
      <c r="AK193" s="958"/>
      <c r="AL193" s="852"/>
      <c r="AM193" s="853"/>
      <c r="AN193" s="846"/>
      <c r="AO193" s="893"/>
      <c r="AP193" s="894"/>
      <c r="AQ193" s="877"/>
      <c r="AR193" s="765"/>
      <c r="AS193" s="882"/>
      <c r="AT193" s="883"/>
      <c r="AU193" s="871"/>
      <c r="AV193" s="858"/>
      <c r="AW193" s="859"/>
      <c r="AX193" s="840"/>
      <c r="AY193" s="765"/>
      <c r="AZ193" s="852"/>
      <c r="BA193" s="853"/>
      <c r="BB193" s="846"/>
      <c r="BC193" s="893"/>
      <c r="BD193" s="894"/>
      <c r="BE193" s="877"/>
      <c r="BF193" s="765"/>
      <c r="BG193" s="882"/>
      <c r="BH193" s="883"/>
      <c r="BI193" s="871"/>
      <c r="BJ193" s="858"/>
      <c r="BK193" s="859"/>
      <c r="BL193" s="840"/>
      <c r="BM193" s="765"/>
      <c r="BN193" s="852"/>
      <c r="BO193" s="853"/>
      <c r="BP193" s="846"/>
      <c r="BQ193" s="893"/>
      <c r="BR193" s="894"/>
      <c r="BS193" s="877"/>
      <c r="BT193" s="765"/>
      <c r="BU193" s="882"/>
      <c r="BV193" s="883"/>
      <c r="BW193" s="871"/>
      <c r="BX193" s="858"/>
      <c r="BY193" s="859"/>
      <c r="BZ193" s="840"/>
      <c r="CA193" s="765"/>
      <c r="CB193" s="852"/>
      <c r="CC193" s="853"/>
      <c r="CD193" s="846"/>
      <c r="CE193" s="893"/>
      <c r="CF193" s="894"/>
      <c r="CG193" s="877"/>
      <c r="CH193" s="765"/>
      <c r="CI193" s="882"/>
      <c r="CJ193" s="883"/>
      <c r="CK193" s="871"/>
      <c r="CL193" s="858"/>
      <c r="CM193" s="859"/>
      <c r="CN193" s="840"/>
    </row>
    <row r="194" spans="1:92" x14ac:dyDescent="0.25">
      <c r="A194" s="757">
        <v>11</v>
      </c>
      <c r="B194" s="765"/>
      <c r="C194" s="870" t="str">
        <f>IF($B194,$B194*TreatyCatch!BF249/SUM(TreatyCatch!$BF249:$BG249,TreatyCatch!$BI249:$BJ249),"")</f>
        <v/>
      </c>
      <c r="D194" s="870" t="str">
        <f>IF($B194,$B194*TreatyCatch!BG249/SUM(TreatyCatch!$BF249:$BG249,TreatyCatch!$BI249:$BJ249),"")</f>
        <v/>
      </c>
      <c r="E194" s="871" t="str">
        <f t="shared" si="82"/>
        <v/>
      </c>
      <c r="F194" s="838" t="str">
        <f>IF($B194,$B194*TreatyCatch!BI249/SUM(TreatyCatch!$BF249:$BG249,TreatyCatch!$BI249:$BJ249),"")</f>
        <v/>
      </c>
      <c r="G194" s="866" t="str">
        <f>IF($B194,$B194*TreatyCatch!BJ249/SUM(TreatyCatch!$BF249:$BG249,TreatyCatch!$BI249:$BJ249),"")</f>
        <v/>
      </c>
      <c r="H194" s="840" t="str">
        <f t="shared" si="83"/>
        <v/>
      </c>
      <c r="I194" s="765"/>
      <c r="J194" s="852" t="str">
        <f>IF($I194,$I194*TreatyCatch!BL249/SUM(TreatyCatch!$BL249:$BM249,TreatyCatch!$BO249:$BP249),"")</f>
        <v/>
      </c>
      <c r="K194" s="853" t="str">
        <f>IF($I194,$I194*TreatyCatch!BM249/SUM(TreatyCatch!$BL249:$BM249,TreatyCatch!$BO249:$BP249),"")</f>
        <v/>
      </c>
      <c r="L194" s="846" t="str">
        <f t="shared" si="80"/>
        <v/>
      </c>
      <c r="M194" s="893" t="str">
        <f>IF($I194,$I194*TreatyCatch!BO249/SUM(TreatyCatch!$BL249:$BM249,TreatyCatch!$BO249:$BP249),"")</f>
        <v/>
      </c>
      <c r="N194" s="894" t="str">
        <f>IF($I194,$I194*TreatyCatch!BP249/SUM(TreatyCatch!$BL249:$BM249,TreatyCatch!$BO39:$BP249),"")</f>
        <v/>
      </c>
      <c r="O194" s="877" t="str">
        <f t="shared" si="81"/>
        <v/>
      </c>
      <c r="P194" s="765"/>
      <c r="Q194" s="882" t="str">
        <f>IF($P194,$P194*TreatyCatch!BR249/SUM(TreatyCatch!$BR249:$BS249,TreatyCatch!$BU249:$BV249),"")</f>
        <v/>
      </c>
      <c r="R194" s="883" t="str">
        <f>IF($P194,$P194*TreatyCatch!BS249/SUM(TreatyCatch!$BR249:$BS249,TreatyCatch!$BU249:$BV249),"")</f>
        <v/>
      </c>
      <c r="S194" s="871" t="str">
        <f t="shared" si="84"/>
        <v/>
      </c>
      <c r="T194" s="858" t="str">
        <f>IF($P194,$P194*TreatyCatch!BU249/SUM(TreatyCatch!$BR249:$BS249,TreatyCatch!$BU249:$BV249),"")</f>
        <v/>
      </c>
      <c r="U194" s="859" t="str">
        <f>IF($P194,$P194*TreatyCatch!BV249/SUM(TreatyCatch!$BR249:$BS249,TreatyCatch!$BU249:$BV249),"")</f>
        <v/>
      </c>
      <c r="V194" s="840" t="str">
        <f t="shared" si="85"/>
        <v/>
      </c>
      <c r="W194" s="958"/>
      <c r="X194" s="852" t="str">
        <f>IF($W194,$W194*TreatyCatch!BX249/SUM(TreatyCatch!$BX249:$BY249,TreatyCatch!$CA249:$CB249),"")</f>
        <v/>
      </c>
      <c r="Y194" s="853" t="str">
        <f>IF($W194,$W194*TreatyCatch!BY249/SUM(TreatyCatch!$BX249:$BY249,TreatyCatch!$CA249:$CB249),"")</f>
        <v/>
      </c>
      <c r="Z194" s="846" t="str">
        <f t="shared" si="86"/>
        <v/>
      </c>
      <c r="AA194" s="893" t="str">
        <f>IF($W194,$W194*TreatyCatch!CA249/SUM(TreatyCatch!$BX249:$BY249,TreatyCatch!$CA249:$CB249),"")</f>
        <v/>
      </c>
      <c r="AB194" s="894" t="str">
        <f>IF($W194,$W194*TreatyCatch!CB249/SUM(TreatyCatch!$BX249:$BY249,TreatyCatch!$CA249:$CB249),"")</f>
        <v/>
      </c>
      <c r="AC194" s="877" t="str">
        <f t="shared" si="87"/>
        <v/>
      </c>
      <c r="AD194" s="958"/>
      <c r="AE194" s="1056" t="str">
        <f>IF($AD194,$AD194*TreatyCatch!CD424/SUM(TreatyCatch!$CD424:$CE424,TreatyCatch!$CG424:$CH424),"")</f>
        <v/>
      </c>
      <c r="AF194" s="1057" t="str">
        <f>IF($AD194,$AD194*TreatyCatch!CE424/SUM(TreatyCatch!$CD424:$CE424,TreatyCatch!$CG424:$CH424),"")</f>
        <v/>
      </c>
      <c r="AG194" s="1058" t="str">
        <f t="shared" si="88"/>
        <v/>
      </c>
      <c r="AH194" s="1059" t="str">
        <f>IF($AD194,$AD194*TreatyCatch!CG424/SUM(TreatyCatch!$CD424:CE424,TreatyCatch!$CG424:$CH424),"")</f>
        <v/>
      </c>
      <c r="AI194" s="1060" t="str">
        <f>IF($AD194,$AD194*TreatyCatch!CH424/SUM(TreatyCatch!$CD424:CF424,TreatyCatch!$CG424:$CH424),"")</f>
        <v/>
      </c>
      <c r="AJ194" s="1061" t="str">
        <f t="shared" si="89"/>
        <v/>
      </c>
      <c r="AK194" s="958"/>
      <c r="AL194" s="852"/>
      <c r="AM194" s="853"/>
      <c r="AN194" s="846"/>
      <c r="AO194" s="893"/>
      <c r="AP194" s="894"/>
      <c r="AQ194" s="877"/>
      <c r="AR194" s="765"/>
      <c r="AS194" s="882"/>
      <c r="AT194" s="883"/>
      <c r="AU194" s="871"/>
      <c r="AV194" s="858"/>
      <c r="AW194" s="859"/>
      <c r="AX194" s="840"/>
      <c r="AY194" s="765"/>
      <c r="AZ194" s="852"/>
      <c r="BA194" s="853"/>
      <c r="BB194" s="846"/>
      <c r="BC194" s="893"/>
      <c r="BD194" s="894"/>
      <c r="BE194" s="877"/>
      <c r="BF194" s="765"/>
      <c r="BG194" s="882"/>
      <c r="BH194" s="883"/>
      <c r="BI194" s="871"/>
      <c r="BJ194" s="858"/>
      <c r="BK194" s="859"/>
      <c r="BL194" s="840"/>
      <c r="BM194" s="765"/>
      <c r="BN194" s="852"/>
      <c r="BO194" s="853"/>
      <c r="BP194" s="846"/>
      <c r="BQ194" s="893"/>
      <c r="BR194" s="894"/>
      <c r="BS194" s="877"/>
      <c r="BT194" s="765"/>
      <c r="BU194" s="882"/>
      <c r="BV194" s="883"/>
      <c r="BW194" s="871"/>
      <c r="BX194" s="858"/>
      <c r="BY194" s="859"/>
      <c r="BZ194" s="840"/>
      <c r="CA194" s="765"/>
      <c r="CB194" s="852"/>
      <c r="CC194" s="853"/>
      <c r="CD194" s="846"/>
      <c r="CE194" s="893"/>
      <c r="CF194" s="894"/>
      <c r="CG194" s="877"/>
      <c r="CH194" s="765"/>
      <c r="CI194" s="882"/>
      <c r="CJ194" s="883"/>
      <c r="CK194" s="871"/>
      <c r="CL194" s="858"/>
      <c r="CM194" s="859"/>
      <c r="CN194" s="840"/>
    </row>
    <row r="195" spans="1:92" x14ac:dyDescent="0.25">
      <c r="A195" s="757">
        <v>12</v>
      </c>
      <c r="B195" s="765"/>
      <c r="C195" s="870" t="str">
        <f>IF($B195,$B195*TreatyCatch!BF250/SUM(TreatyCatch!$BF250:$BG250,TreatyCatch!$BI250:$BJ250),"")</f>
        <v/>
      </c>
      <c r="D195" s="870" t="str">
        <f>IF($B195,$B195*TreatyCatch!BG250/SUM(TreatyCatch!$BF250:$BG250,TreatyCatch!$BI250:$BJ250),"")</f>
        <v/>
      </c>
      <c r="E195" s="871" t="str">
        <f t="shared" si="82"/>
        <v/>
      </c>
      <c r="F195" s="838" t="str">
        <f>IF($B195,$B195*TreatyCatch!BI250/SUM(TreatyCatch!$BF250:$BG250,TreatyCatch!$BI250:$BJ250),"")</f>
        <v/>
      </c>
      <c r="G195" s="866" t="str">
        <f>IF($B195,$B195*TreatyCatch!BJ250/SUM(TreatyCatch!$BF250:$BG250,TreatyCatch!$BI250:$BJ250),"")</f>
        <v/>
      </c>
      <c r="H195" s="840" t="str">
        <f t="shared" si="83"/>
        <v/>
      </c>
      <c r="I195" s="765"/>
      <c r="J195" s="852" t="str">
        <f>IF($I195,$I195*TreatyCatch!BL250/SUM(TreatyCatch!$BL250:$BM250,TreatyCatch!$BO250:$BP250),"")</f>
        <v/>
      </c>
      <c r="K195" s="853" t="str">
        <f>IF($I195,$I195*TreatyCatch!BM250/SUM(TreatyCatch!$BL250:$BM250,TreatyCatch!$BO250:$BP250),"")</f>
        <v/>
      </c>
      <c r="L195" s="846" t="str">
        <f t="shared" si="80"/>
        <v/>
      </c>
      <c r="M195" s="893" t="str">
        <f>IF($I195,$I195*TreatyCatch!BO250/SUM(TreatyCatch!$BL250:$BM250,TreatyCatch!$BO250:$BP250),"")</f>
        <v/>
      </c>
      <c r="N195" s="894" t="str">
        <f>IF($I195,$I195*TreatyCatch!BP250/SUM(TreatyCatch!$BL250:$BM250,TreatyCatch!$BO40:$BP250),"")</f>
        <v/>
      </c>
      <c r="O195" s="877" t="str">
        <f t="shared" si="81"/>
        <v/>
      </c>
      <c r="P195" s="765"/>
      <c r="Q195" s="882" t="str">
        <f>IF($P195,$P195*TreatyCatch!BR250/SUM(TreatyCatch!$BR250:$BS250,TreatyCatch!$BU250:$BV250),"")</f>
        <v/>
      </c>
      <c r="R195" s="883" t="str">
        <f>IF($P195,$P195*TreatyCatch!BS250/SUM(TreatyCatch!$BR250:$BS250,TreatyCatch!$BU250:$BV250),"")</f>
        <v/>
      </c>
      <c r="S195" s="871" t="str">
        <f t="shared" si="84"/>
        <v/>
      </c>
      <c r="T195" s="858" t="str">
        <f>IF($P195,$P195*TreatyCatch!BU250/SUM(TreatyCatch!$BR250:$BS250,TreatyCatch!$BU250:$BV250),"")</f>
        <v/>
      </c>
      <c r="U195" s="859" t="str">
        <f>IF($P195,$P195*TreatyCatch!BV250/SUM(TreatyCatch!$BR250:$BS250,TreatyCatch!$BU250:$BV250),"")</f>
        <v/>
      </c>
      <c r="V195" s="840" t="str">
        <f t="shared" si="85"/>
        <v/>
      </c>
      <c r="W195" s="958"/>
      <c r="X195" s="852" t="str">
        <f>IF($W195,$W195*TreatyCatch!BX250/SUM(TreatyCatch!$BX250:$BY250,TreatyCatch!$CA250:$CB250),"")</f>
        <v/>
      </c>
      <c r="Y195" s="853" t="str">
        <f>IF($W195,$W195*TreatyCatch!BY250/SUM(TreatyCatch!$BX250:$BY250,TreatyCatch!$CA250:$CB250),"")</f>
        <v/>
      </c>
      <c r="Z195" s="846" t="str">
        <f t="shared" si="86"/>
        <v/>
      </c>
      <c r="AA195" s="893" t="str">
        <f>IF($W195,$W195*TreatyCatch!CA250/SUM(TreatyCatch!$BX250:$BY250,TreatyCatch!$CA250:$CB250),"")</f>
        <v/>
      </c>
      <c r="AB195" s="894" t="str">
        <f>IF($W195,$W195*TreatyCatch!CB250/SUM(TreatyCatch!$BX250:$BY250,TreatyCatch!$CA250:$CB250),"")</f>
        <v/>
      </c>
      <c r="AC195" s="877" t="str">
        <f t="shared" si="87"/>
        <v/>
      </c>
      <c r="AD195" s="958"/>
      <c r="AE195" s="1056" t="str">
        <f>IF($AD195,$AD195*TreatyCatch!CD425/SUM(TreatyCatch!$CD425:$CE425,TreatyCatch!$CG425:$CH425),"")</f>
        <v/>
      </c>
      <c r="AF195" s="1057" t="str">
        <f>IF($AD195,$AD195*TreatyCatch!CE425/SUM(TreatyCatch!$CD425:$CE425,TreatyCatch!$CG425:$CH425),"")</f>
        <v/>
      </c>
      <c r="AG195" s="1058" t="str">
        <f t="shared" si="88"/>
        <v/>
      </c>
      <c r="AH195" s="1059" t="str">
        <f>IF($AD195,$AD195*TreatyCatch!CG425/SUM(TreatyCatch!$CD425:CE425,TreatyCatch!$CG425:$CH425),"")</f>
        <v/>
      </c>
      <c r="AI195" s="1060" t="str">
        <f>IF($AD195,$AD195*TreatyCatch!CH425/SUM(TreatyCatch!$CD425:CF425,TreatyCatch!$CG425:$CH425),"")</f>
        <v/>
      </c>
      <c r="AJ195" s="1061" t="str">
        <f t="shared" si="89"/>
        <v/>
      </c>
      <c r="AK195" s="958"/>
      <c r="AL195" s="852"/>
      <c r="AM195" s="853"/>
      <c r="AN195" s="846"/>
      <c r="AO195" s="893"/>
      <c r="AP195" s="894"/>
      <c r="AQ195" s="877"/>
      <c r="AR195" s="765"/>
      <c r="AS195" s="882"/>
      <c r="AT195" s="883"/>
      <c r="AU195" s="871"/>
      <c r="AV195" s="858"/>
      <c r="AW195" s="859"/>
      <c r="AX195" s="840"/>
      <c r="AY195" s="765"/>
      <c r="AZ195" s="852"/>
      <c r="BA195" s="853"/>
      <c r="BB195" s="846"/>
      <c r="BC195" s="893"/>
      <c r="BD195" s="894"/>
      <c r="BE195" s="877"/>
      <c r="BF195" s="765"/>
      <c r="BG195" s="882"/>
      <c r="BH195" s="883"/>
      <c r="BI195" s="871"/>
      <c r="BJ195" s="858"/>
      <c r="BK195" s="859"/>
      <c r="BL195" s="840"/>
      <c r="BM195" s="765"/>
      <c r="BN195" s="852"/>
      <c r="BO195" s="853"/>
      <c r="BP195" s="846"/>
      <c r="BQ195" s="893"/>
      <c r="BR195" s="894"/>
      <c r="BS195" s="877"/>
      <c r="BT195" s="765"/>
      <c r="BU195" s="882"/>
      <c r="BV195" s="883"/>
      <c r="BW195" s="871"/>
      <c r="BX195" s="858"/>
      <c r="BY195" s="859"/>
      <c r="BZ195" s="840"/>
      <c r="CA195" s="765"/>
      <c r="CB195" s="852"/>
      <c r="CC195" s="853"/>
      <c r="CD195" s="846"/>
      <c r="CE195" s="893"/>
      <c r="CF195" s="894"/>
      <c r="CG195" s="877"/>
      <c r="CH195" s="765"/>
      <c r="CI195" s="882"/>
      <c r="CJ195" s="883"/>
      <c r="CK195" s="871"/>
      <c r="CL195" s="858"/>
      <c r="CM195" s="859"/>
      <c r="CN195" s="840"/>
    </row>
    <row r="196" spans="1:92" x14ac:dyDescent="0.25">
      <c r="A196" s="757">
        <v>13</v>
      </c>
      <c r="B196" s="765"/>
      <c r="C196" s="870" t="str">
        <f>IF($B196,$B196*TreatyCatch!BF251/SUM(TreatyCatch!$BF251:$BG251,TreatyCatch!$BI251:$BJ251),"")</f>
        <v/>
      </c>
      <c r="D196" s="870" t="str">
        <f>IF($B196,$B196*TreatyCatch!BG251/SUM(TreatyCatch!$BF251:$BG251,TreatyCatch!$BI251:$BJ251),"")</f>
        <v/>
      </c>
      <c r="E196" s="871" t="str">
        <f t="shared" si="82"/>
        <v/>
      </c>
      <c r="F196" s="838" t="str">
        <f>IF($B196,$B196*TreatyCatch!BI251/SUM(TreatyCatch!$BF251:$BG251,TreatyCatch!$BI251:$BJ251),"")</f>
        <v/>
      </c>
      <c r="G196" s="866" t="str">
        <f>IF($B196,$B196*TreatyCatch!BJ251/SUM(TreatyCatch!$BF251:$BG251,TreatyCatch!$BI251:$BJ251),"")</f>
        <v/>
      </c>
      <c r="H196" s="840" t="str">
        <f t="shared" si="83"/>
        <v/>
      </c>
      <c r="I196" s="765"/>
      <c r="J196" s="852" t="str">
        <f>IF($I196,$I196*TreatyCatch!BL251/SUM(TreatyCatch!$BL251:$BM251,TreatyCatch!$BO251:$BP251),"")</f>
        <v/>
      </c>
      <c r="K196" s="853" t="str">
        <f>IF($I196,$I196*TreatyCatch!BM251/SUM(TreatyCatch!$BL251:$BM251,TreatyCatch!$BO251:$BP251),"")</f>
        <v/>
      </c>
      <c r="L196" s="846" t="str">
        <f t="shared" si="80"/>
        <v/>
      </c>
      <c r="M196" s="893" t="str">
        <f>IF($I196,$I196*TreatyCatch!BO251/SUM(TreatyCatch!$BL251:$BM251,TreatyCatch!$BO251:$BP251),"")</f>
        <v/>
      </c>
      <c r="N196" s="894" t="str">
        <f>IF($I196,$I196*TreatyCatch!BP251/SUM(TreatyCatch!$BL251:$BM251,TreatyCatch!$BO41:$BP251),"")</f>
        <v/>
      </c>
      <c r="O196" s="877" t="str">
        <f t="shared" si="81"/>
        <v/>
      </c>
      <c r="P196" s="765"/>
      <c r="Q196" s="882" t="str">
        <f>IF($P196,$P196*TreatyCatch!BR251/SUM(TreatyCatch!$BR251:$BS251,TreatyCatch!$BU251:$BV251),"")</f>
        <v/>
      </c>
      <c r="R196" s="883" t="str">
        <f>IF($P196,$P196*TreatyCatch!BS251/SUM(TreatyCatch!$BR251:$BS251,TreatyCatch!$BU251:$BV251),"")</f>
        <v/>
      </c>
      <c r="S196" s="871" t="str">
        <f t="shared" si="84"/>
        <v/>
      </c>
      <c r="T196" s="858" t="str">
        <f>IF($P196,$P196*TreatyCatch!BU251/SUM(TreatyCatch!$BR251:$BS251,TreatyCatch!$BU251:$BV251),"")</f>
        <v/>
      </c>
      <c r="U196" s="859" t="str">
        <f>IF($P196,$P196*TreatyCatch!BV251/SUM(TreatyCatch!$BR251:$BS251,TreatyCatch!$BU251:$BV251),"")</f>
        <v/>
      </c>
      <c r="V196" s="840" t="str">
        <f t="shared" si="85"/>
        <v/>
      </c>
      <c r="W196" s="958"/>
      <c r="X196" s="852" t="str">
        <f>IF($W196,$W196*TreatyCatch!BX251/SUM(TreatyCatch!$BX251:$BY251,TreatyCatch!$CA251:$CB251),"")</f>
        <v/>
      </c>
      <c r="Y196" s="853" t="str">
        <f>IF($W196,$W196*TreatyCatch!BY251/SUM(TreatyCatch!$BX251:$BY251,TreatyCatch!$CA251:$CB251),"")</f>
        <v/>
      </c>
      <c r="Z196" s="846" t="str">
        <f t="shared" si="86"/>
        <v/>
      </c>
      <c r="AA196" s="893" t="str">
        <f>IF($W196,$W196*TreatyCatch!CA251/SUM(TreatyCatch!$BX251:$BY251,TreatyCatch!$CA251:$CB251),"")</f>
        <v/>
      </c>
      <c r="AB196" s="894" t="str">
        <f>IF($W196,$W196*TreatyCatch!CB251/SUM(TreatyCatch!$BX251:$BY251,TreatyCatch!$CA251:$CB251),"")</f>
        <v/>
      </c>
      <c r="AC196" s="877" t="str">
        <f t="shared" si="87"/>
        <v/>
      </c>
      <c r="AD196" s="958"/>
      <c r="AE196" s="1056" t="str">
        <f>IF($AD196,$AD196*TreatyCatch!CD426/SUM(TreatyCatch!$CD426:$CE426,TreatyCatch!$CG426:$CH426),"")</f>
        <v/>
      </c>
      <c r="AF196" s="1057" t="str">
        <f>IF($AD196,$AD196*TreatyCatch!CE426/SUM(TreatyCatch!$CD426:$CE426,TreatyCatch!$CG426:$CH426),"")</f>
        <v/>
      </c>
      <c r="AG196" s="1058" t="str">
        <f t="shared" si="88"/>
        <v/>
      </c>
      <c r="AH196" s="1059" t="str">
        <f>IF($AD196,$AD196*TreatyCatch!CG426/SUM(TreatyCatch!$CD426:CE426,TreatyCatch!$CG426:$CH426),"")</f>
        <v/>
      </c>
      <c r="AI196" s="1060" t="str">
        <f>IF($AD196,$AD196*TreatyCatch!CH426/SUM(TreatyCatch!$CD426:CF426,TreatyCatch!$CG426:$CH426),"")</f>
        <v/>
      </c>
      <c r="AJ196" s="1061" t="str">
        <f t="shared" si="89"/>
        <v/>
      </c>
      <c r="AK196" s="958"/>
      <c r="AL196" s="852"/>
      <c r="AM196" s="853"/>
      <c r="AN196" s="846"/>
      <c r="AO196" s="893"/>
      <c r="AP196" s="894"/>
      <c r="AQ196" s="877"/>
      <c r="AR196" s="765"/>
      <c r="AS196" s="882"/>
      <c r="AT196" s="883"/>
      <c r="AU196" s="871"/>
      <c r="AV196" s="858"/>
      <c r="AW196" s="859"/>
      <c r="AX196" s="840"/>
      <c r="AY196" s="765"/>
      <c r="AZ196" s="852"/>
      <c r="BA196" s="853"/>
      <c r="BB196" s="846"/>
      <c r="BC196" s="893"/>
      <c r="BD196" s="894"/>
      <c r="BE196" s="877"/>
      <c r="BF196" s="765"/>
      <c r="BG196" s="882"/>
      <c r="BH196" s="883"/>
      <c r="BI196" s="871"/>
      <c r="BJ196" s="858"/>
      <c r="BK196" s="859"/>
      <c r="BL196" s="840"/>
      <c r="BM196" s="765"/>
      <c r="BN196" s="852"/>
      <c r="BO196" s="853"/>
      <c r="BP196" s="846"/>
      <c r="BQ196" s="893"/>
      <c r="BR196" s="894"/>
      <c r="BS196" s="877"/>
      <c r="BT196" s="765"/>
      <c r="BU196" s="882"/>
      <c r="BV196" s="883"/>
      <c r="BW196" s="871"/>
      <c r="BX196" s="858"/>
      <c r="BY196" s="859"/>
      <c r="BZ196" s="840"/>
      <c r="CA196" s="765"/>
      <c r="CB196" s="852"/>
      <c r="CC196" s="853"/>
      <c r="CD196" s="846"/>
      <c r="CE196" s="893"/>
      <c r="CF196" s="894"/>
      <c r="CG196" s="877"/>
      <c r="CH196" s="765"/>
      <c r="CI196" s="882"/>
      <c r="CJ196" s="883"/>
      <c r="CK196" s="871"/>
      <c r="CL196" s="858"/>
      <c r="CM196" s="859"/>
      <c r="CN196" s="840"/>
    </row>
    <row r="197" spans="1:92" x14ac:dyDescent="0.25">
      <c r="A197" s="757">
        <v>14</v>
      </c>
      <c r="B197" s="765"/>
      <c r="C197" s="870" t="str">
        <f>IF($B197,$B197*TreatyCatch!BF252/SUM(TreatyCatch!$BF252:$BG252,TreatyCatch!$BI252:$BJ252),"")</f>
        <v/>
      </c>
      <c r="D197" s="870" t="str">
        <f>IF($B197,$B197*TreatyCatch!BG252/SUM(TreatyCatch!$BF252:$BG252,TreatyCatch!$BI252:$BJ252),"")</f>
        <v/>
      </c>
      <c r="E197" s="871" t="str">
        <f t="shared" si="82"/>
        <v/>
      </c>
      <c r="F197" s="838" t="str">
        <f>IF($B197,$B197*TreatyCatch!BI252/SUM(TreatyCatch!$BF252:$BG252,TreatyCatch!$BI252:$BJ252),"")</f>
        <v/>
      </c>
      <c r="G197" s="866" t="str">
        <f>IF($B197,$B197*TreatyCatch!BJ252/SUM(TreatyCatch!$BF252:$BG252,TreatyCatch!$BI252:$BJ252),"")</f>
        <v/>
      </c>
      <c r="H197" s="840" t="str">
        <f t="shared" si="83"/>
        <v/>
      </c>
      <c r="I197" s="765"/>
      <c r="J197" s="852" t="str">
        <f>IF($I197,$I197*TreatyCatch!BL252/SUM(TreatyCatch!$BL252:$BM252,TreatyCatch!$BO252:$BP252),"")</f>
        <v/>
      </c>
      <c r="K197" s="853" t="str">
        <f>IF($I197,$I197*TreatyCatch!BM252/SUM(TreatyCatch!$BL252:$BM252,TreatyCatch!$BO252:$BP252),"")</f>
        <v/>
      </c>
      <c r="L197" s="846" t="str">
        <f t="shared" si="80"/>
        <v/>
      </c>
      <c r="M197" s="893" t="str">
        <f>IF($I197,$I197*TreatyCatch!BO252/SUM(TreatyCatch!$BL252:$BM252,TreatyCatch!$BO252:$BP252),"")</f>
        <v/>
      </c>
      <c r="N197" s="894" t="str">
        <f>IF($I197,$I197*TreatyCatch!BP252/SUM(TreatyCatch!$BL252:$BM252,TreatyCatch!$BO42:$BP252),"")</f>
        <v/>
      </c>
      <c r="O197" s="877" t="str">
        <f t="shared" si="81"/>
        <v/>
      </c>
      <c r="P197" s="765"/>
      <c r="Q197" s="882" t="str">
        <f>IF($P197,$P197*TreatyCatch!BR252/SUM(TreatyCatch!$BR252:$BS252,TreatyCatch!$BU252:$BV252),"")</f>
        <v/>
      </c>
      <c r="R197" s="883" t="str">
        <f>IF($P197,$P197*TreatyCatch!BS252/SUM(TreatyCatch!$BR252:$BS252,TreatyCatch!$BU252:$BV252),"")</f>
        <v/>
      </c>
      <c r="S197" s="871" t="str">
        <f t="shared" si="84"/>
        <v/>
      </c>
      <c r="T197" s="858" t="str">
        <f>IF($P197,$P197*TreatyCatch!BU252/SUM(TreatyCatch!$BR252:$BS252,TreatyCatch!$BU252:$BV252),"")</f>
        <v/>
      </c>
      <c r="U197" s="859" t="str">
        <f>IF($P197,$P197*TreatyCatch!BV252/SUM(TreatyCatch!$BR252:$BS252,TreatyCatch!$BU252:$BV252),"")</f>
        <v/>
      </c>
      <c r="V197" s="840" t="str">
        <f t="shared" si="85"/>
        <v/>
      </c>
      <c r="W197" s="958"/>
      <c r="X197" s="852" t="str">
        <f>IF($W197,$W197*TreatyCatch!BX252/SUM(TreatyCatch!$BX252:$BY252,TreatyCatch!$CA252:$CB252),"")</f>
        <v/>
      </c>
      <c r="Y197" s="853" t="str">
        <f>IF($W197,$W197*TreatyCatch!BY252/SUM(TreatyCatch!$BX252:$BY252,TreatyCatch!$CA252:$CB252),"")</f>
        <v/>
      </c>
      <c r="Z197" s="846" t="str">
        <f t="shared" si="86"/>
        <v/>
      </c>
      <c r="AA197" s="893" t="str">
        <f>IF($W197,$W197*TreatyCatch!CA252/SUM(TreatyCatch!$BX252:$BY252,TreatyCatch!$CA252:$CB252),"")</f>
        <v/>
      </c>
      <c r="AB197" s="894" t="str">
        <f>IF($W197,$W197*TreatyCatch!CB252/SUM(TreatyCatch!$BX252:$BY252,TreatyCatch!$CA252:$CB252),"")</f>
        <v/>
      </c>
      <c r="AC197" s="877" t="str">
        <f t="shared" si="87"/>
        <v/>
      </c>
      <c r="AD197" s="958"/>
      <c r="AE197" s="1056" t="str">
        <f>IF($AD197,$AD197*TreatyCatch!CD427/SUM(TreatyCatch!$CD427:$CE427,TreatyCatch!$CG427:$CH427),"")</f>
        <v/>
      </c>
      <c r="AF197" s="1057" t="str">
        <f>IF($AD197,$AD197*TreatyCatch!CE427/SUM(TreatyCatch!$CD427:$CE427,TreatyCatch!$CG427:$CH427),"")</f>
        <v/>
      </c>
      <c r="AG197" s="1058" t="str">
        <f t="shared" si="88"/>
        <v/>
      </c>
      <c r="AH197" s="1059" t="str">
        <f>IF($AD197,$AD197*TreatyCatch!CG427/SUM(TreatyCatch!$CD427:CE427,TreatyCatch!$CG427:$CH427),"")</f>
        <v/>
      </c>
      <c r="AI197" s="1060" t="str">
        <f>IF($AD197,$AD197*TreatyCatch!CH427/SUM(TreatyCatch!$CD427:CF427,TreatyCatch!$CG427:$CH427),"")</f>
        <v/>
      </c>
      <c r="AJ197" s="1061" t="str">
        <f t="shared" si="89"/>
        <v/>
      </c>
      <c r="AK197" s="958"/>
      <c r="AL197" s="852"/>
      <c r="AM197" s="853"/>
      <c r="AN197" s="846"/>
      <c r="AO197" s="893"/>
      <c r="AP197" s="894"/>
      <c r="AQ197" s="877"/>
      <c r="AR197" s="765"/>
      <c r="AS197" s="882"/>
      <c r="AT197" s="883"/>
      <c r="AU197" s="871"/>
      <c r="AV197" s="858"/>
      <c r="AW197" s="859"/>
      <c r="AX197" s="840"/>
      <c r="AY197" s="765"/>
      <c r="AZ197" s="852"/>
      <c r="BA197" s="853"/>
      <c r="BB197" s="846"/>
      <c r="BC197" s="893"/>
      <c r="BD197" s="894"/>
      <c r="BE197" s="877"/>
      <c r="BF197" s="765"/>
      <c r="BG197" s="882"/>
      <c r="BH197" s="883"/>
      <c r="BI197" s="871"/>
      <c r="BJ197" s="858"/>
      <c r="BK197" s="859"/>
      <c r="BL197" s="840"/>
      <c r="BM197" s="765"/>
      <c r="BN197" s="852"/>
      <c r="BO197" s="853"/>
      <c r="BP197" s="846"/>
      <c r="BQ197" s="893"/>
      <c r="BR197" s="894"/>
      <c r="BS197" s="877"/>
      <c r="BT197" s="765"/>
      <c r="BU197" s="882"/>
      <c r="BV197" s="883"/>
      <c r="BW197" s="871"/>
      <c r="BX197" s="858"/>
      <c r="BY197" s="859"/>
      <c r="BZ197" s="840"/>
      <c r="CA197" s="765"/>
      <c r="CB197" s="852"/>
      <c r="CC197" s="853"/>
      <c r="CD197" s="846"/>
      <c r="CE197" s="893"/>
      <c r="CF197" s="894"/>
      <c r="CG197" s="877"/>
      <c r="CH197" s="765"/>
      <c r="CI197" s="882"/>
      <c r="CJ197" s="883"/>
      <c r="CK197" s="871"/>
      <c r="CL197" s="858"/>
      <c r="CM197" s="859"/>
      <c r="CN197" s="840"/>
    </row>
    <row r="198" spans="1:92" x14ac:dyDescent="0.25">
      <c r="A198" s="757">
        <v>15</v>
      </c>
      <c r="B198" s="765"/>
      <c r="C198" s="870" t="str">
        <f>IF($B198,$B198*TreatyCatch!BF253/SUM(TreatyCatch!$BF253:$BG253,TreatyCatch!$BI253:$BJ253),"")</f>
        <v/>
      </c>
      <c r="D198" s="870" t="str">
        <f>IF($B198,$B198*TreatyCatch!BG253/SUM(TreatyCatch!$BF253:$BG253,TreatyCatch!$BI253:$BJ253),"")</f>
        <v/>
      </c>
      <c r="E198" s="871" t="str">
        <f t="shared" si="82"/>
        <v/>
      </c>
      <c r="F198" s="838" t="str">
        <f>IF($B198,$B198*TreatyCatch!BI253/SUM(TreatyCatch!$BF253:$BG253,TreatyCatch!$BI253:$BJ253),"")</f>
        <v/>
      </c>
      <c r="G198" s="866" t="str">
        <f>IF($B198,$B198*TreatyCatch!BJ253/SUM(TreatyCatch!$BF253:$BG253,TreatyCatch!$BI253:$BJ253),"")</f>
        <v/>
      </c>
      <c r="H198" s="840" t="str">
        <f t="shared" si="83"/>
        <v/>
      </c>
      <c r="I198" s="765"/>
      <c r="J198" s="852" t="str">
        <f>IF($I198,$I198*TreatyCatch!BL253/SUM(TreatyCatch!$BL253:$BM253,TreatyCatch!$BO253:$BP253),"")</f>
        <v/>
      </c>
      <c r="K198" s="853" t="str">
        <f>IF($I198,$I198*TreatyCatch!BM253/SUM(TreatyCatch!$BL253:$BM253,TreatyCatch!$BO253:$BP253),"")</f>
        <v/>
      </c>
      <c r="L198" s="846" t="str">
        <f t="shared" si="80"/>
        <v/>
      </c>
      <c r="M198" s="893" t="str">
        <f>IF($I198,$I198*TreatyCatch!BO253/SUM(TreatyCatch!$BL253:$BM253,TreatyCatch!$BO253:$BP253),"")</f>
        <v/>
      </c>
      <c r="N198" s="894" t="str">
        <f>IF($I198,$I198*TreatyCatch!BP253/SUM(TreatyCatch!$BL253:$BM253,TreatyCatch!$BO43:$BP253),"")</f>
        <v/>
      </c>
      <c r="O198" s="877" t="str">
        <f t="shared" si="81"/>
        <v/>
      </c>
      <c r="P198" s="765"/>
      <c r="Q198" s="882" t="str">
        <f>IF($P198,$P198*TreatyCatch!BR253/SUM(TreatyCatch!$BR253:$BS253,TreatyCatch!$BU253:$BV253),"")</f>
        <v/>
      </c>
      <c r="R198" s="883" t="str">
        <f>IF($P198,$P198*TreatyCatch!BS253/SUM(TreatyCatch!$BR253:$BS253,TreatyCatch!$BU253:$BV253),"")</f>
        <v/>
      </c>
      <c r="S198" s="871" t="str">
        <f t="shared" si="84"/>
        <v/>
      </c>
      <c r="T198" s="858" t="str">
        <f>IF($P198,$P198*TreatyCatch!BU253/SUM(TreatyCatch!$BR253:$BS253,TreatyCatch!$BU253:$BV253),"")</f>
        <v/>
      </c>
      <c r="U198" s="859" t="str">
        <f>IF($P198,$P198*TreatyCatch!BV253/SUM(TreatyCatch!$BR253:$BS253,TreatyCatch!$BU253:$BV253),"")</f>
        <v/>
      </c>
      <c r="V198" s="840" t="str">
        <f t="shared" si="85"/>
        <v/>
      </c>
      <c r="W198" s="958"/>
      <c r="X198" s="852" t="str">
        <f>IF($W198,$W198*TreatyCatch!BX253/SUM(TreatyCatch!$BX253:$BY253,TreatyCatch!$CA253:$CB253),"")</f>
        <v/>
      </c>
      <c r="Y198" s="853" t="str">
        <f>IF($W198,$W198*TreatyCatch!BY253/SUM(TreatyCatch!$BX253:$BY253,TreatyCatch!$CA253:$CB253),"")</f>
        <v/>
      </c>
      <c r="Z198" s="846" t="str">
        <f t="shared" si="86"/>
        <v/>
      </c>
      <c r="AA198" s="893" t="str">
        <f>IF($W198,$W198*TreatyCatch!CA253/SUM(TreatyCatch!$BX253:$BY253,TreatyCatch!$CA253:$CB253),"")</f>
        <v/>
      </c>
      <c r="AB198" s="894" t="str">
        <f>IF($W198,$W198*TreatyCatch!CB253/SUM(TreatyCatch!$BX253:$BY253,TreatyCatch!$CA253:$CB253),"")</f>
        <v/>
      </c>
      <c r="AC198" s="957" t="str">
        <f t="shared" si="87"/>
        <v/>
      </c>
      <c r="AD198" s="958"/>
      <c r="AE198" s="1056" t="str">
        <f>IF($AD198,$AD198*TreatyCatch!CD428/SUM(TreatyCatch!$CD428:$CE428,TreatyCatch!$CG428:$CH428),"")</f>
        <v/>
      </c>
      <c r="AF198" s="1057" t="str">
        <f>IF($AD198,$AD198*TreatyCatch!CE428/SUM(TreatyCatch!$CD428:$CE428,TreatyCatch!$CG428:$CH428),"")</f>
        <v/>
      </c>
      <c r="AG198" s="1058" t="str">
        <f t="shared" si="88"/>
        <v/>
      </c>
      <c r="AH198" s="1059" t="str">
        <f>IF($AD198,$AD198*TreatyCatch!CG428/SUM(TreatyCatch!$CD428:CE428,TreatyCatch!$CG428:$CH428),"")</f>
        <v/>
      </c>
      <c r="AI198" s="1060" t="str">
        <f>IF($AD198,$AD198*TreatyCatch!CH428/SUM(TreatyCatch!$CD428:CF428,TreatyCatch!$CG428:$CH428),"")</f>
        <v/>
      </c>
      <c r="AJ198" s="1061" t="str">
        <f t="shared" si="89"/>
        <v/>
      </c>
      <c r="AK198" s="958"/>
      <c r="AL198" s="852"/>
      <c r="AM198" s="853"/>
      <c r="AN198" s="846"/>
      <c r="AO198" s="893"/>
      <c r="AP198" s="894"/>
      <c r="AQ198" s="957"/>
      <c r="AR198" s="765"/>
      <c r="AS198" s="882"/>
      <c r="AT198" s="883"/>
      <c r="AU198" s="871"/>
      <c r="AV198" s="858"/>
      <c r="AW198" s="859"/>
      <c r="AX198" s="840"/>
      <c r="AY198" s="765"/>
      <c r="AZ198" s="852"/>
      <c r="BA198" s="853"/>
      <c r="BB198" s="846"/>
      <c r="BC198" s="893"/>
      <c r="BD198" s="894"/>
      <c r="BE198" s="957"/>
      <c r="BF198" s="765"/>
      <c r="BG198" s="882"/>
      <c r="BH198" s="883"/>
      <c r="BI198" s="871"/>
      <c r="BJ198" s="858"/>
      <c r="BK198" s="859"/>
      <c r="BL198" s="840"/>
      <c r="BM198" s="765"/>
      <c r="BN198" s="852"/>
      <c r="BO198" s="853"/>
      <c r="BP198" s="846"/>
      <c r="BQ198" s="893"/>
      <c r="BR198" s="894"/>
      <c r="BS198" s="957"/>
      <c r="BT198" s="765"/>
      <c r="BU198" s="882"/>
      <c r="BV198" s="883"/>
      <c r="BW198" s="871"/>
      <c r="BX198" s="858"/>
      <c r="BY198" s="859"/>
      <c r="BZ198" s="840"/>
      <c r="CA198" s="765"/>
      <c r="CB198" s="852"/>
      <c r="CC198" s="853"/>
      <c r="CD198" s="846"/>
      <c r="CE198" s="893"/>
      <c r="CF198" s="894"/>
      <c r="CG198" s="957"/>
      <c r="CH198" s="765"/>
      <c r="CI198" s="882"/>
      <c r="CJ198" s="883"/>
      <c r="CK198" s="871"/>
      <c r="CL198" s="858"/>
      <c r="CM198" s="859"/>
      <c r="CN198" s="840"/>
    </row>
    <row r="199" spans="1:92" x14ac:dyDescent="0.25">
      <c r="A199" s="757">
        <v>16</v>
      </c>
      <c r="B199" s="765"/>
      <c r="C199" s="870" t="str">
        <f>IF($B199,$B199*TreatyCatch!BF254/SUM(TreatyCatch!$BF254:$BG254,TreatyCatch!$BI254:$BJ254),"")</f>
        <v/>
      </c>
      <c r="D199" s="870" t="str">
        <f>IF($B199,$B199*TreatyCatch!BG254/SUM(TreatyCatch!$BF254:$BG254,TreatyCatch!$BI254:$BJ254),"")</f>
        <v/>
      </c>
      <c r="E199" s="871" t="str">
        <f t="shared" si="82"/>
        <v/>
      </c>
      <c r="F199" s="838" t="str">
        <f>IF($B199,$B199*TreatyCatch!BI254/SUM(TreatyCatch!$BF254:$BG254,TreatyCatch!$BI254:$BJ254),"")</f>
        <v/>
      </c>
      <c r="G199" s="866" t="str">
        <f>IF($B199,$B199*TreatyCatch!BJ254/SUM(TreatyCatch!$BF254:$BG254,TreatyCatch!$BI254:$BJ254),"")</f>
        <v/>
      </c>
      <c r="H199" s="840" t="str">
        <f t="shared" si="83"/>
        <v/>
      </c>
      <c r="I199" s="765"/>
      <c r="J199" s="852" t="str">
        <f>IF($I199,$I199*TreatyCatch!BL254/SUM(TreatyCatch!$BL254:$BM254,TreatyCatch!$BO254:$BP254),"")</f>
        <v/>
      </c>
      <c r="K199" s="853" t="str">
        <f>IF($I199,$I199*TreatyCatch!BM254/SUM(TreatyCatch!$BL254:$BM254,TreatyCatch!$BO254:$BP254),"")</f>
        <v/>
      </c>
      <c r="L199" s="846" t="str">
        <f t="shared" si="80"/>
        <v/>
      </c>
      <c r="M199" s="893" t="str">
        <f>IF($I199,$I199*TreatyCatch!BO254/SUM(TreatyCatch!$BL254:$BM254,TreatyCatch!$BO254:$BP254),"")</f>
        <v/>
      </c>
      <c r="N199" s="894" t="str">
        <f>IF($I199,$I199*TreatyCatch!BP254/SUM(TreatyCatch!$BL254:$BM254,TreatyCatch!$BO44:$BP254),"")</f>
        <v/>
      </c>
      <c r="O199" s="877" t="str">
        <f t="shared" si="81"/>
        <v/>
      </c>
      <c r="P199" s="765"/>
      <c r="Q199" s="882" t="str">
        <f>IF($P199,$P199*TreatyCatch!BR254/SUM(TreatyCatch!$BR254:$BS254,TreatyCatch!$BU254:$BV254),"")</f>
        <v/>
      </c>
      <c r="R199" s="883" t="str">
        <f>IF($P199,$P199*TreatyCatch!BS254/SUM(TreatyCatch!$BR254:$BS254,TreatyCatch!$BU254:$BV254),"")</f>
        <v/>
      </c>
      <c r="S199" s="871" t="str">
        <f t="shared" si="84"/>
        <v/>
      </c>
      <c r="T199" s="858" t="str">
        <f>IF($P199,$P199*TreatyCatch!BU254/SUM(TreatyCatch!$BR254:$BS254,TreatyCatch!$BU254:$BV254),"")</f>
        <v/>
      </c>
      <c r="U199" s="859" t="str">
        <f>IF($P199,$P199*TreatyCatch!BV254/SUM(TreatyCatch!$BR254:$BS254,TreatyCatch!$BU254:$BV254),"")</f>
        <v/>
      </c>
      <c r="V199" s="840" t="str">
        <f t="shared" si="85"/>
        <v/>
      </c>
      <c r="W199" s="958"/>
      <c r="X199" s="852" t="str">
        <f>IF($W199,$W199*TreatyCatch!BX254/SUM(TreatyCatch!$BX254:$BY254,TreatyCatch!$CA254:$CB254),"")</f>
        <v/>
      </c>
      <c r="Y199" s="853" t="str">
        <f>IF($W199,$W199*TreatyCatch!BY254/SUM(TreatyCatch!$BX254:$BY254,TreatyCatch!$CA254:$CB254),"")</f>
        <v/>
      </c>
      <c r="Z199" s="846" t="str">
        <f t="shared" si="86"/>
        <v/>
      </c>
      <c r="AA199" s="893" t="str">
        <f>IF($W199,$W199*TreatyCatch!CA254/SUM(TreatyCatch!$BX254:$BY254,TreatyCatch!$CA254:$CB254),"")</f>
        <v/>
      </c>
      <c r="AB199" s="894" t="str">
        <f>IF($W199,$W199*TreatyCatch!CB254/SUM(TreatyCatch!$BX254:$BY254,TreatyCatch!$CA254:$CB254),"")</f>
        <v/>
      </c>
      <c r="AC199" s="957" t="str">
        <f t="shared" si="87"/>
        <v/>
      </c>
      <c r="AD199" s="958"/>
      <c r="AE199" s="1056" t="str">
        <f>IF($AD199,$AD199*TreatyCatch!CD429/SUM(TreatyCatch!$CD429:$CE429,TreatyCatch!$CG429:$CH429),"")</f>
        <v/>
      </c>
      <c r="AF199" s="1057" t="str">
        <f>IF($AD199,$AD199*TreatyCatch!CE429/SUM(TreatyCatch!$CD429:$CE429,TreatyCatch!$CG429:$CH429),"")</f>
        <v/>
      </c>
      <c r="AG199" s="1058" t="str">
        <f t="shared" si="88"/>
        <v/>
      </c>
      <c r="AH199" s="1059" t="str">
        <f>IF($AD199,$AD199*TreatyCatch!CG429/SUM(TreatyCatch!$CD429:CE429,TreatyCatch!$CG429:$CH429),"")</f>
        <v/>
      </c>
      <c r="AI199" s="1060" t="str">
        <f>IF($AD199,$AD199*TreatyCatch!CH429/SUM(TreatyCatch!$CD429:CF429,TreatyCatch!$CG429:$CH429),"")</f>
        <v/>
      </c>
      <c r="AJ199" s="1061" t="str">
        <f t="shared" si="89"/>
        <v/>
      </c>
      <c r="AK199" s="958"/>
      <c r="AL199" s="852"/>
      <c r="AM199" s="853"/>
      <c r="AN199" s="846"/>
      <c r="AO199" s="893"/>
      <c r="AP199" s="894"/>
      <c r="AQ199" s="957"/>
      <c r="AR199" s="765"/>
      <c r="AS199" s="882"/>
      <c r="AT199" s="883"/>
      <c r="AU199" s="871"/>
      <c r="AV199" s="858"/>
      <c r="AW199" s="859"/>
      <c r="AX199" s="840"/>
      <c r="AY199" s="765"/>
      <c r="AZ199" s="852"/>
      <c r="BA199" s="853"/>
      <c r="BB199" s="846"/>
      <c r="BC199" s="893"/>
      <c r="BD199" s="894"/>
      <c r="BE199" s="957"/>
      <c r="BF199" s="765"/>
      <c r="BG199" s="882"/>
      <c r="BH199" s="883"/>
      <c r="BI199" s="871"/>
      <c r="BJ199" s="858"/>
      <c r="BK199" s="859"/>
      <c r="BL199" s="840"/>
      <c r="BM199" s="765"/>
      <c r="BN199" s="852"/>
      <c r="BO199" s="853"/>
      <c r="BP199" s="846"/>
      <c r="BQ199" s="893"/>
      <c r="BR199" s="894"/>
      <c r="BS199" s="957"/>
      <c r="BT199" s="765"/>
      <c r="BU199" s="882"/>
      <c r="BV199" s="883"/>
      <c r="BW199" s="871"/>
      <c r="BX199" s="858"/>
      <c r="BY199" s="859"/>
      <c r="BZ199" s="840"/>
      <c r="CA199" s="765"/>
      <c r="CB199" s="852"/>
      <c r="CC199" s="853"/>
      <c r="CD199" s="846"/>
      <c r="CE199" s="893"/>
      <c r="CF199" s="894"/>
      <c r="CG199" s="957"/>
      <c r="CH199" s="765"/>
      <c r="CI199" s="882"/>
      <c r="CJ199" s="883"/>
      <c r="CK199" s="871"/>
      <c r="CL199" s="858"/>
      <c r="CM199" s="859"/>
      <c r="CN199" s="840"/>
    </row>
    <row r="200" spans="1:92" x14ac:dyDescent="0.25">
      <c r="A200" s="758">
        <v>17</v>
      </c>
      <c r="B200" s="766"/>
      <c r="C200" s="872" t="str">
        <f>IF($B200,$B200*TreatyCatch!BF255/SUM(TreatyCatch!$BF255:$BG255,TreatyCatch!$BI255:$BJ255),"")</f>
        <v/>
      </c>
      <c r="D200" s="872" t="str">
        <f>IF($B200,$B200*TreatyCatch!BG255/SUM(TreatyCatch!$BF255:$BG255,TreatyCatch!$BI255:$BJ255),"")</f>
        <v/>
      </c>
      <c r="E200" s="873" t="str">
        <f t="shared" si="82"/>
        <v/>
      </c>
      <c r="F200" s="843" t="str">
        <f>IF($B200,$B200*TreatyCatch!BI255/SUM(TreatyCatch!$BF255:$BG255,TreatyCatch!$BI255:$BJ255),"")</f>
        <v/>
      </c>
      <c r="G200" s="867" t="str">
        <f>IF($B200,$B200*TreatyCatch!BJ255/SUM(TreatyCatch!$BF255:$BG255,TreatyCatch!$BI255:$BJ255),"")</f>
        <v/>
      </c>
      <c r="H200" s="841" t="str">
        <f t="shared" si="83"/>
        <v/>
      </c>
      <c r="I200" s="766"/>
      <c r="J200" s="854" t="str">
        <f>IF($I200,$I200*TreatyCatch!BL255/SUM(TreatyCatch!$BL255:$BM255,TreatyCatch!$BO255:$BP255),"")</f>
        <v/>
      </c>
      <c r="K200" s="855" t="str">
        <f>IF($I200,$I200*TreatyCatch!BM255/SUM(TreatyCatch!$BL255:$BM255,TreatyCatch!$BO255:$BP255),"")</f>
        <v/>
      </c>
      <c r="L200" s="847" t="str">
        <f t="shared" si="80"/>
        <v/>
      </c>
      <c r="M200" s="895" t="str">
        <f>IF($I200,$I200*TreatyCatch!BO255/SUM(TreatyCatch!$BL255:$BM255,TreatyCatch!$BO255:$BP255),"")</f>
        <v/>
      </c>
      <c r="N200" s="896" t="str">
        <f>IF($I200,$I200*TreatyCatch!BP255/SUM(TreatyCatch!$BL255:$BM255,TreatyCatch!$BO45:$BP255),"")</f>
        <v/>
      </c>
      <c r="O200" s="879" t="str">
        <f t="shared" si="81"/>
        <v/>
      </c>
      <c r="P200" s="766"/>
      <c r="Q200" s="885" t="str">
        <f>IF($P200,$P200*TreatyCatch!BR255/SUM(TreatyCatch!$BR255:$BS255,TreatyCatch!$BU255:$BV255),"")</f>
        <v/>
      </c>
      <c r="R200" s="886" t="str">
        <f>IF($P200,$P200*TreatyCatch!BS255/SUM(TreatyCatch!$BR255:$BS255,TreatyCatch!$BU255:$BV255),"")</f>
        <v/>
      </c>
      <c r="S200" s="873" t="str">
        <f t="shared" si="84"/>
        <v/>
      </c>
      <c r="T200" s="861" t="str">
        <f>IF($P200,$P200*TreatyCatch!BU255/SUM(TreatyCatch!$BR255:$BS255,TreatyCatch!$BU255:$BV255),"")</f>
        <v/>
      </c>
      <c r="U200" s="862" t="str">
        <f>IF($P200,$P200*TreatyCatch!BV255/SUM(TreatyCatch!$BR255:$BS255,TreatyCatch!$BU255:$BV255),"")</f>
        <v/>
      </c>
      <c r="V200" s="841" t="str">
        <f t="shared" si="85"/>
        <v/>
      </c>
      <c r="W200" s="964"/>
      <c r="X200" s="854" t="str">
        <f>IF($W200,$W200*TreatyCatch!BX255/SUM(TreatyCatch!$BX255:$BY255,TreatyCatch!$CA255:$CB255),"")</f>
        <v/>
      </c>
      <c r="Y200" s="855" t="str">
        <f>IF($W200,$W200*TreatyCatch!BY255/SUM(TreatyCatch!$BX255:$BY255,TreatyCatch!$CA255:$CB255),"")</f>
        <v/>
      </c>
      <c r="Z200" s="847" t="str">
        <f t="shared" si="86"/>
        <v/>
      </c>
      <c r="AA200" s="895" t="str">
        <f>IF($W200,$W200*TreatyCatch!CA255/SUM(TreatyCatch!$BX255:$BY255,TreatyCatch!$CA255:$CB255),"")</f>
        <v/>
      </c>
      <c r="AB200" s="896" t="str">
        <f>IF($W200,$W200*TreatyCatch!CB255/SUM(TreatyCatch!$BX255:$BY255,TreatyCatch!$CA255:$CB255),"")</f>
        <v/>
      </c>
      <c r="AC200" s="963" t="str">
        <f t="shared" si="87"/>
        <v/>
      </c>
      <c r="AD200" s="964"/>
      <c r="AE200" s="1062" t="str">
        <f>IF($AD200,$AD200*TreatyCatch!CD430/SUM(TreatyCatch!$CD430:$CE430,TreatyCatch!$CG430:$CH430),"")</f>
        <v/>
      </c>
      <c r="AF200" s="1063" t="str">
        <f>IF($AD200,$AD200*TreatyCatch!CE430/SUM(TreatyCatch!$CD430:$CE430,TreatyCatch!$CG430:$CH430),"")</f>
        <v/>
      </c>
      <c r="AG200" s="1064" t="str">
        <f t="shared" si="88"/>
        <v/>
      </c>
      <c r="AH200" s="1065" t="str">
        <f>IF($AD200,$AD200*TreatyCatch!CG430/SUM(TreatyCatch!$CD430:CE430,TreatyCatch!$CG430:$CH430),"")</f>
        <v/>
      </c>
      <c r="AI200" s="1066" t="str">
        <f>IF($AD200,$AD200*TreatyCatch!CH430/SUM(TreatyCatch!$CD430:CF430,TreatyCatch!$CG430:$CH430),"")</f>
        <v/>
      </c>
      <c r="AJ200" s="1067" t="str">
        <f t="shared" si="89"/>
        <v/>
      </c>
      <c r="AK200" s="964"/>
      <c r="AL200" s="854"/>
      <c r="AM200" s="855"/>
      <c r="AN200" s="847"/>
      <c r="AO200" s="895"/>
      <c r="AP200" s="896"/>
      <c r="AQ200" s="963"/>
      <c r="AR200" s="766"/>
      <c r="AS200" s="885"/>
      <c r="AT200" s="886"/>
      <c r="AU200" s="873"/>
      <c r="AV200" s="861"/>
      <c r="AW200" s="862"/>
      <c r="AX200" s="841"/>
      <c r="AY200" s="766"/>
      <c r="AZ200" s="854"/>
      <c r="BA200" s="855"/>
      <c r="BB200" s="847"/>
      <c r="BC200" s="895"/>
      <c r="BD200" s="896"/>
      <c r="BE200" s="963"/>
      <c r="BF200" s="766"/>
      <c r="BG200" s="885"/>
      <c r="BH200" s="886"/>
      <c r="BI200" s="873"/>
      <c r="BJ200" s="861"/>
      <c r="BK200" s="862"/>
      <c r="BL200" s="841"/>
      <c r="BM200" s="766"/>
      <c r="BN200" s="854"/>
      <c r="BO200" s="855"/>
      <c r="BP200" s="847"/>
      <c r="BQ200" s="895"/>
      <c r="BR200" s="896"/>
      <c r="BS200" s="963"/>
      <c r="BT200" s="766"/>
      <c r="BU200" s="885"/>
      <c r="BV200" s="886"/>
      <c r="BW200" s="873"/>
      <c r="BX200" s="861"/>
      <c r="BY200" s="862"/>
      <c r="BZ200" s="841"/>
      <c r="CA200" s="766"/>
      <c r="CB200" s="854"/>
      <c r="CC200" s="855"/>
      <c r="CD200" s="847"/>
      <c r="CE200" s="895"/>
      <c r="CF200" s="896"/>
      <c r="CG200" s="963"/>
      <c r="CH200" s="766"/>
      <c r="CI200" s="885"/>
      <c r="CJ200" s="886"/>
      <c r="CK200" s="873"/>
      <c r="CL200" s="861"/>
      <c r="CM200" s="862"/>
      <c r="CN200" s="841"/>
    </row>
    <row r="201" spans="1:92" x14ac:dyDescent="0.25">
      <c r="A201" s="757">
        <v>18</v>
      </c>
      <c r="B201" s="765"/>
      <c r="C201" s="898" t="str">
        <f>IF($B201,$B201*TreatyCatch!BF256/SUM(TreatyCatch!$BF256:$BG256,TreatyCatch!$BI256:$BJ256),"")</f>
        <v/>
      </c>
      <c r="D201" s="844" t="str">
        <f>IF($B201,$B201*TreatyCatch!BG256/SUM(TreatyCatch!$BF256:$BG256,TreatyCatch!$BI256:$BJ256),"")</f>
        <v/>
      </c>
      <c r="E201" s="846" t="str">
        <f>IFERROR(C201+N$5*D201,"")</f>
        <v/>
      </c>
      <c r="F201" s="838" t="str">
        <f>IF($B201,$B201*TreatyCatch!BI256/SUM(TreatyCatch!$BF256:$BG256,TreatyCatch!$BI256:$BJ256),"")</f>
        <v/>
      </c>
      <c r="G201" s="866" t="str">
        <f>IF($B201,$B201*TreatyCatch!BJ256/SUM(TreatyCatch!$BF256:$BG256,TreatyCatch!$BI256:$BJ256),"")</f>
        <v/>
      </c>
      <c r="H201" s="840" t="str">
        <f t="shared" si="83"/>
        <v/>
      </c>
      <c r="I201" s="765"/>
      <c r="J201" s="882" t="str">
        <f>IF($I201,$I201*TreatyCatch!BL256/SUM(TreatyCatch!$BL256:$BM256,TreatyCatch!$BO256:$BP256),"")</f>
        <v/>
      </c>
      <c r="K201" s="883" t="str">
        <f>IF($I201,$I201*TreatyCatch!BM256/SUM(TreatyCatch!$BL256:$BM256,TreatyCatch!$BO256:$BP256),"")</f>
        <v/>
      </c>
      <c r="L201" s="901" t="str">
        <f>IFERROR(J201+U$5*K201,"")</f>
        <v/>
      </c>
      <c r="M201" s="893" t="str">
        <f>IF($I201,$I201*TreatyCatch!BO256/SUM(TreatyCatch!$BL256:$BM256,TreatyCatch!$BO256:$BP256),"")</f>
        <v/>
      </c>
      <c r="N201" s="894" t="str">
        <f>IF($I201,$I201*TreatyCatch!BP256/SUM(TreatyCatch!$BL256:$BM256,TreatyCatch!$BO46:$BP256),"")</f>
        <v/>
      </c>
      <c r="O201" s="877" t="str">
        <f t="shared" si="81"/>
        <v/>
      </c>
      <c r="P201" s="765"/>
      <c r="Q201" s="852" t="str">
        <f>IF($P201,$P201*TreatyCatch!BR256/SUM(TreatyCatch!$BR256:$BS256,TreatyCatch!$BU256:$BV256),"")</f>
        <v/>
      </c>
      <c r="R201" s="853" t="str">
        <f>IF($P201,$P201*TreatyCatch!BS256/SUM(TreatyCatch!$BR256:$BS256,TreatyCatch!$BU256:$BV256),"")</f>
        <v/>
      </c>
      <c r="S201" s="846" t="str">
        <f>IFERROR(Q201+AB$5*R201,"")</f>
        <v/>
      </c>
      <c r="T201" s="858" t="str">
        <f>IF($P201,$P201*TreatyCatch!BU256/SUM(TreatyCatch!$BR256:$BS256,TreatyCatch!$BU256:$BV256),"")</f>
        <v/>
      </c>
      <c r="U201" s="859" t="str">
        <f>IF($P201,$P201*TreatyCatch!BV256/SUM(TreatyCatch!$BR256:$BS256,TreatyCatch!$BU256:$BV256),"")</f>
        <v/>
      </c>
      <c r="V201" s="840" t="str">
        <f t="shared" si="85"/>
        <v/>
      </c>
      <c r="W201" s="958"/>
      <c r="X201" s="880" t="str">
        <f>IF($W201,$W201*TreatyCatch!BX256/SUM(TreatyCatch!$BX256:$BY256,TreatyCatch!$CA256:$CB256),"")</f>
        <v/>
      </c>
      <c r="Y201" s="881" t="str">
        <f>IF($W201,$W201*TreatyCatch!BY256/SUM(TreatyCatch!$BX256:$BY256,TreatyCatch!$CA256:$CB256),"")</f>
        <v/>
      </c>
      <c r="Z201" s="900" t="str">
        <f>IFERROR(X201+AI$5*Y201,"")</f>
        <v/>
      </c>
      <c r="AA201" s="891" t="str">
        <f>IF($W201,$W201*TreatyCatch!CA256/SUM(TreatyCatch!$BX256:$BY256,TreatyCatch!$CA256:$CB256),"")</f>
        <v/>
      </c>
      <c r="AB201" s="892" t="str">
        <f>IF($W201,$W201*TreatyCatch!CB256/SUM(TreatyCatch!$BX256:$BY256,TreatyCatch!$CA256:$CB256),"")</f>
        <v/>
      </c>
      <c r="AC201" s="956" t="str">
        <f t="shared" si="87"/>
        <v/>
      </c>
      <c r="AD201" s="958"/>
      <c r="AE201" s="1071" t="str">
        <f>IF($AD201,$AD201*TreatyCatch!CD431/SUM(TreatyCatch!$CD431:$CE431,TreatyCatch!$CG431:$CH431),"")</f>
        <v/>
      </c>
      <c r="AF201" s="1072" t="str">
        <f>IF($AD201,$AD201*TreatyCatch!CE431/SUM(TreatyCatch!$CD431:$CE431,TreatyCatch!$CG431:$CH431),"")</f>
        <v/>
      </c>
      <c r="AG201" s="1073" t="str">
        <f>IFERROR(AE201+AP$5*AF201,"")</f>
        <v/>
      </c>
      <c r="AH201" s="1059" t="str">
        <f>IF($AD201,$AD201*TreatyCatch!CG431/SUM(TreatyCatch!$CD431:CE431,TreatyCatch!$CG431:$CH431),"")</f>
        <v/>
      </c>
      <c r="AI201" s="1060" t="str">
        <f>IF($AD201,$AD201*TreatyCatch!CH431/SUM(TreatyCatch!$CD431:CF431,TreatyCatch!$CG431:$CH431),"")</f>
        <v/>
      </c>
      <c r="AJ201" s="1061" t="str">
        <f t="shared" si="89"/>
        <v/>
      </c>
      <c r="AK201" s="969"/>
      <c r="AL201" s="880"/>
      <c r="AM201" s="881"/>
      <c r="AN201" s="900"/>
      <c r="AO201" s="891"/>
      <c r="AP201" s="892"/>
      <c r="AQ201" s="956"/>
      <c r="AR201" s="765"/>
      <c r="AS201" s="852"/>
      <c r="AT201" s="853"/>
      <c r="AU201" s="846"/>
      <c r="AV201" s="858"/>
      <c r="AW201" s="859"/>
      <c r="AX201" s="840"/>
      <c r="AY201" s="765"/>
      <c r="AZ201" s="880"/>
      <c r="BA201" s="881"/>
      <c r="BB201" s="900"/>
      <c r="BC201" s="891"/>
      <c r="BD201" s="892"/>
      <c r="BE201" s="956"/>
      <c r="BF201" s="765"/>
      <c r="BG201" s="852"/>
      <c r="BH201" s="853"/>
      <c r="BI201" s="846"/>
      <c r="BJ201" s="858"/>
      <c r="BK201" s="859"/>
      <c r="BL201" s="840"/>
      <c r="BM201" s="765"/>
      <c r="BN201" s="880"/>
      <c r="BO201" s="881"/>
      <c r="BP201" s="900"/>
      <c r="BQ201" s="891"/>
      <c r="BR201" s="892"/>
      <c r="BS201" s="956"/>
      <c r="BT201" s="765"/>
      <c r="BU201" s="852"/>
      <c r="BV201" s="853"/>
      <c r="BW201" s="846"/>
      <c r="BX201" s="858"/>
      <c r="BY201" s="859"/>
      <c r="BZ201" s="840"/>
      <c r="CA201" s="765"/>
      <c r="CB201" s="880"/>
      <c r="CC201" s="881"/>
      <c r="CD201" s="900"/>
      <c r="CE201" s="891"/>
      <c r="CF201" s="892"/>
      <c r="CG201" s="956"/>
      <c r="CH201" s="765"/>
      <c r="CI201" s="852"/>
      <c r="CJ201" s="853"/>
      <c r="CK201" s="846"/>
      <c r="CL201" s="858"/>
      <c r="CM201" s="859"/>
      <c r="CN201" s="840"/>
    </row>
    <row r="202" spans="1:92" x14ac:dyDescent="0.25">
      <c r="A202" s="757">
        <v>19</v>
      </c>
      <c r="B202" s="765"/>
      <c r="C202" s="844" t="str">
        <f>IF($B202,$B202*TreatyCatch!BF257/SUM(TreatyCatch!$BF257:$BG257,TreatyCatch!$BI257:$BJ257),"")</f>
        <v/>
      </c>
      <c r="D202" s="844" t="str">
        <f>IF($B202,$B202*TreatyCatch!BG257/SUM(TreatyCatch!$BF257:$BG257,TreatyCatch!$BI257:$BJ257),"")</f>
        <v/>
      </c>
      <c r="E202" s="846" t="str">
        <f t="shared" ref="E202:E236" si="90">IFERROR(C202+N$5*D202,"")</f>
        <v/>
      </c>
      <c r="F202" s="838" t="str">
        <f>IF($B202,$B202*TreatyCatch!BI257/SUM(TreatyCatch!$BF257:$BG257,TreatyCatch!$BI257:$BJ257),"")</f>
        <v/>
      </c>
      <c r="G202" s="866" t="str">
        <f>IF($B202,$B202*TreatyCatch!BJ257/SUM(TreatyCatch!$BF257:$BG257,TreatyCatch!$BI257:$BJ257),"")</f>
        <v/>
      </c>
      <c r="H202" s="840" t="str">
        <f t="shared" si="83"/>
        <v/>
      </c>
      <c r="I202" s="765">
        <v>1</v>
      </c>
      <c r="J202" s="882">
        <f>IF($I202,$I202*TreatyCatch!BL257/SUM(TreatyCatch!$BL257:$BM257,TreatyCatch!$BO257:$BP257),"")</f>
        <v>0</v>
      </c>
      <c r="K202" s="883">
        <f>IF($I202,$I202*TreatyCatch!BM257/SUM(TreatyCatch!$BL257:$BM257,TreatyCatch!$BO257:$BP257),"")</f>
        <v>0</v>
      </c>
      <c r="L202" s="901">
        <f t="shared" ref="L202:L236" si="91">IFERROR(J202+U$5*K202,"")</f>
        <v>0</v>
      </c>
      <c r="M202" s="893">
        <f>IF($I202,$I202*TreatyCatch!BO257/SUM(TreatyCatch!$BL257:$BM257,TreatyCatch!$BO257:$BP257),"")</f>
        <v>0.41444270015698581</v>
      </c>
      <c r="N202" s="894">
        <f>IF($I202,$I202*TreatyCatch!BP257/SUM(TreatyCatch!$BL257:$BM257,TreatyCatch!$BO47:$BP257),"")</f>
        <v>1.3021928248277963E-2</v>
      </c>
      <c r="O202" s="877">
        <f t="shared" si="81"/>
        <v>0.41556909695046185</v>
      </c>
      <c r="P202" s="765"/>
      <c r="Q202" s="852" t="str">
        <f>IF($P202,$P202*TreatyCatch!BR257/SUM(TreatyCatch!$BR257:$BS257,TreatyCatch!$BU257:$BV257),"")</f>
        <v/>
      </c>
      <c r="R202" s="853" t="str">
        <f>IF($P202,$P202*TreatyCatch!BS257/SUM(TreatyCatch!$BR257:$BS257,TreatyCatch!$BU257:$BV257),"")</f>
        <v/>
      </c>
      <c r="S202" s="856" t="str">
        <f t="shared" ref="S202:S236" si="92">IFERROR(Q202+AB$5*R202,"")</f>
        <v/>
      </c>
      <c r="T202" s="858" t="str">
        <f>IF($P202,$P202*TreatyCatch!BU257/SUM(TreatyCatch!$BR257:$BS257,TreatyCatch!$BU257:$BV257),"")</f>
        <v/>
      </c>
      <c r="U202" s="859" t="str">
        <f>IF($P202,$P202*TreatyCatch!BV257/SUM(TreatyCatch!$BR257:$BS257,TreatyCatch!$BU257:$BV257),"")</f>
        <v/>
      </c>
      <c r="V202" s="840" t="str">
        <f t="shared" si="85"/>
        <v/>
      </c>
      <c r="W202" s="958">
        <v>2</v>
      </c>
      <c r="X202" s="882">
        <v>0</v>
      </c>
      <c r="Y202" s="883">
        <v>0</v>
      </c>
      <c r="Z202" s="901">
        <f t="shared" ref="Z202:Z236" si="93">IFERROR(X202+AI$5*Y202,"")</f>
        <v>0</v>
      </c>
      <c r="AA202" s="893">
        <v>0</v>
      </c>
      <c r="AB202" s="894">
        <v>2</v>
      </c>
      <c r="AC202" s="957">
        <f t="shared" si="87"/>
        <v>0.1736</v>
      </c>
      <c r="AD202" s="958">
        <v>2</v>
      </c>
      <c r="AE202" s="1090">
        <v>0</v>
      </c>
      <c r="AF202" s="1091">
        <v>0</v>
      </c>
      <c r="AG202" s="1073">
        <f t="shared" ref="AG202:AG236" si="94">IFERROR(AE202+AP$5*AF202,"")</f>
        <v>0</v>
      </c>
      <c r="AH202" s="1091">
        <v>0</v>
      </c>
      <c r="AI202" s="1092">
        <v>2</v>
      </c>
      <c r="AJ202" s="1061">
        <f t="shared" si="89"/>
        <v>0.17699999999999999</v>
      </c>
      <c r="AK202" s="958">
        <v>2</v>
      </c>
      <c r="AL202" s="1496">
        <v>0</v>
      </c>
      <c r="AM202" s="1497">
        <v>0</v>
      </c>
      <c r="AN202" s="1058">
        <f t="shared" ref="AN202" si="95">IFERROR(AL202+AW$5*AM202,"")</f>
        <v>0</v>
      </c>
      <c r="AO202" s="1497">
        <v>0</v>
      </c>
      <c r="AP202" s="1498">
        <v>2</v>
      </c>
      <c r="AQ202" s="1080">
        <f t="shared" ref="AQ202" si="96">IFERROR(AO202+AP$5*AP202,"")</f>
        <v>0.17560000000000001</v>
      </c>
      <c r="AR202" s="765"/>
      <c r="AS202" s="852"/>
      <c r="AT202" s="853"/>
      <c r="AU202" s="856"/>
      <c r="AV202" s="858"/>
      <c r="AW202" s="859"/>
      <c r="AX202" s="840"/>
      <c r="AY202" s="765"/>
      <c r="AZ202" s="882"/>
      <c r="BA202" s="883"/>
      <c r="BB202" s="901"/>
      <c r="BC202" s="893"/>
      <c r="BD202" s="894"/>
      <c r="BE202" s="957"/>
      <c r="BF202" s="765"/>
      <c r="BG202" s="852"/>
      <c r="BH202" s="853"/>
      <c r="BI202" s="856"/>
      <c r="BJ202" s="858"/>
      <c r="BK202" s="859"/>
      <c r="BL202" s="840"/>
      <c r="BM202" s="765"/>
      <c r="BN202" s="882"/>
      <c r="BO202" s="883"/>
      <c r="BP202" s="901"/>
      <c r="BQ202" s="893"/>
      <c r="BR202" s="894"/>
      <c r="BS202" s="957"/>
      <c r="BT202" s="765"/>
      <c r="BU202" s="852"/>
      <c r="BV202" s="853"/>
      <c r="BW202" s="856"/>
      <c r="BX202" s="858"/>
      <c r="BY202" s="859"/>
      <c r="BZ202" s="840"/>
      <c r="CA202" s="765"/>
      <c r="CB202" s="882"/>
      <c r="CC202" s="883"/>
      <c r="CD202" s="901"/>
      <c r="CE202" s="893"/>
      <c r="CF202" s="894"/>
      <c r="CG202" s="957"/>
      <c r="CH202" s="765"/>
      <c r="CI202" s="852"/>
      <c r="CJ202" s="853"/>
      <c r="CK202" s="856"/>
      <c r="CL202" s="858"/>
      <c r="CM202" s="859"/>
      <c r="CN202" s="840"/>
    </row>
    <row r="203" spans="1:92" x14ac:dyDescent="0.25">
      <c r="A203" s="757">
        <v>20</v>
      </c>
      <c r="B203" s="765"/>
      <c r="C203" s="844" t="str">
        <f>IF($B203,$B203*TreatyCatch!BF258/SUM(TreatyCatch!$BF258:$BG258,TreatyCatch!$BI258:$BJ258),"")</f>
        <v/>
      </c>
      <c r="D203" s="844" t="str">
        <f>IF($B203,$B203*TreatyCatch!BG258/SUM(TreatyCatch!$BF258:$BG258,TreatyCatch!$BI258:$BJ258),"")</f>
        <v/>
      </c>
      <c r="E203" s="846" t="str">
        <f t="shared" si="90"/>
        <v/>
      </c>
      <c r="F203" s="838" t="str">
        <f>IF($B203,$B203*TreatyCatch!BI258/SUM(TreatyCatch!$BF258:$BG258,TreatyCatch!$BI258:$BJ258),"")</f>
        <v/>
      </c>
      <c r="G203" s="866" t="str">
        <f>IF($B203,$B203*TreatyCatch!BJ258/SUM(TreatyCatch!$BF258:$BG258,TreatyCatch!$BI258:$BJ258),"")</f>
        <v/>
      </c>
      <c r="H203" s="840" t="str">
        <f t="shared" si="83"/>
        <v/>
      </c>
      <c r="I203" s="765"/>
      <c r="J203" s="882" t="str">
        <f>IF($I203,$I203*TreatyCatch!BL258/SUM(TreatyCatch!$BL258:$BM258,TreatyCatch!$BO258:$BP258),"")</f>
        <v/>
      </c>
      <c r="K203" s="883" t="str">
        <f>IF($I203,$I203*TreatyCatch!BM258/SUM(TreatyCatch!$BL258:$BM258,TreatyCatch!$BO258:$BP258),"")</f>
        <v/>
      </c>
      <c r="L203" s="901" t="str">
        <f t="shared" si="91"/>
        <v/>
      </c>
      <c r="M203" s="893" t="str">
        <f>IF($I203,$I203*TreatyCatch!BO258/SUM(TreatyCatch!$BL258:$BM258,TreatyCatch!$BO258:$BP258),"")</f>
        <v/>
      </c>
      <c r="N203" s="894" t="str">
        <f>IF($I203,$I203*TreatyCatch!BP258/SUM(TreatyCatch!$BL258:$BM258,TreatyCatch!$BO48:$BP258),"")</f>
        <v/>
      </c>
      <c r="O203" s="877" t="str">
        <f t="shared" si="81"/>
        <v/>
      </c>
      <c r="P203" s="765"/>
      <c r="Q203" s="852" t="str">
        <f>IF($P203,$P203*TreatyCatch!BR258/SUM(TreatyCatch!$BR258:$BS258,TreatyCatch!$BU258:$BV258),"")</f>
        <v/>
      </c>
      <c r="R203" s="853" t="str">
        <f>IF($P203,$P203*TreatyCatch!BS258/SUM(TreatyCatch!$BR258:$BS258,TreatyCatch!$BU258:$BV258),"")</f>
        <v/>
      </c>
      <c r="S203" s="856" t="str">
        <f t="shared" si="92"/>
        <v/>
      </c>
      <c r="T203" s="858" t="str">
        <f>IF($P203,$P203*TreatyCatch!BU258/SUM(TreatyCatch!$BR258:$BS258,TreatyCatch!$BU258:$BV258),"")</f>
        <v/>
      </c>
      <c r="U203" s="859" t="str">
        <f>IF($P203,$P203*TreatyCatch!BV258/SUM(TreatyCatch!$BR258:$BS258,TreatyCatch!$BU258:$BV258),"")</f>
        <v/>
      </c>
      <c r="V203" s="840" t="str">
        <f t="shared" si="85"/>
        <v/>
      </c>
      <c r="W203" s="958">
        <v>2</v>
      </c>
      <c r="X203" s="882">
        <v>0</v>
      </c>
      <c r="Y203" s="883">
        <v>0</v>
      </c>
      <c r="Z203" s="901">
        <f t="shared" si="93"/>
        <v>0</v>
      </c>
      <c r="AA203" s="893">
        <v>0</v>
      </c>
      <c r="AB203" s="894">
        <v>2</v>
      </c>
      <c r="AC203" s="957">
        <f t="shared" si="87"/>
        <v>0.1736</v>
      </c>
      <c r="AD203" s="958">
        <v>4</v>
      </c>
      <c r="AE203" s="1090">
        <v>0</v>
      </c>
      <c r="AF203" s="1091">
        <v>0</v>
      </c>
      <c r="AG203" s="1073">
        <f t="shared" si="94"/>
        <v>0</v>
      </c>
      <c r="AH203" s="1091">
        <v>2</v>
      </c>
      <c r="AI203" s="1092">
        <v>2</v>
      </c>
      <c r="AJ203" s="1061">
        <f t="shared" si="89"/>
        <v>2.177</v>
      </c>
      <c r="AK203" s="958"/>
      <c r="AL203" s="882"/>
      <c r="AM203" s="883"/>
      <c r="AN203" s="901"/>
      <c r="AO203" s="893"/>
      <c r="AP203" s="894"/>
      <c r="AQ203" s="957"/>
      <c r="AR203" s="765">
        <v>1</v>
      </c>
      <c r="AS203" s="852">
        <v>0.33300000000000002</v>
      </c>
      <c r="AT203" s="853">
        <v>0</v>
      </c>
      <c r="AU203" s="1073">
        <f t="shared" ref="AU203" si="97">IFERROR(AS203+BD$5*AT203,"")</f>
        <v>0.33300000000000002</v>
      </c>
      <c r="AV203" s="858">
        <v>0.33300000000000002</v>
      </c>
      <c r="AW203" s="859">
        <v>0.33300000000000002</v>
      </c>
      <c r="AX203" s="1061">
        <f t="shared" ref="AX203" si="98">IFERROR(AV203+AW$5*AW203,"")</f>
        <v>0.36190440000000001</v>
      </c>
      <c r="AY203" s="765"/>
      <c r="AZ203" s="882"/>
      <c r="BA203" s="883"/>
      <c r="BB203" s="901"/>
      <c r="BC203" s="893"/>
      <c r="BD203" s="894"/>
      <c r="BE203" s="957"/>
      <c r="BF203" s="765"/>
      <c r="BG203" s="852"/>
      <c r="BH203" s="853"/>
      <c r="BI203" s="1073"/>
      <c r="BJ203" s="858"/>
      <c r="BK203" s="859"/>
      <c r="BL203" s="1061"/>
      <c r="BM203" s="765"/>
      <c r="BN203" s="882"/>
      <c r="BO203" s="883"/>
      <c r="BP203" s="901"/>
      <c r="BQ203" s="893"/>
      <c r="BR203" s="894"/>
      <c r="BS203" s="957"/>
      <c r="BT203" s="765"/>
      <c r="BU203" s="852"/>
      <c r="BV203" s="853"/>
      <c r="BW203" s="1073"/>
      <c r="BX203" s="858"/>
      <c r="BY203" s="859"/>
      <c r="BZ203" s="1061"/>
      <c r="CA203" s="1687">
        <f>SUM(CB203:CC204,CE203:CF203)</f>
        <v>13</v>
      </c>
      <c r="CB203" s="882">
        <v>0</v>
      </c>
      <c r="CC203" s="883">
        <v>0</v>
      </c>
      <c r="CD203" s="901">
        <f>CB203+CC203*CM$5</f>
        <v>0</v>
      </c>
      <c r="CE203" s="893">
        <v>9</v>
      </c>
      <c r="CF203" s="894">
        <v>4</v>
      </c>
      <c r="CG203" s="957">
        <f>CE203+CF203*CF$5</f>
        <v>9.3463999999999992</v>
      </c>
      <c r="CH203" s="765"/>
      <c r="CI203" s="852"/>
      <c r="CJ203" s="853"/>
      <c r="CK203" s="1073"/>
      <c r="CL203" s="858"/>
      <c r="CM203" s="859"/>
      <c r="CN203" s="1061"/>
    </row>
    <row r="204" spans="1:92" x14ac:dyDescent="0.25">
      <c r="A204" s="757">
        <v>21</v>
      </c>
      <c r="B204" s="765"/>
      <c r="C204" s="844" t="str">
        <f>IF($B204,$B204*TreatyCatch!BF259/SUM(TreatyCatch!$BF259:$BG259,TreatyCatch!$BI259:$BJ259),"")</f>
        <v/>
      </c>
      <c r="D204" s="844" t="str">
        <f>IF($B204,$B204*TreatyCatch!BG259/SUM(TreatyCatch!$BF259:$BG259,TreatyCatch!$BI259:$BJ259),"")</f>
        <v/>
      </c>
      <c r="E204" s="846" t="str">
        <f t="shared" si="90"/>
        <v/>
      </c>
      <c r="F204" s="838" t="str">
        <f>IF($B204,$B204*TreatyCatch!BI259/SUM(TreatyCatch!$BF259:$BG259,TreatyCatch!$BI259:$BJ259),"")</f>
        <v/>
      </c>
      <c r="G204" s="866" t="str">
        <f>IF($B204,$B204*TreatyCatch!BJ259/SUM(TreatyCatch!$BF259:$BG259,TreatyCatch!$BI259:$BJ259),"")</f>
        <v/>
      </c>
      <c r="H204" s="840" t="str">
        <f t="shared" si="83"/>
        <v/>
      </c>
      <c r="I204" s="765">
        <v>3</v>
      </c>
      <c r="J204" s="882">
        <f>IF($I204,$I204*TreatyCatch!BL259/SUM(TreatyCatch!$BL259:$BM259,TreatyCatch!$BO259:$BP259),"")</f>
        <v>6.1224489795918359E-2</v>
      </c>
      <c r="K204" s="883">
        <f>IF($I204,$I204*TreatyCatch!BM259/SUM(TreatyCatch!$BL259:$BM259,TreatyCatch!$BO259:$BP259),"")</f>
        <v>0</v>
      </c>
      <c r="L204" s="901">
        <f t="shared" si="91"/>
        <v>6.1224489795918359E-2</v>
      </c>
      <c r="M204" s="893">
        <f>IF($I204,$I204*TreatyCatch!BO259/SUM(TreatyCatch!$BL259:$BM259,TreatyCatch!$BO259:$BP259),"")</f>
        <v>0.8571428571428571</v>
      </c>
      <c r="N204" s="894">
        <f>IF($I204,$I204*TreatyCatch!BP259/SUM(TreatyCatch!$BL259:$BM259,TreatyCatch!$BO49:$BP259),"")</f>
        <v>0.15897457146236701</v>
      </c>
      <c r="O204" s="877">
        <f t="shared" si="81"/>
        <v>0.87089415757435185</v>
      </c>
      <c r="P204" s="765">
        <v>1</v>
      </c>
      <c r="Q204" s="852">
        <f>IF($P204,$P204*TreatyCatch!BR259/SUM(TreatyCatch!$BR259:$BS259,TreatyCatch!$BU259:$BV259),"")</f>
        <v>0</v>
      </c>
      <c r="R204" s="853">
        <f>IF($P204,$P204*TreatyCatch!BS259/SUM(TreatyCatch!$BR259:$BS259,TreatyCatch!$BU259:$BV259),"")</f>
        <v>0</v>
      </c>
      <c r="S204" s="952">
        <f t="shared" si="92"/>
        <v>0</v>
      </c>
      <c r="T204" s="858">
        <f>IF($P204,$P204*TreatyCatch!BU259/SUM(TreatyCatch!$BR259:$BS259,TreatyCatch!$BU259:$BV259),"")</f>
        <v>0.41304347826086957</v>
      </c>
      <c r="U204" s="859">
        <f>IF($P204,$P204*TreatyCatch!BV259/SUM(TreatyCatch!$BR259:$BS259,TreatyCatch!$BU259:$BV259),"")</f>
        <v>0.58695652173913049</v>
      </c>
      <c r="V204" s="840">
        <f t="shared" si="85"/>
        <v>0.46469565217391307</v>
      </c>
      <c r="W204" s="958"/>
      <c r="X204" s="882" t="str">
        <f>IF($W204,$W204*TreatyCatch!BX259/SUM(TreatyCatch!$BX259:$BY259,TreatyCatch!$CA259:$CB259),"")</f>
        <v/>
      </c>
      <c r="Y204" s="883" t="str">
        <f>IF($W204,$W204*TreatyCatch!BY259/SUM(TreatyCatch!$BX259:$BY259,TreatyCatch!$CA259:$CB259),"")</f>
        <v/>
      </c>
      <c r="Z204" s="901" t="str">
        <f t="shared" si="93"/>
        <v/>
      </c>
      <c r="AA204" s="893" t="str">
        <f>IF($W204,$W204*TreatyCatch!CA259/SUM(TreatyCatch!$BX259:$BY259,TreatyCatch!$CA259:$CB259),"")</f>
        <v/>
      </c>
      <c r="AB204" s="894" t="str">
        <f>IF($W204,$W204*TreatyCatch!CB259/SUM(TreatyCatch!$BX259:$BY259,TreatyCatch!$CA259:$CB259),"")</f>
        <v/>
      </c>
      <c r="AC204" s="957" t="str">
        <f t="shared" si="87"/>
        <v/>
      </c>
      <c r="AD204" s="958"/>
      <c r="AE204" s="1071" t="str">
        <f>IF($AD204,$AD204*TreatyCatch!CD434/SUM(TreatyCatch!$CD434:$CE434,TreatyCatch!$CG434:$CH434),"")</f>
        <v/>
      </c>
      <c r="AF204" s="1072" t="str">
        <f>IF($AD204,$AD204*TreatyCatch!CE434/SUM(TreatyCatch!$CD434:$CE434,TreatyCatch!$CG434:$CH434),"")</f>
        <v/>
      </c>
      <c r="AG204" s="1073" t="str">
        <f t="shared" si="94"/>
        <v/>
      </c>
      <c r="AH204" s="1059" t="str">
        <f>IF($AD204,$AD204*TreatyCatch!CG434/SUM(TreatyCatch!$CD434:CE434,TreatyCatch!$CG434:$CH434),"")</f>
        <v/>
      </c>
      <c r="AI204" s="1060" t="str">
        <f>IF($AD204,$AD204*TreatyCatch!CH434/SUM(TreatyCatch!$CD434:CF434,TreatyCatch!$CG434:$CH434),"")</f>
        <v/>
      </c>
      <c r="AJ204" s="1061" t="str">
        <f t="shared" si="89"/>
        <v/>
      </c>
      <c r="AK204" s="958"/>
      <c r="AL204" s="882"/>
      <c r="AM204" s="883"/>
      <c r="AN204" s="901"/>
      <c r="AO204" s="893"/>
      <c r="AP204" s="894"/>
      <c r="AQ204" s="957"/>
      <c r="AR204" s="765"/>
      <c r="AS204" s="852"/>
      <c r="AT204" s="853"/>
      <c r="AU204" s="952"/>
      <c r="AV204" s="858"/>
      <c r="AW204" s="859"/>
      <c r="AX204" s="840"/>
      <c r="AY204" s="765"/>
      <c r="AZ204" s="882"/>
      <c r="BA204" s="883"/>
      <c r="BB204" s="901"/>
      <c r="BC204" s="893"/>
      <c r="BD204" s="894"/>
      <c r="BE204" s="957"/>
      <c r="BF204" s="765"/>
      <c r="BG204" s="852"/>
      <c r="BH204" s="853"/>
      <c r="BI204" s="952"/>
      <c r="BJ204" s="858"/>
      <c r="BK204" s="859"/>
      <c r="BL204" s="840"/>
      <c r="BM204" s="765"/>
      <c r="BN204" s="882"/>
      <c r="BO204" s="883"/>
      <c r="BP204" s="901"/>
      <c r="BQ204" s="893"/>
      <c r="BR204" s="894"/>
      <c r="BS204" s="957"/>
      <c r="BT204" s="1687">
        <f>SUM(BU204:BV205,BX204:BY204)</f>
        <v>5</v>
      </c>
      <c r="BU204" s="852">
        <v>0</v>
      </c>
      <c r="BV204" s="853">
        <v>0</v>
      </c>
      <c r="BW204" s="952">
        <f>BU204+BV204*CF$5</f>
        <v>0</v>
      </c>
      <c r="BX204" s="858">
        <v>1</v>
      </c>
      <c r="BY204" s="859">
        <v>4</v>
      </c>
      <c r="BZ204" s="840">
        <f>BX204+BY204*BY$5</f>
        <v>1.3240000000000001</v>
      </c>
      <c r="CA204" s="1687">
        <f t="shared" ref="CA204:CA205" si="99">SUM(CB204:CC205,CE204:CF204)</f>
        <v>10</v>
      </c>
      <c r="CB204" s="882">
        <v>0</v>
      </c>
      <c r="CC204" s="883">
        <v>0</v>
      </c>
      <c r="CD204" s="901">
        <f t="shared" ref="CD204:CD205" si="100">CB204+CC204*CM$5</f>
        <v>0</v>
      </c>
      <c r="CE204" s="893">
        <v>5</v>
      </c>
      <c r="CF204" s="894">
        <v>5</v>
      </c>
      <c r="CG204" s="957">
        <f t="shared" ref="CG204:CG205" si="101">CE204+CF204*CF$5</f>
        <v>5.4329999999999998</v>
      </c>
      <c r="CH204" s="1687"/>
      <c r="CI204" s="852"/>
      <c r="CJ204" s="853"/>
      <c r="CK204" s="952"/>
      <c r="CL204" s="858"/>
      <c r="CM204" s="859"/>
      <c r="CN204" s="840"/>
    </row>
    <row r="205" spans="1:92" x14ac:dyDescent="0.25">
      <c r="A205" s="757">
        <v>22</v>
      </c>
      <c r="B205" s="765"/>
      <c r="C205" s="844" t="str">
        <f>IF($B205,$B205*TreatyCatch!BF260/SUM(TreatyCatch!$BF260:$BG260,TreatyCatch!$BI260:$BJ260),"")</f>
        <v/>
      </c>
      <c r="D205" s="844" t="str">
        <f>IF($B205,$B205*TreatyCatch!BG260/SUM(TreatyCatch!$BF260:$BG260,TreatyCatch!$BI260:$BJ260),"")</f>
        <v/>
      </c>
      <c r="E205" s="846" t="str">
        <f t="shared" si="90"/>
        <v/>
      </c>
      <c r="F205" s="838" t="str">
        <f>IF($B205,$B205*TreatyCatch!BI260/SUM(TreatyCatch!$BF260:$BG260,TreatyCatch!$BI260:$BJ260),"")</f>
        <v/>
      </c>
      <c r="G205" s="866" t="str">
        <f>IF($B205,$B205*TreatyCatch!BJ260/SUM(TreatyCatch!$BF260:$BG260,TreatyCatch!$BI260:$BJ260),"")</f>
        <v/>
      </c>
      <c r="H205" s="840" t="str">
        <f t="shared" si="83"/>
        <v/>
      </c>
      <c r="I205" s="765"/>
      <c r="J205" s="882" t="str">
        <f>IF($I205,$I205*TreatyCatch!BL260/SUM(TreatyCatch!$BL260:$BM260,TreatyCatch!$BO260:$BP260),"")</f>
        <v/>
      </c>
      <c r="K205" s="883" t="str">
        <f>IF($I205,$I205*TreatyCatch!BM260/SUM(TreatyCatch!$BL260:$BM260,TreatyCatch!$BO260:$BP260),"")</f>
        <v/>
      </c>
      <c r="L205" s="901" t="str">
        <f t="shared" si="91"/>
        <v/>
      </c>
      <c r="M205" s="893" t="str">
        <f>IF($I205,$I205*TreatyCatch!BO260/SUM(TreatyCatch!$BL260:$BM260,TreatyCatch!$BO260:$BP260),"")</f>
        <v/>
      </c>
      <c r="N205" s="894" t="str">
        <f>IF($I205,$I205*TreatyCatch!BP260/SUM(TreatyCatch!$BL260:$BM260,TreatyCatch!$BO50:$BP260),"")</f>
        <v/>
      </c>
      <c r="O205" s="877" t="str">
        <f t="shared" si="81"/>
        <v/>
      </c>
      <c r="P205" s="765"/>
      <c r="Q205" s="852" t="str">
        <f>IF($P205,$P205*TreatyCatch!BR260/SUM(TreatyCatch!$BR260:$BS260,TreatyCatch!$BU260:$BV260),"")</f>
        <v/>
      </c>
      <c r="R205" s="853" t="str">
        <f>IF($P205,$P205*TreatyCatch!BS260/SUM(TreatyCatch!$BR260:$BS260,TreatyCatch!$BU260:$BV260),"")</f>
        <v/>
      </c>
      <c r="S205" s="952" t="str">
        <f t="shared" si="92"/>
        <v/>
      </c>
      <c r="T205" s="858" t="str">
        <f>IF($P205,$P205*TreatyCatch!BU260/SUM(TreatyCatch!$BR260:$BS260,TreatyCatch!$BU260:$BV260),"")</f>
        <v/>
      </c>
      <c r="U205" s="859" t="str">
        <f>IF($P205,$P205*TreatyCatch!BV260/SUM(TreatyCatch!$BR260:$BS260,TreatyCatch!$BU260:$BV260),"")</f>
        <v/>
      </c>
      <c r="V205" s="840" t="str">
        <f t="shared" si="85"/>
        <v/>
      </c>
      <c r="W205" s="958"/>
      <c r="X205" s="882" t="str">
        <f>IF($W205,$W205*TreatyCatch!BX260/SUM(TreatyCatch!$BX260:$BY260,TreatyCatch!$CA260:$CB260),"")</f>
        <v/>
      </c>
      <c r="Y205" s="883" t="str">
        <f>IF($W205,$W205*TreatyCatch!BY260/SUM(TreatyCatch!$BX260:$BY260,TreatyCatch!$CA260:$CB260),"")</f>
        <v/>
      </c>
      <c r="Z205" s="901" t="str">
        <f t="shared" si="93"/>
        <v/>
      </c>
      <c r="AA205" s="893" t="str">
        <f>IF($W205,$W205*TreatyCatch!CA260/SUM(TreatyCatch!$BX260:$BY260,TreatyCatch!$CA260:$CB260),"")</f>
        <v/>
      </c>
      <c r="AB205" s="894" t="str">
        <f>IF($W205,$W205*TreatyCatch!CB260/SUM(TreatyCatch!$BX260:$BY260,TreatyCatch!$CA260:$CB260),"")</f>
        <v/>
      </c>
      <c r="AC205" s="957" t="str">
        <f t="shared" si="87"/>
        <v/>
      </c>
      <c r="AD205" s="958"/>
      <c r="AE205" s="1071" t="str">
        <f>IF($AD205,$AD205*TreatyCatch!CD435/SUM(TreatyCatch!$CD435:$CE435,TreatyCatch!$CG435:$CH435),"")</f>
        <v/>
      </c>
      <c r="AF205" s="1072" t="str">
        <f>IF($AD205,$AD205*TreatyCatch!CE435/SUM(TreatyCatch!$CD435:$CE435,TreatyCatch!$CG435:$CH435),"")</f>
        <v/>
      </c>
      <c r="AG205" s="1073" t="str">
        <f t="shared" si="94"/>
        <v/>
      </c>
      <c r="AH205" s="1059" t="str">
        <f>IF($AD205,$AD205*TreatyCatch!CG435/SUM(TreatyCatch!$CD435:CE435,TreatyCatch!$CG435:$CH435),"")</f>
        <v/>
      </c>
      <c r="AI205" s="1060" t="str">
        <f>IF($AD205,$AD205*TreatyCatch!CH435/SUM(TreatyCatch!$CD435:CF435,TreatyCatch!$CG435:$CH435),"")</f>
        <v/>
      </c>
      <c r="AJ205" s="1061" t="str">
        <f t="shared" si="89"/>
        <v/>
      </c>
      <c r="AK205" s="958"/>
      <c r="AL205" s="882"/>
      <c r="AM205" s="883"/>
      <c r="AN205" s="901"/>
      <c r="AO205" s="893"/>
      <c r="AP205" s="894"/>
      <c r="AQ205" s="957"/>
      <c r="AR205" s="765"/>
      <c r="AS205" s="852"/>
      <c r="AT205" s="853"/>
      <c r="AU205" s="952"/>
      <c r="AV205" s="858"/>
      <c r="AW205" s="859"/>
      <c r="AX205" s="840"/>
      <c r="AY205" s="765"/>
      <c r="AZ205" s="882"/>
      <c r="BA205" s="883"/>
      <c r="BB205" s="901"/>
      <c r="BC205" s="893"/>
      <c r="BD205" s="894"/>
      <c r="BE205" s="957"/>
      <c r="BF205" s="765"/>
      <c r="BG205" s="852"/>
      <c r="BH205" s="853"/>
      <c r="BI205" s="952"/>
      <c r="BJ205" s="858"/>
      <c r="BK205" s="859"/>
      <c r="BL205" s="840"/>
      <c r="BM205" s="765"/>
      <c r="BN205" s="882"/>
      <c r="BO205" s="883"/>
      <c r="BP205" s="901"/>
      <c r="BQ205" s="893"/>
      <c r="BR205" s="894"/>
      <c r="BS205" s="957"/>
      <c r="BT205" s="1687">
        <f>SUM(BU205:BV206,BX205:BY205)</f>
        <v>8</v>
      </c>
      <c r="BU205" s="852">
        <v>0</v>
      </c>
      <c r="BV205" s="853">
        <v>0</v>
      </c>
      <c r="BW205" s="952">
        <f>BU205+BV205*CF$5</f>
        <v>0</v>
      </c>
      <c r="BX205" s="858">
        <v>4</v>
      </c>
      <c r="BY205" s="859">
        <v>4</v>
      </c>
      <c r="BZ205" s="840">
        <f>BX205+BY205*BY$5</f>
        <v>4.3239999999999998</v>
      </c>
      <c r="CA205" s="1687">
        <f t="shared" si="99"/>
        <v>7</v>
      </c>
      <c r="CB205" s="882">
        <v>0</v>
      </c>
      <c r="CC205" s="883">
        <v>0</v>
      </c>
      <c r="CD205" s="901">
        <f t="shared" si="100"/>
        <v>0</v>
      </c>
      <c r="CE205" s="893">
        <v>7</v>
      </c>
      <c r="CF205" s="894">
        <v>0</v>
      </c>
      <c r="CG205" s="957">
        <f t="shared" si="101"/>
        <v>7</v>
      </c>
      <c r="CH205" s="1687"/>
      <c r="CI205" s="852"/>
      <c r="CJ205" s="853"/>
      <c r="CK205" s="952"/>
      <c r="CL205" s="858"/>
      <c r="CM205" s="859"/>
      <c r="CN205" s="840"/>
    </row>
    <row r="206" spans="1:92" x14ac:dyDescent="0.25">
      <c r="A206" s="757">
        <v>23</v>
      </c>
      <c r="B206" s="765"/>
      <c r="C206" s="844" t="str">
        <f>IF($B206,$B206*TreatyCatch!BF261/SUM(TreatyCatch!$BF261:$BG261,TreatyCatch!$BI261:$BJ261),"")</f>
        <v/>
      </c>
      <c r="D206" s="844" t="str">
        <f>IF($B206,$B206*TreatyCatch!BG261/SUM(TreatyCatch!$BF261:$BG261,TreatyCatch!$BI261:$BJ261),"")</f>
        <v/>
      </c>
      <c r="E206" s="846" t="str">
        <f t="shared" si="90"/>
        <v/>
      </c>
      <c r="F206" s="838" t="str">
        <f>IF($B206,$B206*TreatyCatch!BI261/SUM(TreatyCatch!$BF261:$BG261,TreatyCatch!$BI261:$BJ261),"")</f>
        <v/>
      </c>
      <c r="G206" s="866" t="str">
        <f>IF($B206,$B206*TreatyCatch!BJ261/SUM(TreatyCatch!$BF261:$BG261,TreatyCatch!$BI261:$BJ261),"")</f>
        <v/>
      </c>
      <c r="H206" s="840" t="str">
        <f t="shared" si="83"/>
        <v/>
      </c>
      <c r="I206" s="765"/>
      <c r="J206" s="882" t="str">
        <f>IF($I206,$I206*TreatyCatch!BL261/SUM(TreatyCatch!$BL261:$BM261,TreatyCatch!$BO261:$BP261),"")</f>
        <v/>
      </c>
      <c r="K206" s="883" t="str">
        <f>IF($I206,$I206*TreatyCatch!BM261/SUM(TreatyCatch!$BL261:$BM261,TreatyCatch!$BO261:$BP261),"")</f>
        <v/>
      </c>
      <c r="L206" s="901" t="str">
        <f t="shared" si="91"/>
        <v/>
      </c>
      <c r="M206" s="893" t="str">
        <f>IF($I206,$I206*TreatyCatch!BO261/SUM(TreatyCatch!$BL261:$BM261,TreatyCatch!$BO261:$BP261),"")</f>
        <v/>
      </c>
      <c r="N206" s="894" t="str">
        <f>IF($I206,$I206*TreatyCatch!BP261/SUM(TreatyCatch!$BL261:$BM261,TreatyCatch!$BO51:$BP261),"")</f>
        <v/>
      </c>
      <c r="O206" s="877" t="str">
        <f t="shared" si="81"/>
        <v/>
      </c>
      <c r="P206" s="765"/>
      <c r="Q206" s="852" t="str">
        <f>IF($P206,$P206*TreatyCatch!BR261/SUM(TreatyCatch!$BR261:$BS261,TreatyCatch!$BU261:$BV261),"")</f>
        <v/>
      </c>
      <c r="R206" s="853" t="str">
        <f>IF($P206,$P206*TreatyCatch!BS261/SUM(TreatyCatch!$BR261:$BS261,TreatyCatch!$BU261:$BV261),"")</f>
        <v/>
      </c>
      <c r="S206" s="952" t="str">
        <f t="shared" si="92"/>
        <v/>
      </c>
      <c r="T206" s="858" t="str">
        <f>IF($P206,$P206*TreatyCatch!BU261/SUM(TreatyCatch!$BR261:$BS261,TreatyCatch!$BU261:$BV261),"")</f>
        <v/>
      </c>
      <c r="U206" s="859" t="str">
        <f>IF($P206,$P206*TreatyCatch!BV261/SUM(TreatyCatch!$BR261:$BS261,TreatyCatch!$BU261:$BV261),"")</f>
        <v/>
      </c>
      <c r="V206" s="840" t="str">
        <f t="shared" si="85"/>
        <v/>
      </c>
      <c r="W206" s="958"/>
      <c r="X206" s="882" t="str">
        <f>IF($W206,$W206*TreatyCatch!BX261/SUM(TreatyCatch!$BX261:$BY261,TreatyCatch!$CA261:$CB261),"")</f>
        <v/>
      </c>
      <c r="Y206" s="883" t="str">
        <f>IF($W206,$W206*TreatyCatch!BY261/SUM(TreatyCatch!$BX261:$BY261,TreatyCatch!$CA261:$CB261),"")</f>
        <v/>
      </c>
      <c r="Z206" s="901" t="str">
        <f t="shared" si="93"/>
        <v/>
      </c>
      <c r="AA206" s="893" t="str">
        <f>IF($W206,$W206*TreatyCatch!CA261/SUM(TreatyCatch!$BX261:$BY261,TreatyCatch!$CA261:$CB261),"")</f>
        <v/>
      </c>
      <c r="AB206" s="894" t="str">
        <f>IF($W206,$W206*TreatyCatch!CB261/SUM(TreatyCatch!$BX261:$BY261,TreatyCatch!$CA261:$CB261),"")</f>
        <v/>
      </c>
      <c r="AC206" s="957" t="str">
        <f t="shared" si="87"/>
        <v/>
      </c>
      <c r="AD206" s="958"/>
      <c r="AE206" s="1071" t="str">
        <f>IF($AD206,$AD206*TreatyCatch!CD436/SUM(TreatyCatch!$CD436:$CE436,TreatyCatch!$CG436:$CH436),"")</f>
        <v/>
      </c>
      <c r="AF206" s="1072" t="str">
        <f>IF($AD206,$AD206*TreatyCatch!CE436/SUM(TreatyCatch!$CD436:$CE436,TreatyCatch!$CG436:$CH436),"")</f>
        <v/>
      </c>
      <c r="AG206" s="1073" t="str">
        <f t="shared" si="94"/>
        <v/>
      </c>
      <c r="AH206" s="1059" t="str">
        <f>IF($AD206,$AD206*TreatyCatch!CG436/SUM(TreatyCatch!$CD436:CE436,TreatyCatch!$CG436:$CH436),"")</f>
        <v/>
      </c>
      <c r="AI206" s="1060" t="str">
        <f>IF($AD206,$AD206*TreatyCatch!CH436/SUM(TreatyCatch!$CD436:CF436,TreatyCatch!$CG436:$CH436),"")</f>
        <v/>
      </c>
      <c r="AJ206" s="1061" t="str">
        <f t="shared" si="89"/>
        <v/>
      </c>
      <c r="AK206" s="958"/>
      <c r="AL206" s="882"/>
      <c r="AM206" s="883"/>
      <c r="AN206" s="901"/>
      <c r="AO206" s="893"/>
      <c r="AP206" s="894"/>
      <c r="AQ206" s="957"/>
      <c r="AR206" s="765"/>
      <c r="AS206" s="852"/>
      <c r="AT206" s="853"/>
      <c r="AU206" s="952"/>
      <c r="AV206" s="858"/>
      <c r="AW206" s="859"/>
      <c r="AX206" s="840"/>
      <c r="AY206" s="765"/>
      <c r="AZ206" s="882"/>
      <c r="BA206" s="883"/>
      <c r="BB206" s="901"/>
      <c r="BC206" s="893"/>
      <c r="BD206" s="894"/>
      <c r="BE206" s="957"/>
      <c r="BF206" s="765"/>
      <c r="BG206" s="852"/>
      <c r="BH206" s="853"/>
      <c r="BI206" s="952"/>
      <c r="BJ206" s="858"/>
      <c r="BK206" s="859"/>
      <c r="BL206" s="840"/>
      <c r="BM206" s="765"/>
      <c r="BN206" s="882"/>
      <c r="BO206" s="883"/>
      <c r="BP206" s="901"/>
      <c r="BQ206" s="893"/>
      <c r="BR206" s="894"/>
      <c r="BS206" s="957"/>
      <c r="BT206" s="765"/>
      <c r="BU206" s="852"/>
      <c r="BV206" s="853"/>
      <c r="BW206" s="952"/>
      <c r="BX206" s="858"/>
      <c r="BY206" s="859"/>
      <c r="BZ206" s="840"/>
      <c r="CA206" s="765"/>
      <c r="CB206" s="882"/>
      <c r="CC206" s="883"/>
      <c r="CD206" s="901"/>
      <c r="CE206" s="893"/>
      <c r="CF206" s="894"/>
      <c r="CG206" s="957"/>
      <c r="CH206" s="765"/>
      <c r="CI206" s="852"/>
      <c r="CJ206" s="853"/>
      <c r="CK206" s="952"/>
      <c r="CL206" s="858"/>
      <c r="CM206" s="859"/>
      <c r="CN206" s="840"/>
    </row>
    <row r="207" spans="1:92" x14ac:dyDescent="0.25">
      <c r="A207" s="757">
        <v>24</v>
      </c>
      <c r="B207" s="765"/>
      <c r="C207" s="844" t="str">
        <f>IF($B207,$B207*TreatyCatch!BF262/SUM(TreatyCatch!$BF262:$BG262,TreatyCatch!$BI262:$BJ262),"")</f>
        <v/>
      </c>
      <c r="D207" s="844" t="str">
        <f>IF($B207,$B207*TreatyCatch!BG262/SUM(TreatyCatch!$BF262:$BG262,TreatyCatch!$BI262:$BJ262),"")</f>
        <v/>
      </c>
      <c r="E207" s="846" t="str">
        <f t="shared" si="90"/>
        <v/>
      </c>
      <c r="F207" s="838" t="str">
        <f>IF($B207,$B207*TreatyCatch!BI262/SUM(TreatyCatch!$BF262:$BG262,TreatyCatch!$BI262:$BJ262),"")</f>
        <v/>
      </c>
      <c r="G207" s="866" t="str">
        <f>IF($B207,$B207*TreatyCatch!BJ262/SUM(TreatyCatch!$BF262:$BG262,TreatyCatch!$BI262:$BJ262),"")</f>
        <v/>
      </c>
      <c r="H207" s="840" t="str">
        <f t="shared" si="83"/>
        <v/>
      </c>
      <c r="I207" s="765"/>
      <c r="J207" s="882" t="str">
        <f>IF($I207,$I207*TreatyCatch!BL262/SUM(TreatyCatch!$BL262:$BM262,TreatyCatch!$BO262:$BP262),"")</f>
        <v/>
      </c>
      <c r="K207" s="883" t="str">
        <f>IF($I207,$I207*TreatyCatch!BM262/SUM(TreatyCatch!$BL262:$BM262,TreatyCatch!$BO262:$BP262),"")</f>
        <v/>
      </c>
      <c r="L207" s="901" t="str">
        <f t="shared" si="91"/>
        <v/>
      </c>
      <c r="M207" s="893" t="str">
        <f>IF($I207,$I207*TreatyCatch!BO262/SUM(TreatyCatch!$BL262:$BM262,TreatyCatch!$BO262:$BP262),"")</f>
        <v/>
      </c>
      <c r="N207" s="894" t="str">
        <f>IF($I207,$I207*TreatyCatch!BP262/SUM(TreatyCatch!$BL262:$BM262,TreatyCatch!$BO52:$BP262),"")</f>
        <v/>
      </c>
      <c r="O207" s="877" t="str">
        <f t="shared" si="81"/>
        <v/>
      </c>
      <c r="P207" s="765"/>
      <c r="Q207" s="852" t="str">
        <f>IF($P207,$P207*TreatyCatch!BR262/SUM(TreatyCatch!$BR262:$BS262,TreatyCatch!$BU262:$BV262),"")</f>
        <v/>
      </c>
      <c r="R207" s="853" t="str">
        <f>IF($P207,$P207*TreatyCatch!BS262/SUM(TreatyCatch!$BR262:$BS262,TreatyCatch!$BU262:$BV262),"")</f>
        <v/>
      </c>
      <c r="S207" s="952" t="str">
        <f t="shared" si="92"/>
        <v/>
      </c>
      <c r="T207" s="858" t="str">
        <f>IF($P207,$P207*TreatyCatch!BU262/SUM(TreatyCatch!$BR262:$BS262,TreatyCatch!$BU262:$BV262),"")</f>
        <v/>
      </c>
      <c r="U207" s="859" t="str">
        <f>IF($P207,$P207*TreatyCatch!BV262/SUM(TreatyCatch!$BR262:$BS262,TreatyCatch!$BU262:$BV262),"")</f>
        <v/>
      </c>
      <c r="V207" s="840" t="str">
        <f t="shared" si="85"/>
        <v/>
      </c>
      <c r="W207" s="958"/>
      <c r="X207" s="882" t="str">
        <f>IF($W207,$W207*TreatyCatch!BX262/SUM(TreatyCatch!$BX262:$BY262,TreatyCatch!$CA262:$CB262),"")</f>
        <v/>
      </c>
      <c r="Y207" s="883" t="str">
        <f>IF($W207,$W207*TreatyCatch!BY262/SUM(TreatyCatch!$BX262:$BY262,TreatyCatch!$CA262:$CB262),"")</f>
        <v/>
      </c>
      <c r="Z207" s="901" t="str">
        <f t="shared" si="93"/>
        <v/>
      </c>
      <c r="AA207" s="893" t="str">
        <f>IF($W207,$W207*TreatyCatch!CA262/SUM(TreatyCatch!$BX262:$BY262,TreatyCatch!$CA262:$CB262),"")</f>
        <v/>
      </c>
      <c r="AB207" s="894" t="str">
        <f>IF($W207,$W207*TreatyCatch!CB262/SUM(TreatyCatch!$BX262:$BY262,TreatyCatch!$CA262:$CB262),"")</f>
        <v/>
      </c>
      <c r="AC207" s="957" t="str">
        <f t="shared" si="87"/>
        <v/>
      </c>
      <c r="AD207" s="958"/>
      <c r="AE207" s="1071" t="str">
        <f>IF($AD207,$AD207*TreatyCatch!CD437/SUM(TreatyCatch!$CD437:$CE437,TreatyCatch!$CG437:$CH437),"")</f>
        <v/>
      </c>
      <c r="AF207" s="1072" t="str">
        <f>IF($AD207,$AD207*TreatyCatch!CE437/SUM(TreatyCatch!$CD437:$CE437,TreatyCatch!$CG437:$CH437),"")</f>
        <v/>
      </c>
      <c r="AG207" s="1073" t="str">
        <f t="shared" si="94"/>
        <v/>
      </c>
      <c r="AH207" s="1059" t="str">
        <f>IF($AD207,$AD207*TreatyCatch!CG437/SUM(TreatyCatch!$CD437:CE437,TreatyCatch!$CG437:$CH437),"")</f>
        <v/>
      </c>
      <c r="AI207" s="1060" t="str">
        <f>IF($AD207,$AD207*TreatyCatch!CH437/SUM(TreatyCatch!$CD437:CF437,TreatyCatch!$CG437:$CH437),"")</f>
        <v/>
      </c>
      <c r="AJ207" s="1061" t="str">
        <f t="shared" si="89"/>
        <v/>
      </c>
      <c r="AK207" s="958"/>
      <c r="AL207" s="882"/>
      <c r="AM207" s="883"/>
      <c r="AN207" s="901"/>
      <c r="AO207" s="893"/>
      <c r="AP207" s="894"/>
      <c r="AQ207" s="957"/>
      <c r="AR207" s="765"/>
      <c r="AS207" s="852"/>
      <c r="AT207" s="853"/>
      <c r="AU207" s="952"/>
      <c r="AV207" s="858"/>
      <c r="AW207" s="859"/>
      <c r="AX207" s="840"/>
      <c r="AY207" s="765"/>
      <c r="AZ207" s="882"/>
      <c r="BA207" s="883"/>
      <c r="BB207" s="901"/>
      <c r="BC207" s="893"/>
      <c r="BD207" s="894"/>
      <c r="BE207" s="957"/>
      <c r="BF207" s="765"/>
      <c r="BG207" s="852"/>
      <c r="BH207" s="853"/>
      <c r="BI207" s="952"/>
      <c r="BJ207" s="858"/>
      <c r="BK207" s="859"/>
      <c r="BL207" s="840"/>
      <c r="BM207" s="765"/>
      <c r="BN207" s="882"/>
      <c r="BO207" s="883"/>
      <c r="BP207" s="901"/>
      <c r="BQ207" s="893"/>
      <c r="BR207" s="894"/>
      <c r="BS207" s="957"/>
      <c r="BT207" s="765"/>
      <c r="BU207" s="852"/>
      <c r="BV207" s="853"/>
      <c r="BW207" s="952"/>
      <c r="BX207" s="858"/>
      <c r="BY207" s="859"/>
      <c r="BZ207" s="840"/>
      <c r="CA207" s="765"/>
      <c r="CB207" s="882"/>
      <c r="CC207" s="883"/>
      <c r="CD207" s="901"/>
      <c r="CE207" s="893"/>
      <c r="CF207" s="894"/>
      <c r="CG207" s="957"/>
      <c r="CH207" s="765"/>
      <c r="CI207" s="852"/>
      <c r="CJ207" s="853"/>
      <c r="CK207" s="952"/>
      <c r="CL207" s="858"/>
      <c r="CM207" s="859"/>
      <c r="CN207" s="840"/>
    </row>
    <row r="208" spans="1:92" x14ac:dyDescent="0.25">
      <c r="A208" s="757">
        <v>25</v>
      </c>
      <c r="B208" s="765"/>
      <c r="C208" s="844" t="str">
        <f>IF($B208,$B208*TreatyCatch!BF263/SUM(TreatyCatch!$BF263:$BG263,TreatyCatch!$BI263:$BJ263),"")</f>
        <v/>
      </c>
      <c r="D208" s="844" t="str">
        <f>IF($B208,$B208*TreatyCatch!BG263/SUM(TreatyCatch!$BF263:$BG263,TreatyCatch!$BI263:$BJ263),"")</f>
        <v/>
      </c>
      <c r="E208" s="846" t="str">
        <f t="shared" si="90"/>
        <v/>
      </c>
      <c r="F208" s="838" t="str">
        <f>IF($B208,$B208*TreatyCatch!BI263/SUM(TreatyCatch!$BF263:$BG263,TreatyCatch!$BI263:$BJ263),"")</f>
        <v/>
      </c>
      <c r="G208" s="866" t="str">
        <f>IF($B208,$B208*TreatyCatch!BJ263/SUM(TreatyCatch!$BF263:$BG263,TreatyCatch!$BI263:$BJ263),"")</f>
        <v/>
      </c>
      <c r="H208" s="840" t="str">
        <f t="shared" si="83"/>
        <v/>
      </c>
      <c r="I208" s="765">
        <v>2</v>
      </c>
      <c r="J208" s="882">
        <f>IF($I208,$I208*TreatyCatch!BL263/SUM(TreatyCatch!$BL263:$BM263,TreatyCatch!$BO263:$BP263),"")</f>
        <v>0</v>
      </c>
      <c r="K208" s="883">
        <f>IF($I208,$I208*TreatyCatch!BM263/SUM(TreatyCatch!$BL263:$BM263,TreatyCatch!$BO263:$BP263),"")</f>
        <v>0</v>
      </c>
      <c r="L208" s="901">
        <f t="shared" si="91"/>
        <v>0</v>
      </c>
      <c r="M208" s="893">
        <f>IF($I208,$I208*TreatyCatch!BO263/SUM(TreatyCatch!$BL263:$BM263,TreatyCatch!$BO263:$BP263),"")</f>
        <v>0</v>
      </c>
      <c r="N208" s="894">
        <f>IF($I208,$I208*TreatyCatch!BP263/SUM(TreatyCatch!$BL263:$BM263,TreatyCatch!$BO53:$BP263),"")</f>
        <v>4.6249981846824663E-3</v>
      </c>
      <c r="O208" s="877">
        <f t="shared" si="81"/>
        <v>4.0006234297503332E-4</v>
      </c>
      <c r="P208" s="765">
        <v>1</v>
      </c>
      <c r="Q208" s="852">
        <f>IF($P208,$P208*TreatyCatch!BR263/SUM(TreatyCatch!$BR263:$BS263,TreatyCatch!$BU263:$BV263),"")</f>
        <v>0</v>
      </c>
      <c r="R208" s="853">
        <f>IF($P208,$P208*TreatyCatch!BS263/SUM(TreatyCatch!$BR263:$BS263,TreatyCatch!$BU263:$BV263),"")</f>
        <v>0</v>
      </c>
      <c r="S208" s="952">
        <f t="shared" si="92"/>
        <v>0</v>
      </c>
      <c r="T208" s="858">
        <f>IF($P208,$P208*TreatyCatch!BU263/SUM(TreatyCatch!$BR263:$BS263,TreatyCatch!$BU263:$BV263),"")</f>
        <v>1</v>
      </c>
      <c r="U208" s="859">
        <f>IF($P208,$P208*TreatyCatch!BV263/SUM(TreatyCatch!$BR263:$BS263,TreatyCatch!$BU263:$BV263),"")</f>
        <v>0</v>
      </c>
      <c r="V208" s="840">
        <f t="shared" si="85"/>
        <v>1</v>
      </c>
      <c r="W208" s="958"/>
      <c r="X208" s="882" t="str">
        <f>IF($W208,$W208*TreatyCatch!BX263/SUM(TreatyCatch!$BX263:$BY263,TreatyCatch!$CA263:$CB263),"")</f>
        <v/>
      </c>
      <c r="Y208" s="883" t="str">
        <f>IF($W208,$W208*TreatyCatch!BY263/SUM(TreatyCatch!$BX263:$BY263,TreatyCatch!$CA263:$CB263),"")</f>
        <v/>
      </c>
      <c r="Z208" s="901" t="str">
        <f t="shared" si="93"/>
        <v/>
      </c>
      <c r="AA208" s="893" t="str">
        <f>IF($W208,$W208*TreatyCatch!CA263/SUM(TreatyCatch!$BX263:$BY263,TreatyCatch!$CA263:$CB263),"")</f>
        <v/>
      </c>
      <c r="AB208" s="894" t="str">
        <f>IF($W208,$W208*TreatyCatch!CB263/SUM(TreatyCatch!$BX263:$BY263,TreatyCatch!$CA263:$CB263),"")</f>
        <v/>
      </c>
      <c r="AC208" s="957" t="str">
        <f t="shared" si="87"/>
        <v/>
      </c>
      <c r="AD208" s="958"/>
      <c r="AE208" s="1071" t="str">
        <f>IF($AD208,$AD208*TreatyCatch!CD438/SUM(TreatyCatch!$CD438:$CE438,TreatyCatch!$CG438:$CH438),"")</f>
        <v/>
      </c>
      <c r="AF208" s="1072" t="str">
        <f>IF($AD208,$AD208*TreatyCatch!CE438/SUM(TreatyCatch!$CD438:$CE438,TreatyCatch!$CG438:$CH438),"")</f>
        <v/>
      </c>
      <c r="AG208" s="1073" t="str">
        <f t="shared" si="94"/>
        <v/>
      </c>
      <c r="AH208" s="1059" t="str">
        <f>IF($AD208,$AD208*TreatyCatch!CG438/SUM(TreatyCatch!$CD438:CE438,TreatyCatch!$CG438:$CH438),"")</f>
        <v/>
      </c>
      <c r="AI208" s="1060" t="str">
        <f>IF($AD208,$AD208*TreatyCatch!CH438/SUM(TreatyCatch!$CD438:CF438,TreatyCatch!$CG438:$CH438),"")</f>
        <v/>
      </c>
      <c r="AJ208" s="1061" t="str">
        <f t="shared" si="89"/>
        <v/>
      </c>
      <c r="AK208" s="958"/>
      <c r="AL208" s="882"/>
      <c r="AM208" s="883"/>
      <c r="AN208" s="901"/>
      <c r="AO208" s="893"/>
      <c r="AP208" s="894"/>
      <c r="AQ208" s="957"/>
      <c r="AR208" s="765"/>
      <c r="AS208" s="852"/>
      <c r="AT208" s="853"/>
      <c r="AU208" s="952"/>
      <c r="AV208" s="858"/>
      <c r="AW208" s="859"/>
      <c r="AX208" s="840"/>
      <c r="AY208" s="765"/>
      <c r="AZ208" s="882"/>
      <c r="BA208" s="883"/>
      <c r="BB208" s="901"/>
      <c r="BC208" s="893"/>
      <c r="BD208" s="894"/>
      <c r="BE208" s="957"/>
      <c r="BF208" s="765"/>
      <c r="BG208" s="852"/>
      <c r="BH208" s="853"/>
      <c r="BI208" s="952"/>
      <c r="BJ208" s="858"/>
      <c r="BK208" s="859"/>
      <c r="BL208" s="840"/>
      <c r="BM208" s="765"/>
      <c r="BN208" s="882"/>
      <c r="BO208" s="883"/>
      <c r="BP208" s="901"/>
      <c r="BQ208" s="893"/>
      <c r="BR208" s="894"/>
      <c r="BS208" s="957"/>
      <c r="BT208" s="765"/>
      <c r="BU208" s="852"/>
      <c r="BV208" s="853"/>
      <c r="BW208" s="952"/>
      <c r="BX208" s="858"/>
      <c r="BY208" s="859"/>
      <c r="BZ208" s="840"/>
      <c r="CA208" s="765"/>
      <c r="CB208" s="882"/>
      <c r="CC208" s="883"/>
      <c r="CD208" s="901"/>
      <c r="CE208" s="893"/>
      <c r="CF208" s="894"/>
      <c r="CG208" s="957"/>
      <c r="CH208" s="765"/>
      <c r="CI208" s="852"/>
      <c r="CJ208" s="853"/>
      <c r="CK208" s="952"/>
      <c r="CL208" s="858"/>
      <c r="CM208" s="859"/>
      <c r="CN208" s="840"/>
    </row>
    <row r="209" spans="1:92" x14ac:dyDescent="0.25">
      <c r="A209" s="758">
        <v>26</v>
      </c>
      <c r="B209" s="766"/>
      <c r="C209" s="844" t="str">
        <f>IF($B209,$B209*TreatyCatch!BF264/SUM(TreatyCatch!$BF264:$BG264,TreatyCatch!$BI264:$BJ264),"")</f>
        <v/>
      </c>
      <c r="D209" s="844" t="str">
        <f>IF($B209,$B209*TreatyCatch!BG264/SUM(TreatyCatch!$BF264:$BG264,TreatyCatch!$BI264:$BJ264),"")</f>
        <v/>
      </c>
      <c r="E209" s="847" t="str">
        <f t="shared" si="90"/>
        <v/>
      </c>
      <c r="F209" s="838" t="str">
        <f>IF($B209,$B209*TreatyCatch!BI264/SUM(TreatyCatch!$BF264:$BG264,TreatyCatch!$BI264:$BJ264),"")</f>
        <v/>
      </c>
      <c r="G209" s="866" t="str">
        <f>IF($B209,$B209*TreatyCatch!BJ264/SUM(TreatyCatch!$BF264:$BG264,TreatyCatch!$BI264:$BJ264),"")</f>
        <v/>
      </c>
      <c r="H209" s="840" t="str">
        <f t="shared" si="83"/>
        <v/>
      </c>
      <c r="I209" s="765"/>
      <c r="J209" s="885" t="str">
        <f>IF($I209,$I209*TreatyCatch!BL264/SUM(TreatyCatch!$BL264:$BM264,TreatyCatch!$BO264:$BP264),"")</f>
        <v/>
      </c>
      <c r="K209" s="886" t="str">
        <f>IF($I209,$I209*TreatyCatch!BM264/SUM(TreatyCatch!$BL264:$BM264,TreatyCatch!$BO264:$BP264),"")</f>
        <v/>
      </c>
      <c r="L209" s="887" t="str">
        <f t="shared" si="91"/>
        <v/>
      </c>
      <c r="M209" s="895" t="str">
        <f>IF($I209,$I209*TreatyCatch!BO264/SUM(TreatyCatch!$BL264:$BM264,TreatyCatch!$BO264:$BP264),"")</f>
        <v/>
      </c>
      <c r="N209" s="896" t="str">
        <f>IF($I209,$I209*TreatyCatch!BP264/SUM(TreatyCatch!$BL264:$BM264,TreatyCatch!$BO54:$BP264),"")</f>
        <v/>
      </c>
      <c r="O209" s="877" t="str">
        <f t="shared" si="81"/>
        <v/>
      </c>
      <c r="P209" s="765"/>
      <c r="Q209" s="854" t="str">
        <f>IF($P209,$P209*TreatyCatch!BR264/SUM(TreatyCatch!$BR264:$BS264,TreatyCatch!$BU264:$BV264),"")</f>
        <v/>
      </c>
      <c r="R209" s="855" t="str">
        <f>IF($P209,$P209*TreatyCatch!BS264/SUM(TreatyCatch!$BR264:$BS264,TreatyCatch!$BU264:$BV264),"")</f>
        <v/>
      </c>
      <c r="S209" s="953" t="str">
        <f t="shared" si="92"/>
        <v/>
      </c>
      <c r="T209" s="861" t="str">
        <f>IF($P209,$P209*TreatyCatch!BU264/SUM(TreatyCatch!$BR264:$BS264,TreatyCatch!$BU264:$BV264),"")</f>
        <v/>
      </c>
      <c r="U209" s="862" t="str">
        <f>IF($P209,$P209*TreatyCatch!BV264/SUM(TreatyCatch!$BR264:$BS264,TreatyCatch!$BU264:$BV264),"")</f>
        <v/>
      </c>
      <c r="V209" s="840" t="str">
        <f t="shared" si="85"/>
        <v/>
      </c>
      <c r="W209" s="958"/>
      <c r="X209" s="885" t="str">
        <f>IF($W209,$W209*TreatyCatch!BX264/SUM(TreatyCatch!$BX264:$BY264,TreatyCatch!$CA264:$CB264),"")</f>
        <v/>
      </c>
      <c r="Y209" s="886" t="str">
        <f>IF($W209,$W209*TreatyCatch!BY264/SUM(TreatyCatch!$BX264:$BY264,TreatyCatch!$CA264:$CB264),"")</f>
        <v/>
      </c>
      <c r="Z209" s="902" t="str">
        <f t="shared" si="93"/>
        <v/>
      </c>
      <c r="AA209" s="895" t="str">
        <f>IF($W209,$W209*TreatyCatch!CA264/SUM(TreatyCatch!$BX264:$BY264,TreatyCatch!$CA264:$CB264),"")</f>
        <v/>
      </c>
      <c r="AB209" s="896" t="str">
        <f>IF($W209,$W209*TreatyCatch!CB264/SUM(TreatyCatch!$BX264:$BY264,TreatyCatch!$CA264:$CB264),"")</f>
        <v/>
      </c>
      <c r="AC209" s="957" t="str">
        <f t="shared" si="87"/>
        <v/>
      </c>
      <c r="AD209" s="958"/>
      <c r="AE209" s="1074" t="str">
        <f>IF($AD209,$AD209*TreatyCatch!CD439/SUM(TreatyCatch!$CD439:$CE439,TreatyCatch!$CG439:$CH439),"")</f>
        <v/>
      </c>
      <c r="AF209" s="1075" t="str">
        <f>IF($AD209,$AD209*TreatyCatch!CE439/SUM(TreatyCatch!$CD439:$CE439,TreatyCatch!$CG439:$CH439),"")</f>
        <v/>
      </c>
      <c r="AG209" s="1076" t="str">
        <f t="shared" si="94"/>
        <v/>
      </c>
      <c r="AH209" s="1065" t="str">
        <f>IF($AD209,$AD209*TreatyCatch!CG439/SUM(TreatyCatch!$CD439:CE439,TreatyCatch!$CG439:$CH439),"")</f>
        <v/>
      </c>
      <c r="AI209" s="1066" t="str">
        <f>IF($AD209,$AD209*TreatyCatch!CH439/SUM(TreatyCatch!$CD439:CF439,TreatyCatch!$CG439:$CH439),"")</f>
        <v/>
      </c>
      <c r="AJ209" s="1061" t="str">
        <f t="shared" si="89"/>
        <v/>
      </c>
      <c r="AK209" s="958"/>
      <c r="AL209" s="885"/>
      <c r="AM209" s="886"/>
      <c r="AN209" s="902"/>
      <c r="AO209" s="895"/>
      <c r="AP209" s="896"/>
      <c r="AQ209" s="957"/>
      <c r="AR209" s="765"/>
      <c r="AS209" s="854"/>
      <c r="AT209" s="855"/>
      <c r="AU209" s="953"/>
      <c r="AV209" s="861"/>
      <c r="AW209" s="862"/>
      <c r="AX209" s="840"/>
      <c r="AY209" s="765"/>
      <c r="AZ209" s="885"/>
      <c r="BA209" s="886"/>
      <c r="BB209" s="902"/>
      <c r="BC209" s="895"/>
      <c r="BD209" s="896"/>
      <c r="BE209" s="957"/>
      <c r="BF209" s="765"/>
      <c r="BG209" s="854"/>
      <c r="BH209" s="855"/>
      <c r="BI209" s="953"/>
      <c r="BJ209" s="861"/>
      <c r="BK209" s="862"/>
      <c r="BL209" s="840"/>
      <c r="BM209" s="765"/>
      <c r="BN209" s="885"/>
      <c r="BO209" s="886"/>
      <c r="BP209" s="902"/>
      <c r="BQ209" s="895"/>
      <c r="BR209" s="896"/>
      <c r="BS209" s="957"/>
      <c r="BT209" s="765"/>
      <c r="BU209" s="854"/>
      <c r="BV209" s="855"/>
      <c r="BW209" s="953"/>
      <c r="BX209" s="861"/>
      <c r="BY209" s="862"/>
      <c r="BZ209" s="840"/>
      <c r="CA209" s="765"/>
      <c r="CB209" s="885"/>
      <c r="CC209" s="886"/>
      <c r="CD209" s="902"/>
      <c r="CE209" s="895"/>
      <c r="CF209" s="896"/>
      <c r="CG209" s="957"/>
      <c r="CH209" s="765"/>
      <c r="CI209" s="854"/>
      <c r="CJ209" s="855"/>
      <c r="CK209" s="953"/>
      <c r="CL209" s="861"/>
      <c r="CM209" s="862"/>
      <c r="CN209" s="840"/>
    </row>
    <row r="210" spans="1:92" x14ac:dyDescent="0.25">
      <c r="A210" s="757">
        <v>27</v>
      </c>
      <c r="B210" s="765"/>
      <c r="C210" s="848" t="str">
        <f>IF($B210,$B210*TreatyCatch!BF265/SUM(TreatyCatch!$BF265:$BG265,TreatyCatch!$BI265:$BJ265),"")</f>
        <v/>
      </c>
      <c r="D210" s="848" t="str">
        <f>IF($B210,$B210*TreatyCatch!BG265/SUM(TreatyCatch!$BF265:$BG265,TreatyCatch!$BI265:$BJ265),"")</f>
        <v/>
      </c>
      <c r="E210" s="846" t="str">
        <f t="shared" si="90"/>
        <v/>
      </c>
      <c r="F210" s="874" t="str">
        <f>IF($B210,$B210*TreatyCatch!BI265/SUM(TreatyCatch!$BF265:$BG265,TreatyCatch!$BI265:$BJ265),"")</f>
        <v/>
      </c>
      <c r="G210" s="888" t="str">
        <f>IF($B210,$B210*TreatyCatch!BJ265/SUM(TreatyCatch!$BF265:$BG265,TreatyCatch!$BI265:$BJ265),"")</f>
        <v/>
      </c>
      <c r="H210" s="875" t="str">
        <f>IFERROR(F210+N$5*G210,"")</f>
        <v/>
      </c>
      <c r="I210" s="773">
        <v>1</v>
      </c>
      <c r="J210" s="882">
        <f>IF($I210,$I210*TreatyCatch!BL265/SUM(TreatyCatch!$BL265:$BM265,TreatyCatch!$BO265:$BP265),"")</f>
        <v>0.5</v>
      </c>
      <c r="K210" s="883">
        <f>IF($I210,$I210*TreatyCatch!BM265/SUM(TreatyCatch!$BL265:$BM265,TreatyCatch!$BO265:$BP265),"")</f>
        <v>0</v>
      </c>
      <c r="L210" s="901">
        <f t="shared" si="91"/>
        <v>0.5</v>
      </c>
      <c r="M210" s="858">
        <f>IF($I210,$I210*TreatyCatch!BO265/SUM(TreatyCatch!$BL265:$BM265,TreatyCatch!$BO265:$BP265),"")</f>
        <v>0</v>
      </c>
      <c r="N210" s="859">
        <f>IF($I210,$I210*TreatyCatch!BP265/SUM(TreatyCatch!$BL265:$BM265,TreatyCatch!$BO55:$BP265),"")</f>
        <v>1.7224250005050436E-3</v>
      </c>
      <c r="O210" s="924">
        <f>IFERROR(M210+U$5*N210,"")</f>
        <v>1.5157340004444381E-4</v>
      </c>
      <c r="P210" s="773"/>
      <c r="Q210" s="852" t="str">
        <f>IF($P210,$P210*TreatyCatch!BR265/SUM(TreatyCatch!$BR265:$BS265,TreatyCatch!$BU265:$BV265),"")</f>
        <v/>
      </c>
      <c r="R210" s="853" t="str">
        <f>IF($P210,$P210*TreatyCatch!BS265/SUM(TreatyCatch!$BR265:$BS265,TreatyCatch!$BU265:$BV265),"")</f>
        <v/>
      </c>
      <c r="S210" s="856" t="str">
        <f t="shared" si="92"/>
        <v/>
      </c>
      <c r="T210" s="893" t="str">
        <f>IF($P210,$P210*TreatyCatch!BU265/SUM(TreatyCatch!$BR265:$BS265,TreatyCatch!$BU265:$BV265),"")</f>
        <v/>
      </c>
      <c r="U210" s="894" t="str">
        <f>IF($P210,$P210*TreatyCatch!BV265/SUM(TreatyCatch!$BR265:$BS265,TreatyCatch!$BU265:$BV265),"")</f>
        <v/>
      </c>
      <c r="V210" s="897" t="str">
        <f>IFERROR(T210+AB$5*U210,"")</f>
        <v/>
      </c>
      <c r="W210" s="969">
        <v>1</v>
      </c>
      <c r="X210" s="882">
        <v>1</v>
      </c>
      <c r="Y210" s="883">
        <v>0</v>
      </c>
      <c r="Z210" s="901">
        <f t="shared" si="93"/>
        <v>1</v>
      </c>
      <c r="AA210" s="858">
        <v>0</v>
      </c>
      <c r="AB210" s="859">
        <v>0</v>
      </c>
      <c r="AC210" s="924">
        <f>IFERROR(AA210+AI$5*AB210,"")</f>
        <v>0</v>
      </c>
      <c r="AD210" s="969"/>
      <c r="AE210" s="1071" t="str">
        <f>IF($AD210,$AD210*TreatyCatch!CD440/SUM(TreatyCatch!$CD440:$CE440,TreatyCatch!$CG440:$CH440),"")</f>
        <v/>
      </c>
      <c r="AF210" s="1072" t="str">
        <f>IF($AD210,$AD210*TreatyCatch!CE440/SUM(TreatyCatch!$CD440:$CE440,TreatyCatch!$CG440:$CH440),"")</f>
        <v/>
      </c>
      <c r="AG210" s="1073" t="str">
        <f t="shared" si="94"/>
        <v/>
      </c>
      <c r="AH210" s="1077" t="str">
        <f>IF($AD210,$AD210*TreatyCatch!CG440/SUM(TreatyCatch!$CD440:CE440,TreatyCatch!$CG440:$CH440),"")</f>
        <v/>
      </c>
      <c r="AI210" s="1078" t="str">
        <f>IF($AD210,$AD210*TreatyCatch!CH440/SUM(TreatyCatch!$CD440:CF440,TreatyCatch!$CG440:$CH440),"")</f>
        <v/>
      </c>
      <c r="AJ210" s="1079" t="str">
        <f>IFERROR(AH210+AP$5*AI210,"")</f>
        <v/>
      </c>
      <c r="AK210" s="969"/>
      <c r="AL210" s="882"/>
      <c r="AM210" s="883"/>
      <c r="AN210" s="901"/>
      <c r="AO210" s="858"/>
      <c r="AP210" s="859"/>
      <c r="AQ210" s="924"/>
      <c r="AR210" s="773"/>
      <c r="AS210" s="852"/>
      <c r="AT210" s="853"/>
      <c r="AU210" s="856"/>
      <c r="AV210" s="893"/>
      <c r="AW210" s="894"/>
      <c r="AX210" s="897"/>
      <c r="AY210" s="773"/>
      <c r="AZ210" s="882"/>
      <c r="BA210" s="883"/>
      <c r="BB210" s="901"/>
      <c r="BC210" s="858"/>
      <c r="BD210" s="859"/>
      <c r="BE210" s="924"/>
      <c r="BF210" s="773"/>
      <c r="BG210" s="852"/>
      <c r="BH210" s="853"/>
      <c r="BI210" s="856"/>
      <c r="BJ210" s="893"/>
      <c r="BK210" s="894"/>
      <c r="BL210" s="897"/>
      <c r="BM210" s="773"/>
      <c r="BN210" s="882"/>
      <c r="BO210" s="883"/>
      <c r="BP210" s="901"/>
      <c r="BQ210" s="858"/>
      <c r="BR210" s="859"/>
      <c r="BS210" s="924"/>
      <c r="BT210" s="773"/>
      <c r="BU210" s="852"/>
      <c r="BV210" s="853"/>
      <c r="BW210" s="856"/>
      <c r="BX210" s="893"/>
      <c r="BY210" s="894"/>
      <c r="BZ210" s="897"/>
      <c r="CA210" s="773"/>
      <c r="CB210" s="882"/>
      <c r="CC210" s="883"/>
      <c r="CD210" s="901"/>
      <c r="CE210" s="858"/>
      <c r="CF210" s="859"/>
      <c r="CG210" s="924"/>
      <c r="CH210" s="773"/>
      <c r="CI210" s="852"/>
      <c r="CJ210" s="853"/>
      <c r="CK210" s="856"/>
      <c r="CL210" s="893"/>
      <c r="CM210" s="894"/>
      <c r="CN210" s="897"/>
    </row>
    <row r="211" spans="1:92" x14ac:dyDescent="0.25">
      <c r="A211" s="757">
        <v>28</v>
      </c>
      <c r="B211" s="765"/>
      <c r="C211" s="844" t="str">
        <f>IF($B211,$B211*TreatyCatch!BF266/SUM(TreatyCatch!$BF266:$BG266,TreatyCatch!$BI266:$BJ266),"")</f>
        <v/>
      </c>
      <c r="D211" s="844" t="str">
        <f>IF($B211,$B211*TreatyCatch!BG266/SUM(TreatyCatch!$BF266:$BG266,TreatyCatch!$BI266:$BJ266),"")</f>
        <v/>
      </c>
      <c r="E211" s="846" t="str">
        <f t="shared" si="90"/>
        <v/>
      </c>
      <c r="F211" s="876" t="str">
        <f>IF($B211,$B211*TreatyCatch!BI266/SUM(TreatyCatch!$BF266:$BG266,TreatyCatch!$BI266:$BJ266),"")</f>
        <v/>
      </c>
      <c r="G211" s="889" t="str">
        <f>IF($B211,$B211*TreatyCatch!BJ266/SUM(TreatyCatch!$BF266:$BG266,TreatyCatch!$BI266:$BJ266),"")</f>
        <v/>
      </c>
      <c r="H211" s="877" t="str">
        <f t="shared" ref="H211:H236" si="102">IFERROR(F211+N$5*G211,"")</f>
        <v/>
      </c>
      <c r="I211" s="765">
        <v>2</v>
      </c>
      <c r="J211" s="882">
        <f>IF($I211,$I211*TreatyCatch!BL266/SUM(TreatyCatch!$BL266:$BM266,TreatyCatch!$BO266:$BP266),"")</f>
        <v>0</v>
      </c>
      <c r="K211" s="883">
        <f>IF($I211,$I211*TreatyCatch!BM266/SUM(TreatyCatch!$BL266:$BM266,TreatyCatch!$BO266:$BP266),"")</f>
        <v>0</v>
      </c>
      <c r="L211" s="871">
        <f t="shared" si="91"/>
        <v>0</v>
      </c>
      <c r="M211" s="858">
        <f>IF($I211,$I211*TreatyCatch!BO266/SUM(TreatyCatch!$BL266:$BM266,TreatyCatch!$BO266:$BP266),"")</f>
        <v>1</v>
      </c>
      <c r="N211" s="859">
        <f>IF($I211,$I211*TreatyCatch!BP266/SUM(TreatyCatch!$BL266:$BM266,TreatyCatch!$BO56:$BP266),"")</f>
        <v>2.2952488693284206E-3</v>
      </c>
      <c r="O211" s="925">
        <f t="shared" ref="O211:O236" si="103">IFERROR(M211+U$5*N211,"")</f>
        <v>1.0002019819005008</v>
      </c>
      <c r="P211" s="765"/>
      <c r="Q211" s="852" t="str">
        <f>IF($P211,$P211*TreatyCatch!BR266/SUM(TreatyCatch!$BR266:$BS266,TreatyCatch!$BU266:$BV266),"")</f>
        <v/>
      </c>
      <c r="R211" s="853" t="str">
        <f>IF($P211,$P211*TreatyCatch!BS266/SUM(TreatyCatch!$BR266:$BS266,TreatyCatch!$BU266:$BV266),"")</f>
        <v/>
      </c>
      <c r="S211" s="846" t="str">
        <f t="shared" si="92"/>
        <v/>
      </c>
      <c r="T211" s="893" t="str">
        <f>IF($P211,$P211*TreatyCatch!BU266/SUM(TreatyCatch!$BR266:$BS266,TreatyCatch!$BU266:$BV266),"")</f>
        <v/>
      </c>
      <c r="U211" s="894" t="str">
        <f>IF($P211,$P211*TreatyCatch!BV266/SUM(TreatyCatch!$BR266:$BS266,TreatyCatch!$BU266:$BV266),"")</f>
        <v/>
      </c>
      <c r="V211" s="877" t="str">
        <f t="shared" ref="V211:V236" si="104">IFERROR(T211+AB$5*U211,"")</f>
        <v/>
      </c>
      <c r="W211" s="958"/>
      <c r="X211" s="882" t="str">
        <f>IF($W211,$W211*TreatyCatch!BX266/SUM(TreatyCatch!$BX266:$BY266,TreatyCatch!$CA266:$CB266),"")</f>
        <v/>
      </c>
      <c r="Y211" s="883" t="str">
        <f>IF($W211,$W211*TreatyCatch!BY266/SUM(TreatyCatch!$BX266:$BY266,TreatyCatch!$CA266:$CB266),"")</f>
        <v/>
      </c>
      <c r="Z211" s="901" t="str">
        <f t="shared" si="93"/>
        <v/>
      </c>
      <c r="AA211" s="858" t="str">
        <f>IF($W211,$W211*TreatyCatch!CA266/SUM(TreatyCatch!$BX266:$BY266,TreatyCatch!$CA266:$CB266),"")</f>
        <v/>
      </c>
      <c r="AB211" s="859" t="str">
        <f>IF($W211,$W211*TreatyCatch!CB266/SUM(TreatyCatch!$BX266:$BY266,TreatyCatch!$CA266:$CB266),"")</f>
        <v/>
      </c>
      <c r="AC211" s="925" t="str">
        <f t="shared" ref="AC211:AC236" si="105">IFERROR(AA211+AI$5*AB211,"")</f>
        <v/>
      </c>
      <c r="AD211" s="958"/>
      <c r="AE211" s="1071" t="str">
        <f>IF($AD211,$AD211*TreatyCatch!CD441/SUM(TreatyCatch!$CD441:$CE441,TreatyCatch!$CG441:$CH441),"")</f>
        <v/>
      </c>
      <c r="AF211" s="1072" t="str">
        <f>IF($AD211,$AD211*TreatyCatch!CE441/SUM(TreatyCatch!$CD441:$CE441,TreatyCatch!$CG441:$CH441),"")</f>
        <v/>
      </c>
      <c r="AG211" s="1073" t="str">
        <f t="shared" si="94"/>
        <v/>
      </c>
      <c r="AH211" s="1077" t="str">
        <f>IF($AD211,$AD211*TreatyCatch!CG441/SUM(TreatyCatch!$CD441:CE441,TreatyCatch!$CG441:$CH441),"")</f>
        <v/>
      </c>
      <c r="AI211" s="1078" t="str">
        <f>IF($AD211,$AD211*TreatyCatch!CH441/SUM(TreatyCatch!$CD441:CF441,TreatyCatch!$CG441:$CH441),"")</f>
        <v/>
      </c>
      <c r="AJ211" s="1080" t="str">
        <f t="shared" ref="AJ211:AJ236" si="106">IFERROR(AH211+AP$5*AI211,"")</f>
        <v/>
      </c>
      <c r="AK211" s="958"/>
      <c r="AL211" s="882"/>
      <c r="AM211" s="883"/>
      <c r="AN211" s="901"/>
      <c r="AO211" s="858"/>
      <c r="AP211" s="859"/>
      <c r="AQ211" s="925"/>
      <c r="AR211" s="765"/>
      <c r="AS211" s="852"/>
      <c r="AT211" s="853"/>
      <c r="AU211" s="846"/>
      <c r="AV211" s="893"/>
      <c r="AW211" s="894"/>
      <c r="AX211" s="877"/>
      <c r="AY211" s="765"/>
      <c r="AZ211" s="882"/>
      <c r="BA211" s="883"/>
      <c r="BB211" s="901"/>
      <c r="BC211" s="858"/>
      <c r="BD211" s="859"/>
      <c r="BE211" s="925"/>
      <c r="BF211" s="765"/>
      <c r="BG211" s="852"/>
      <c r="BH211" s="853"/>
      <c r="BI211" s="846"/>
      <c r="BJ211" s="893"/>
      <c r="BK211" s="894"/>
      <c r="BL211" s="877"/>
      <c r="BM211" s="765"/>
      <c r="BN211" s="882"/>
      <c r="BO211" s="883"/>
      <c r="BP211" s="901"/>
      <c r="BQ211" s="858"/>
      <c r="BR211" s="859"/>
      <c r="BS211" s="925"/>
      <c r="BT211" s="765"/>
      <c r="BU211" s="852"/>
      <c r="BV211" s="853"/>
      <c r="BW211" s="846"/>
      <c r="BX211" s="893"/>
      <c r="BY211" s="894"/>
      <c r="BZ211" s="877"/>
      <c r="CA211" s="765"/>
      <c r="CB211" s="882"/>
      <c r="CC211" s="883"/>
      <c r="CD211" s="901"/>
      <c r="CE211" s="858"/>
      <c r="CF211" s="859"/>
      <c r="CG211" s="925"/>
      <c r="CH211" s="765"/>
      <c r="CI211" s="852"/>
      <c r="CJ211" s="853"/>
      <c r="CK211" s="846"/>
      <c r="CL211" s="893"/>
      <c r="CM211" s="894"/>
      <c r="CN211" s="877"/>
    </row>
    <row r="212" spans="1:92" x14ac:dyDescent="0.25">
      <c r="A212" s="757">
        <v>29</v>
      </c>
      <c r="B212" s="765"/>
      <c r="C212" s="844" t="str">
        <f>IF($B212,$B212*TreatyCatch!BF267/SUM(TreatyCatch!$BF267:$BG267,TreatyCatch!$BI267:$BJ267),"")</f>
        <v/>
      </c>
      <c r="D212" s="844" t="str">
        <f>IF($B212,$B212*TreatyCatch!BG267/SUM(TreatyCatch!$BF267:$BG267,TreatyCatch!$BI267:$BJ267),"")</f>
        <v/>
      </c>
      <c r="E212" s="846" t="str">
        <f t="shared" si="90"/>
        <v/>
      </c>
      <c r="F212" s="876" t="str">
        <f>IF($B212,$B212*TreatyCatch!BI267/SUM(TreatyCatch!$BF267:$BG267,TreatyCatch!$BI267:$BJ267),"")</f>
        <v/>
      </c>
      <c r="G212" s="889" t="str">
        <f>IF($B212,$B212*TreatyCatch!BJ267/SUM(TreatyCatch!$BF267:$BG267,TreatyCatch!$BI267:$BJ267),"")</f>
        <v/>
      </c>
      <c r="H212" s="877" t="str">
        <f t="shared" si="102"/>
        <v/>
      </c>
      <c r="I212" s="765"/>
      <c r="J212" s="882" t="str">
        <f>IF($I212,$I212*TreatyCatch!BL267/SUM(TreatyCatch!$BL267:$BM267,TreatyCatch!$BO267:$BP267),"")</f>
        <v/>
      </c>
      <c r="K212" s="883" t="str">
        <f>IF($I212,$I212*TreatyCatch!BM267/SUM(TreatyCatch!$BL267:$BM267,TreatyCatch!$BO267:$BP267),"")</f>
        <v/>
      </c>
      <c r="L212" s="871" t="str">
        <f t="shared" si="91"/>
        <v/>
      </c>
      <c r="M212" s="858" t="str">
        <f>IF($I212,$I212*TreatyCatch!BO267/SUM(TreatyCatch!$BL267:$BM267,TreatyCatch!$BO267:$BP267),"")</f>
        <v/>
      </c>
      <c r="N212" s="859" t="str">
        <f>IF($I212,$I212*TreatyCatch!BP267/SUM(TreatyCatch!$BL267:$BM267,TreatyCatch!$BO57:$BP267),"")</f>
        <v/>
      </c>
      <c r="O212" s="925" t="str">
        <f t="shared" si="103"/>
        <v/>
      </c>
      <c r="P212" s="765"/>
      <c r="Q212" s="852" t="str">
        <f>IF($P212,$P212*TreatyCatch!BR267/SUM(TreatyCatch!$BR267:$BS267,TreatyCatch!$BU267:$BV267),"")</f>
        <v/>
      </c>
      <c r="R212" s="853" t="str">
        <f>IF($P212,$P212*TreatyCatch!BS267/SUM(TreatyCatch!$BR267:$BS267,TreatyCatch!$BU267:$BV267),"")</f>
        <v/>
      </c>
      <c r="S212" s="846" t="str">
        <f t="shared" si="92"/>
        <v/>
      </c>
      <c r="T212" s="893" t="str">
        <f>IF($P212,$P212*TreatyCatch!BU267/SUM(TreatyCatch!$BR267:$BS267,TreatyCatch!$BU267:$BV267),"")</f>
        <v/>
      </c>
      <c r="U212" s="894" t="str">
        <f>IF($P212,$P212*TreatyCatch!BV267/SUM(TreatyCatch!$BR267:$BS267,TreatyCatch!$BU267:$BV267),"")</f>
        <v/>
      </c>
      <c r="V212" s="877" t="str">
        <f t="shared" si="104"/>
        <v/>
      </c>
      <c r="W212" s="958"/>
      <c r="X212" s="882" t="str">
        <f>IF($W212,$W212*TreatyCatch!BX267/SUM(TreatyCatch!$BX267:$BY267,TreatyCatch!$CA267:$CB267),"")</f>
        <v/>
      </c>
      <c r="Y212" s="883" t="str">
        <f>IF($W212,$W212*TreatyCatch!BY267/SUM(TreatyCatch!$BX267:$BY267,TreatyCatch!$CA267:$CB267),"")</f>
        <v/>
      </c>
      <c r="Z212" s="901" t="str">
        <f t="shared" si="93"/>
        <v/>
      </c>
      <c r="AA212" s="858" t="str">
        <f>IF($W212,$W212*TreatyCatch!CA267/SUM(TreatyCatch!$BX267:$BY267,TreatyCatch!$CA267:$CB267),"")</f>
        <v/>
      </c>
      <c r="AB212" s="859" t="str">
        <f>IF($W212,$W212*TreatyCatch!CB267/SUM(TreatyCatch!$BX267:$BY267,TreatyCatch!$CA267:$CB267),"")</f>
        <v/>
      </c>
      <c r="AC212" s="840" t="str">
        <f t="shared" si="105"/>
        <v/>
      </c>
      <c r="AD212" s="958"/>
      <c r="AE212" s="1071" t="str">
        <f>IF($AD212,$AD212*TreatyCatch!CD442/SUM(TreatyCatch!$CD442:$CE442,TreatyCatch!$CG442:$CH442),"")</f>
        <v/>
      </c>
      <c r="AF212" s="1072" t="str">
        <f>IF($AD212,$AD212*TreatyCatch!CE442/SUM(TreatyCatch!$CD442:$CE442,TreatyCatch!$CG442:$CH442),"")</f>
        <v/>
      </c>
      <c r="AG212" s="1073" t="str">
        <f t="shared" si="94"/>
        <v/>
      </c>
      <c r="AH212" s="1077" t="str">
        <f>IF($AD212,$AD212*TreatyCatch!CG442/SUM(TreatyCatch!$CD442:CE442,TreatyCatch!$CG442:$CH442),"")</f>
        <v/>
      </c>
      <c r="AI212" s="1078" t="str">
        <f>IF($AD212,$AD212*TreatyCatch!CH442/SUM(TreatyCatch!$CD442:CF442,TreatyCatch!$CG442:$CH442),"")</f>
        <v/>
      </c>
      <c r="AJ212" s="1080" t="str">
        <f t="shared" si="106"/>
        <v/>
      </c>
      <c r="AK212" s="958"/>
      <c r="AL212" s="882"/>
      <c r="AM212" s="883"/>
      <c r="AN212" s="901"/>
      <c r="AO212" s="858"/>
      <c r="AP212" s="859"/>
      <c r="AQ212" s="840"/>
      <c r="AR212" s="765"/>
      <c r="AS212" s="852"/>
      <c r="AT212" s="853"/>
      <c r="AU212" s="846"/>
      <c r="AV212" s="893"/>
      <c r="AW212" s="894"/>
      <c r="AX212" s="877"/>
      <c r="AY212" s="765"/>
      <c r="AZ212" s="882"/>
      <c r="BA212" s="883"/>
      <c r="BB212" s="901"/>
      <c r="BC212" s="858"/>
      <c r="BD212" s="859"/>
      <c r="BE212" s="840"/>
      <c r="BF212" s="765"/>
      <c r="BG212" s="852"/>
      <c r="BH212" s="853"/>
      <c r="BI212" s="846"/>
      <c r="BJ212" s="893"/>
      <c r="BK212" s="894"/>
      <c r="BL212" s="877"/>
      <c r="BM212" s="765"/>
      <c r="BN212" s="882"/>
      <c r="BO212" s="883"/>
      <c r="BP212" s="901"/>
      <c r="BQ212" s="858"/>
      <c r="BR212" s="859"/>
      <c r="BS212" s="840"/>
      <c r="BT212" s="765"/>
      <c r="BU212" s="852"/>
      <c r="BV212" s="853"/>
      <c r="BW212" s="846"/>
      <c r="BX212" s="893"/>
      <c r="BY212" s="894"/>
      <c r="BZ212" s="877"/>
      <c r="CA212" s="765"/>
      <c r="CB212" s="882"/>
      <c r="CC212" s="883"/>
      <c r="CD212" s="901"/>
      <c r="CE212" s="858"/>
      <c r="CF212" s="859"/>
      <c r="CG212" s="840"/>
      <c r="CH212" s="765"/>
      <c r="CI212" s="852"/>
      <c r="CJ212" s="853"/>
      <c r="CK212" s="846"/>
      <c r="CL212" s="893"/>
      <c r="CM212" s="894"/>
      <c r="CN212" s="877"/>
    </row>
    <row r="213" spans="1:92" x14ac:dyDescent="0.25">
      <c r="A213" s="757">
        <v>30</v>
      </c>
      <c r="B213" s="765"/>
      <c r="C213" s="844" t="str">
        <f>IF($B213,$B213*TreatyCatch!BF268/SUM(TreatyCatch!$BF268:$BG268,TreatyCatch!$BI268:$BJ268),"")</f>
        <v/>
      </c>
      <c r="D213" s="844" t="str">
        <f>IF($B213,$B213*TreatyCatch!BG268/SUM(TreatyCatch!$BF268:$BG268,TreatyCatch!$BI268:$BJ268),"")</f>
        <v/>
      </c>
      <c r="E213" s="846" t="str">
        <f t="shared" si="90"/>
        <v/>
      </c>
      <c r="F213" s="876" t="str">
        <f>IF($B213,$B213*TreatyCatch!BI268/SUM(TreatyCatch!$BF268:$BG268,TreatyCatch!$BI268:$BJ268),"")</f>
        <v/>
      </c>
      <c r="G213" s="889" t="str">
        <f>IF($B213,$B213*TreatyCatch!BJ268/SUM(TreatyCatch!$BF268:$BG268,TreatyCatch!$BI268:$BJ268),"")</f>
        <v/>
      </c>
      <c r="H213" s="877" t="str">
        <f t="shared" si="102"/>
        <v/>
      </c>
      <c r="I213" s="765"/>
      <c r="J213" s="882" t="str">
        <f>IF($I213,$I213*TreatyCatch!BL268/SUM(TreatyCatch!$BL268:$BM268,TreatyCatch!$BO268:$BP268),"")</f>
        <v/>
      </c>
      <c r="K213" s="883" t="str">
        <f>IF($I213,$I213*TreatyCatch!BM268/SUM(TreatyCatch!$BL268:$BM268,TreatyCatch!$BO268:$BP268),"")</f>
        <v/>
      </c>
      <c r="L213" s="871" t="str">
        <f t="shared" si="91"/>
        <v/>
      </c>
      <c r="M213" s="858" t="str">
        <f>IF($I213,$I213*TreatyCatch!BO268/SUM(TreatyCatch!$BL268:$BM268,TreatyCatch!$BO268:$BP268),"")</f>
        <v/>
      </c>
      <c r="N213" s="859" t="str">
        <f>IF($I213,$I213*TreatyCatch!BP268/SUM(TreatyCatch!$BL268:$BM268,TreatyCatch!$BO58:$BP268),"")</f>
        <v/>
      </c>
      <c r="O213" s="925" t="str">
        <f t="shared" si="103"/>
        <v/>
      </c>
      <c r="P213" s="765"/>
      <c r="Q213" s="852" t="str">
        <f>IF($P213,$P213*TreatyCatch!BR268/SUM(TreatyCatch!$BR268:$BS268,TreatyCatch!$BU268:$BV268),"")</f>
        <v/>
      </c>
      <c r="R213" s="853" t="str">
        <f>IF($P213,$P213*TreatyCatch!BS268/SUM(TreatyCatch!$BR268:$BS268,TreatyCatch!$BU268:$BV268),"")</f>
        <v/>
      </c>
      <c r="S213" s="846" t="str">
        <f t="shared" si="92"/>
        <v/>
      </c>
      <c r="T213" s="893" t="str">
        <f>IF($P213,$P213*TreatyCatch!BU268/SUM(TreatyCatch!$BR268:$BS268,TreatyCatch!$BU268:$BV268),"")</f>
        <v/>
      </c>
      <c r="U213" s="894" t="str">
        <f>IF($P213,$P213*TreatyCatch!BV268/SUM(TreatyCatch!$BR268:$BS268,TreatyCatch!$BU268:$BV268),"")</f>
        <v/>
      </c>
      <c r="V213" s="877" t="str">
        <f t="shared" si="104"/>
        <v/>
      </c>
      <c r="W213" s="958"/>
      <c r="X213" s="882" t="str">
        <f>IF($W213,$W213*TreatyCatch!BX268/SUM(TreatyCatch!$BX268:$BY268,TreatyCatch!$CA268:$CB268),"")</f>
        <v/>
      </c>
      <c r="Y213" s="883" t="str">
        <f>IF($W213,$W213*TreatyCatch!BY268/SUM(TreatyCatch!$BX268:$BY268,TreatyCatch!$CA268:$CB268),"")</f>
        <v/>
      </c>
      <c r="Z213" s="901" t="str">
        <f t="shared" si="93"/>
        <v/>
      </c>
      <c r="AA213" s="858" t="str">
        <f>IF($W213,$W213*TreatyCatch!CA268/SUM(TreatyCatch!$BX268:$BY268,TreatyCatch!$CA268:$CB268),"")</f>
        <v/>
      </c>
      <c r="AB213" s="859" t="str">
        <f>IF($W213,$W213*TreatyCatch!CB268/SUM(TreatyCatch!$BX268:$BY268,TreatyCatch!$CA268:$CB268),"")</f>
        <v/>
      </c>
      <c r="AC213" s="840" t="str">
        <f t="shared" si="105"/>
        <v/>
      </c>
      <c r="AD213" s="958"/>
      <c r="AE213" s="1071" t="str">
        <f>IF($AD213,$AD213*TreatyCatch!CD443/SUM(TreatyCatch!$CD443:$CE443,TreatyCatch!$CG443:$CH443),"")</f>
        <v/>
      </c>
      <c r="AF213" s="1072" t="str">
        <f>IF($AD213,$AD213*TreatyCatch!CE443/SUM(TreatyCatch!$CD443:$CE443,TreatyCatch!$CG443:$CH443),"")</f>
        <v/>
      </c>
      <c r="AG213" s="1073" t="str">
        <f t="shared" si="94"/>
        <v/>
      </c>
      <c r="AH213" s="1077" t="str">
        <f>IF($AD213,$AD213*TreatyCatch!CG443/SUM(TreatyCatch!$CD443:CE443,TreatyCatch!$CG443:$CH443),"")</f>
        <v/>
      </c>
      <c r="AI213" s="1078" t="str">
        <f>IF($AD213,$AD213*TreatyCatch!CH443/SUM(TreatyCatch!$CD443:CF443,TreatyCatch!$CG443:$CH443),"")</f>
        <v/>
      </c>
      <c r="AJ213" s="1080" t="str">
        <f t="shared" si="106"/>
        <v/>
      </c>
      <c r="AK213" s="958"/>
      <c r="AL213" s="882"/>
      <c r="AM213" s="883"/>
      <c r="AN213" s="901"/>
      <c r="AO213" s="858"/>
      <c r="AP213" s="859"/>
      <c r="AQ213" s="840"/>
      <c r="AR213" s="765"/>
      <c r="AS213" s="852"/>
      <c r="AT213" s="853"/>
      <c r="AU213" s="846"/>
      <c r="AV213" s="893"/>
      <c r="AW213" s="894"/>
      <c r="AX213" s="877"/>
      <c r="AY213" s="765"/>
      <c r="AZ213" s="882"/>
      <c r="BA213" s="883"/>
      <c r="BB213" s="901"/>
      <c r="BC213" s="858"/>
      <c r="BD213" s="859"/>
      <c r="BE213" s="840"/>
      <c r="BF213" s="765"/>
      <c r="BG213" s="852"/>
      <c r="BH213" s="853"/>
      <c r="BI213" s="846"/>
      <c r="BJ213" s="893"/>
      <c r="BK213" s="894"/>
      <c r="BL213" s="877"/>
      <c r="BM213" s="765"/>
      <c r="BN213" s="882"/>
      <c r="BO213" s="883"/>
      <c r="BP213" s="901"/>
      <c r="BQ213" s="858"/>
      <c r="BR213" s="859"/>
      <c r="BS213" s="840"/>
      <c r="BT213" s="765"/>
      <c r="BU213" s="852"/>
      <c r="BV213" s="853"/>
      <c r="BW213" s="846"/>
      <c r="BX213" s="893"/>
      <c r="BY213" s="894"/>
      <c r="BZ213" s="877"/>
      <c r="CA213" s="765"/>
      <c r="CB213" s="882"/>
      <c r="CC213" s="883"/>
      <c r="CD213" s="901"/>
      <c r="CE213" s="858"/>
      <c r="CF213" s="859"/>
      <c r="CG213" s="840"/>
      <c r="CH213" s="765"/>
      <c r="CI213" s="852"/>
      <c r="CJ213" s="853"/>
      <c r="CK213" s="846"/>
      <c r="CL213" s="893"/>
      <c r="CM213" s="894"/>
      <c r="CN213" s="877"/>
    </row>
    <row r="214" spans="1:92" x14ac:dyDescent="0.25">
      <c r="A214" s="757">
        <v>31</v>
      </c>
      <c r="B214" s="765"/>
      <c r="C214" s="844" t="str">
        <f>IF($B214,$B214*TreatyCatch!BF269/SUM(TreatyCatch!$BF269:$BG269,TreatyCatch!$BI269:$BJ269),"")</f>
        <v/>
      </c>
      <c r="D214" s="844" t="str">
        <f>IF($B214,$B214*TreatyCatch!BG269/SUM(TreatyCatch!$BF269:$BG269,TreatyCatch!$BI269:$BJ269),"")</f>
        <v/>
      </c>
      <c r="E214" s="846" t="str">
        <f t="shared" si="90"/>
        <v/>
      </c>
      <c r="F214" s="876" t="str">
        <f>IF($B214,$B214*TreatyCatch!BI269/SUM(TreatyCatch!$BF269:$BG269,TreatyCatch!$BI269:$BJ269),"")</f>
        <v/>
      </c>
      <c r="G214" s="889" t="str">
        <f>IF($B214,$B214*TreatyCatch!BJ269/SUM(TreatyCatch!$BF269:$BG269,TreatyCatch!$BI269:$BJ269),"")</f>
        <v/>
      </c>
      <c r="H214" s="877" t="str">
        <f t="shared" si="102"/>
        <v/>
      </c>
      <c r="I214" s="765"/>
      <c r="J214" s="882" t="str">
        <f>IF($I214,$I214*TreatyCatch!BL269/SUM(TreatyCatch!$BL269:$BM269,TreatyCatch!$BO269:$BP269),"")</f>
        <v/>
      </c>
      <c r="K214" s="883" t="str">
        <f>IF($I214,$I214*TreatyCatch!BM269/SUM(TreatyCatch!$BL269:$BM269,TreatyCatch!$BO269:$BP269),"")</f>
        <v/>
      </c>
      <c r="L214" s="871" t="str">
        <f t="shared" si="91"/>
        <v/>
      </c>
      <c r="M214" s="858" t="str">
        <f>IF($I214,$I214*TreatyCatch!BO269/SUM(TreatyCatch!$BL269:$BM269,TreatyCatch!$BO269:$BP269),"")</f>
        <v/>
      </c>
      <c r="N214" s="859" t="str">
        <f>IF($I214,$I214*TreatyCatch!BP269/SUM(TreatyCatch!$BL269:$BM269,TreatyCatch!$BO59:$BP269),"")</f>
        <v/>
      </c>
      <c r="O214" s="925" t="str">
        <f t="shared" si="103"/>
        <v/>
      </c>
      <c r="P214" s="765"/>
      <c r="Q214" s="852" t="str">
        <f>IF($P214,$P214*TreatyCatch!BR269/SUM(TreatyCatch!$BR269:$BS269,TreatyCatch!$BU269:$BV269),"")</f>
        <v/>
      </c>
      <c r="R214" s="853" t="str">
        <f>IF($P214,$P214*TreatyCatch!BS269/SUM(TreatyCatch!$BR269:$BS269,TreatyCatch!$BU269:$BV269),"")</f>
        <v/>
      </c>
      <c r="S214" s="846" t="str">
        <f t="shared" si="92"/>
        <v/>
      </c>
      <c r="T214" s="893" t="str">
        <f>IF($P214,$P214*TreatyCatch!BU269/SUM(TreatyCatch!$BR269:$BS269,TreatyCatch!$BU269:$BV269),"")</f>
        <v/>
      </c>
      <c r="U214" s="894" t="str">
        <f>IF($P214,$P214*TreatyCatch!BV269/SUM(TreatyCatch!$BR269:$BS269,TreatyCatch!$BU269:$BV269),"")</f>
        <v/>
      </c>
      <c r="V214" s="877" t="str">
        <f t="shared" si="104"/>
        <v/>
      </c>
      <c r="W214" s="958"/>
      <c r="X214" s="882" t="str">
        <f>IF($W214,$W214*TreatyCatch!BX269/SUM(TreatyCatch!$BX269:$BY269,TreatyCatch!$CA269:$CB269),"")</f>
        <v/>
      </c>
      <c r="Y214" s="883" t="str">
        <f>IF($W214,$W214*TreatyCatch!BY269/SUM(TreatyCatch!$BX269:$BY269,TreatyCatch!$CA269:$CB269),"")</f>
        <v/>
      </c>
      <c r="Z214" s="901" t="str">
        <f t="shared" si="93"/>
        <v/>
      </c>
      <c r="AA214" s="858" t="str">
        <f>IF($W214,$W214*TreatyCatch!CA269/SUM(TreatyCatch!$BX269:$BY269,TreatyCatch!$CA269:$CB269),"")</f>
        <v/>
      </c>
      <c r="AB214" s="859" t="str">
        <f>IF($W214,$W214*TreatyCatch!CB269/SUM(TreatyCatch!$BX269:$BY269,TreatyCatch!$CA269:$CB269),"")</f>
        <v/>
      </c>
      <c r="AC214" s="840" t="str">
        <f t="shared" si="105"/>
        <v/>
      </c>
      <c r="AD214" s="958"/>
      <c r="AE214" s="1071" t="str">
        <f>IF($AD214,$AD214*TreatyCatch!CD444/SUM(TreatyCatch!$CD444:$CE444,TreatyCatch!$CG444:$CH444),"")</f>
        <v/>
      </c>
      <c r="AF214" s="1072" t="str">
        <f>IF($AD214,$AD214*TreatyCatch!CE444/SUM(TreatyCatch!$CD444:$CE444,TreatyCatch!$CG444:$CH444),"")</f>
        <v/>
      </c>
      <c r="AG214" s="1073" t="str">
        <f t="shared" si="94"/>
        <v/>
      </c>
      <c r="AH214" s="1077" t="str">
        <f>IF($AD214,$AD214*TreatyCatch!CG444/SUM(TreatyCatch!$CD444:CE444,TreatyCatch!$CG444:$CH444),"")</f>
        <v/>
      </c>
      <c r="AI214" s="1078" t="str">
        <f>IF($AD214,$AD214*TreatyCatch!CH444/SUM(TreatyCatch!$CD444:CF444,TreatyCatch!$CG444:$CH444),"")</f>
        <v/>
      </c>
      <c r="AJ214" s="1080" t="str">
        <f t="shared" si="106"/>
        <v/>
      </c>
      <c r="AK214" s="958"/>
      <c r="AL214" s="882"/>
      <c r="AM214" s="883"/>
      <c r="AN214" s="901"/>
      <c r="AO214" s="858"/>
      <c r="AP214" s="859"/>
      <c r="AQ214" s="840"/>
      <c r="AR214" s="765"/>
      <c r="AS214" s="852"/>
      <c r="AT214" s="853"/>
      <c r="AU214" s="846"/>
      <c r="AV214" s="893"/>
      <c r="AW214" s="894"/>
      <c r="AX214" s="877"/>
      <c r="AY214" s="765"/>
      <c r="AZ214" s="882"/>
      <c r="BA214" s="883"/>
      <c r="BB214" s="901"/>
      <c r="BC214" s="858"/>
      <c r="BD214" s="859"/>
      <c r="BE214" s="840"/>
      <c r="BF214" s="765"/>
      <c r="BG214" s="852"/>
      <c r="BH214" s="853"/>
      <c r="BI214" s="846"/>
      <c r="BJ214" s="893"/>
      <c r="BK214" s="894"/>
      <c r="BL214" s="877"/>
      <c r="BM214" s="765"/>
      <c r="BN214" s="882"/>
      <c r="BO214" s="883"/>
      <c r="BP214" s="901"/>
      <c r="BQ214" s="858"/>
      <c r="BR214" s="859"/>
      <c r="BS214" s="840"/>
      <c r="BT214" s="765"/>
      <c r="BU214" s="852"/>
      <c r="BV214" s="853"/>
      <c r="BW214" s="846"/>
      <c r="BX214" s="893"/>
      <c r="BY214" s="894"/>
      <c r="BZ214" s="877"/>
      <c r="CA214" s="765"/>
      <c r="CB214" s="882"/>
      <c r="CC214" s="883"/>
      <c r="CD214" s="901"/>
      <c r="CE214" s="858"/>
      <c r="CF214" s="859"/>
      <c r="CG214" s="840"/>
      <c r="CH214" s="765"/>
      <c r="CI214" s="852"/>
      <c r="CJ214" s="853"/>
      <c r="CK214" s="846"/>
      <c r="CL214" s="893"/>
      <c r="CM214" s="894"/>
      <c r="CN214" s="877"/>
    </row>
    <row r="215" spans="1:92" x14ac:dyDescent="0.25">
      <c r="A215" s="757">
        <v>32</v>
      </c>
      <c r="B215" s="765"/>
      <c r="C215" s="844" t="str">
        <f>IF($B215,$B215*TreatyCatch!BF270/SUM(TreatyCatch!$BF270:$BG270,TreatyCatch!$BI270:$BJ270),"")</f>
        <v/>
      </c>
      <c r="D215" s="844" t="str">
        <f>IF($B215,$B215*TreatyCatch!BG270/SUM(TreatyCatch!$BF270:$BG270,TreatyCatch!$BI270:$BJ270),"")</f>
        <v/>
      </c>
      <c r="E215" s="846" t="str">
        <f t="shared" si="90"/>
        <v/>
      </c>
      <c r="F215" s="876" t="str">
        <f>IF($B215,$B215*TreatyCatch!BI270/SUM(TreatyCatch!$BF270:$BG270,TreatyCatch!$BI270:$BJ270),"")</f>
        <v/>
      </c>
      <c r="G215" s="889" t="str">
        <f>IF($B215,$B215*TreatyCatch!BJ270/SUM(TreatyCatch!$BF270:$BG270,TreatyCatch!$BI270:$BJ270),"")</f>
        <v/>
      </c>
      <c r="H215" s="877" t="str">
        <f t="shared" si="102"/>
        <v/>
      </c>
      <c r="I215" s="765"/>
      <c r="J215" s="882" t="str">
        <f>IF($I215,$I215*TreatyCatch!BL270/SUM(TreatyCatch!$BL270:$BM270,TreatyCatch!$BO270:$BP270),"")</f>
        <v/>
      </c>
      <c r="K215" s="883" t="str">
        <f>IF($I215,$I215*TreatyCatch!BM270/SUM(TreatyCatch!$BL270:$BM270,TreatyCatch!$BO270:$BP270),"")</f>
        <v/>
      </c>
      <c r="L215" s="871" t="str">
        <f t="shared" si="91"/>
        <v/>
      </c>
      <c r="M215" s="858" t="str">
        <f>IF($I215,$I215*TreatyCatch!BO270/SUM(TreatyCatch!$BL270:$BM270,TreatyCatch!$BO270:$BP270),"")</f>
        <v/>
      </c>
      <c r="N215" s="859" t="str">
        <f>IF($I215,$I215*TreatyCatch!BP270/SUM(TreatyCatch!$BL270:$BM270,TreatyCatch!$BO60:$BP270),"")</f>
        <v/>
      </c>
      <c r="O215" s="925" t="str">
        <f t="shared" si="103"/>
        <v/>
      </c>
      <c r="P215" s="765"/>
      <c r="Q215" s="852" t="str">
        <f>IF($P215,$P215*TreatyCatch!BR270/SUM(TreatyCatch!$BR270:$BS270,TreatyCatch!$BU270:$BV270),"")</f>
        <v/>
      </c>
      <c r="R215" s="853" t="str">
        <f>IF($P215,$P215*TreatyCatch!BS270/SUM(TreatyCatch!$BR270:$BS270,TreatyCatch!$BU270:$BV270),"")</f>
        <v/>
      </c>
      <c r="S215" s="846" t="str">
        <f t="shared" si="92"/>
        <v/>
      </c>
      <c r="T215" s="893" t="str">
        <f>IF($P215,$P215*TreatyCatch!BU270/SUM(TreatyCatch!$BR270:$BS270,TreatyCatch!$BU270:$BV270),"")</f>
        <v/>
      </c>
      <c r="U215" s="894" t="str">
        <f>IF($P215,$P215*TreatyCatch!BV270/SUM(TreatyCatch!$BR270:$BS270,TreatyCatch!$BU270:$BV270),"")</f>
        <v/>
      </c>
      <c r="V215" s="877" t="str">
        <f t="shared" si="104"/>
        <v/>
      </c>
      <c r="W215" s="958"/>
      <c r="X215" s="882" t="str">
        <f>IF($W215,$W215*TreatyCatch!BX270/SUM(TreatyCatch!$BX270:$BY270,TreatyCatch!$CA270:$CB270),"")</f>
        <v/>
      </c>
      <c r="Y215" s="883" t="str">
        <f>IF($W215,$W215*TreatyCatch!BY270/SUM(TreatyCatch!$BX270:$BY270,TreatyCatch!$CA270:$CB270),"")</f>
        <v/>
      </c>
      <c r="Z215" s="901" t="str">
        <f t="shared" si="93"/>
        <v/>
      </c>
      <c r="AA215" s="858" t="str">
        <f>IF($W215,$W215*TreatyCatch!CA270/SUM(TreatyCatch!$BX270:$BY270,TreatyCatch!$CA270:$CB270),"")</f>
        <v/>
      </c>
      <c r="AB215" s="859" t="str">
        <f>IF($W215,$W215*TreatyCatch!CB270/SUM(TreatyCatch!$BX270:$BY270,TreatyCatch!$CA270:$CB270),"")</f>
        <v/>
      </c>
      <c r="AC215" s="840" t="str">
        <f t="shared" si="105"/>
        <v/>
      </c>
      <c r="AD215" s="958"/>
      <c r="AE215" s="1071" t="str">
        <f>IF($AD215,$AD215*TreatyCatch!CD445/SUM(TreatyCatch!$CD445:$CE445,TreatyCatch!$CG445:$CH445),"")</f>
        <v/>
      </c>
      <c r="AF215" s="1072" t="str">
        <f>IF($AD215,$AD215*TreatyCatch!CE445/SUM(TreatyCatch!$CD445:$CE445,TreatyCatch!$CG445:$CH445),"")</f>
        <v/>
      </c>
      <c r="AG215" s="1073" t="str">
        <f t="shared" si="94"/>
        <v/>
      </c>
      <c r="AH215" s="1077" t="str">
        <f>IF($AD215,$AD215*TreatyCatch!CG445/SUM(TreatyCatch!$CD445:CE445,TreatyCatch!$CG445:$CH445),"")</f>
        <v/>
      </c>
      <c r="AI215" s="1078" t="str">
        <f>IF($AD215,$AD215*TreatyCatch!CH445/SUM(TreatyCatch!$CD445:CF445,TreatyCatch!$CG445:$CH445),"")</f>
        <v/>
      </c>
      <c r="AJ215" s="1080" t="str">
        <f t="shared" si="106"/>
        <v/>
      </c>
      <c r="AK215" s="958"/>
      <c r="AL215" s="882"/>
      <c r="AM215" s="883"/>
      <c r="AN215" s="901"/>
      <c r="AO215" s="858"/>
      <c r="AP215" s="859"/>
      <c r="AQ215" s="840"/>
      <c r="AR215" s="765"/>
      <c r="AS215" s="852"/>
      <c r="AT215" s="853"/>
      <c r="AU215" s="846"/>
      <c r="AV215" s="893"/>
      <c r="AW215" s="894"/>
      <c r="AX215" s="877"/>
      <c r="AY215" s="765"/>
      <c r="AZ215" s="882"/>
      <c r="BA215" s="883"/>
      <c r="BB215" s="901"/>
      <c r="BC215" s="858"/>
      <c r="BD215" s="859"/>
      <c r="BE215" s="840"/>
      <c r="BF215" s="765"/>
      <c r="BG215" s="852"/>
      <c r="BH215" s="853"/>
      <c r="BI215" s="846"/>
      <c r="BJ215" s="893"/>
      <c r="BK215" s="894"/>
      <c r="BL215" s="877"/>
      <c r="BM215" s="765"/>
      <c r="BN215" s="882"/>
      <c r="BO215" s="883"/>
      <c r="BP215" s="901"/>
      <c r="BQ215" s="858"/>
      <c r="BR215" s="859"/>
      <c r="BS215" s="840"/>
      <c r="BT215" s="765"/>
      <c r="BU215" s="852"/>
      <c r="BV215" s="853"/>
      <c r="BW215" s="846"/>
      <c r="BX215" s="893"/>
      <c r="BY215" s="894"/>
      <c r="BZ215" s="877"/>
      <c r="CA215" s="765"/>
      <c r="CB215" s="882"/>
      <c r="CC215" s="883"/>
      <c r="CD215" s="901"/>
      <c r="CE215" s="858"/>
      <c r="CF215" s="859"/>
      <c r="CG215" s="840"/>
      <c r="CH215" s="765"/>
      <c r="CI215" s="852"/>
      <c r="CJ215" s="853"/>
      <c r="CK215" s="846"/>
      <c r="CL215" s="893"/>
      <c r="CM215" s="894"/>
      <c r="CN215" s="877"/>
    </row>
    <row r="216" spans="1:92" x14ac:dyDescent="0.25">
      <c r="A216" s="757">
        <v>33</v>
      </c>
      <c r="B216" s="765"/>
      <c r="C216" s="844" t="str">
        <f>IF($B216,$B216*TreatyCatch!BF271/SUM(TreatyCatch!$BF271:$BG271,TreatyCatch!$BI271:$BJ271),"")</f>
        <v/>
      </c>
      <c r="D216" s="844" t="str">
        <f>IF($B216,$B216*TreatyCatch!BG271/SUM(TreatyCatch!$BF271:$BG271,TreatyCatch!$BI271:$BJ271),"")</f>
        <v/>
      </c>
      <c r="E216" s="846" t="str">
        <f t="shared" si="90"/>
        <v/>
      </c>
      <c r="F216" s="876" t="str">
        <f>IF($B216,$B216*TreatyCatch!BI271/SUM(TreatyCatch!$BF271:$BG271,TreatyCatch!$BI271:$BJ271),"")</f>
        <v/>
      </c>
      <c r="G216" s="889" t="str">
        <f>IF($B216,$B216*TreatyCatch!BJ271/SUM(TreatyCatch!$BF271:$BG271,TreatyCatch!$BI271:$BJ271),"")</f>
        <v/>
      </c>
      <c r="H216" s="877" t="str">
        <f t="shared" si="102"/>
        <v/>
      </c>
      <c r="I216" s="765"/>
      <c r="J216" s="882" t="str">
        <f>IF($I216,$I216*TreatyCatch!BL271/SUM(TreatyCatch!$BL271:$BM271,TreatyCatch!$BO271:$BP271),"")</f>
        <v/>
      </c>
      <c r="K216" s="883" t="str">
        <f>IF($I216,$I216*TreatyCatch!BM271/SUM(TreatyCatch!$BL271:$BM271,TreatyCatch!$BO271:$BP271),"")</f>
        <v/>
      </c>
      <c r="L216" s="871" t="str">
        <f t="shared" si="91"/>
        <v/>
      </c>
      <c r="M216" s="858" t="str">
        <f>IF($I216,$I216*TreatyCatch!BO271/SUM(TreatyCatch!$BL271:$BM271,TreatyCatch!$BO271:$BP271),"")</f>
        <v/>
      </c>
      <c r="N216" s="859" t="str">
        <f>IF($I216,$I216*TreatyCatch!BP271/SUM(TreatyCatch!$BL271:$BM271,TreatyCatch!$BO61:$BP271),"")</f>
        <v/>
      </c>
      <c r="O216" s="925" t="str">
        <f t="shared" si="103"/>
        <v/>
      </c>
      <c r="P216" s="765"/>
      <c r="Q216" s="852" t="str">
        <f>IF($P216,$P216*TreatyCatch!BR271/SUM(TreatyCatch!$BR271:$BS271,TreatyCatch!$BU271:$BV271),"")</f>
        <v/>
      </c>
      <c r="R216" s="853" t="str">
        <f>IF($P216,$P216*TreatyCatch!BS271/SUM(TreatyCatch!$BR271:$BS271,TreatyCatch!$BU271:$BV271),"")</f>
        <v/>
      </c>
      <c r="S216" s="846" t="str">
        <f t="shared" si="92"/>
        <v/>
      </c>
      <c r="T216" s="893" t="str">
        <f>IF($P216,$P216*TreatyCatch!BU271/SUM(TreatyCatch!$BR271:$BS271,TreatyCatch!$BU271:$BV271),"")</f>
        <v/>
      </c>
      <c r="U216" s="894" t="str">
        <f>IF($P216,$P216*TreatyCatch!BV271/SUM(TreatyCatch!$BR271:$BS271,TreatyCatch!$BU271:$BV271),"")</f>
        <v/>
      </c>
      <c r="V216" s="877" t="str">
        <f t="shared" si="104"/>
        <v/>
      </c>
      <c r="W216" s="958"/>
      <c r="X216" s="882" t="str">
        <f>IF($W216,$W216*TreatyCatch!BX271/SUM(TreatyCatch!$BX271:$BY271,TreatyCatch!$CA271:$CB271),"")</f>
        <v/>
      </c>
      <c r="Y216" s="883" t="str">
        <f>IF($W216,$W216*TreatyCatch!BY271/SUM(TreatyCatch!$BX271:$BY271,TreatyCatch!$CA271:$CB271),"")</f>
        <v/>
      </c>
      <c r="Z216" s="901" t="str">
        <f t="shared" si="93"/>
        <v/>
      </c>
      <c r="AA216" s="858" t="str">
        <f>IF($W216,$W216*TreatyCatch!CA271/SUM(TreatyCatch!$BX271:$BY271,TreatyCatch!$CA271:$CB271),"")</f>
        <v/>
      </c>
      <c r="AB216" s="859" t="str">
        <f>IF($W216,$W216*TreatyCatch!CB271/SUM(TreatyCatch!$BX271:$BY271,TreatyCatch!$CA271:$CB271),"")</f>
        <v/>
      </c>
      <c r="AC216" s="840" t="str">
        <f t="shared" si="105"/>
        <v/>
      </c>
      <c r="AD216" s="958"/>
      <c r="AE216" s="1071" t="str">
        <f>IF($AD216,$AD216*TreatyCatch!CD446/SUM(TreatyCatch!$CD446:$CE446,TreatyCatch!$CG446:$CH446),"")</f>
        <v/>
      </c>
      <c r="AF216" s="1072" t="str">
        <f>IF($AD216,$AD216*TreatyCatch!CE446/SUM(TreatyCatch!$CD446:$CE446,TreatyCatch!$CG446:$CH446),"")</f>
        <v/>
      </c>
      <c r="AG216" s="1073" t="str">
        <f t="shared" si="94"/>
        <v/>
      </c>
      <c r="AH216" s="1077" t="str">
        <f>IF($AD216,$AD216*TreatyCatch!CG446/SUM(TreatyCatch!$CD446:CE446,TreatyCatch!$CG446:$CH446),"")</f>
        <v/>
      </c>
      <c r="AI216" s="1078" t="str">
        <f>IF($AD216,$AD216*TreatyCatch!CH446/SUM(TreatyCatch!$CD446:CF446,TreatyCatch!$CG446:$CH446),"")</f>
        <v/>
      </c>
      <c r="AJ216" s="1080" t="str">
        <f t="shared" si="106"/>
        <v/>
      </c>
      <c r="AK216" s="958"/>
      <c r="AL216" s="882"/>
      <c r="AM216" s="883"/>
      <c r="AN216" s="901"/>
      <c r="AO216" s="858"/>
      <c r="AP216" s="859"/>
      <c r="AQ216" s="840"/>
      <c r="AR216" s="765"/>
      <c r="AS216" s="852"/>
      <c r="AT216" s="853"/>
      <c r="AU216" s="846"/>
      <c r="AV216" s="893"/>
      <c r="AW216" s="894"/>
      <c r="AX216" s="877"/>
      <c r="AY216" s="765"/>
      <c r="AZ216" s="882"/>
      <c r="BA216" s="883"/>
      <c r="BB216" s="901"/>
      <c r="BC216" s="858"/>
      <c r="BD216" s="859"/>
      <c r="BE216" s="840"/>
      <c r="BF216" s="765"/>
      <c r="BG216" s="852"/>
      <c r="BH216" s="853"/>
      <c r="BI216" s="846"/>
      <c r="BJ216" s="893"/>
      <c r="BK216" s="894"/>
      <c r="BL216" s="877"/>
      <c r="BM216" s="765"/>
      <c r="BN216" s="882"/>
      <c r="BO216" s="883"/>
      <c r="BP216" s="901"/>
      <c r="BQ216" s="858"/>
      <c r="BR216" s="859"/>
      <c r="BS216" s="840"/>
      <c r="BT216" s="765"/>
      <c r="BU216" s="852"/>
      <c r="BV216" s="853"/>
      <c r="BW216" s="846"/>
      <c r="BX216" s="893"/>
      <c r="BY216" s="894"/>
      <c r="BZ216" s="877"/>
      <c r="CA216" s="765"/>
      <c r="CB216" s="882"/>
      <c r="CC216" s="883"/>
      <c r="CD216" s="901"/>
      <c r="CE216" s="858"/>
      <c r="CF216" s="859"/>
      <c r="CG216" s="840"/>
      <c r="CH216" s="765"/>
      <c r="CI216" s="852"/>
      <c r="CJ216" s="853"/>
      <c r="CK216" s="846"/>
      <c r="CL216" s="893"/>
      <c r="CM216" s="894"/>
      <c r="CN216" s="877"/>
    </row>
    <row r="217" spans="1:92" x14ac:dyDescent="0.25">
      <c r="A217" s="757">
        <v>34</v>
      </c>
      <c r="B217" s="765"/>
      <c r="C217" s="844" t="str">
        <f>IF($B217,$B217*TreatyCatch!BF272/SUM(TreatyCatch!$BF272:$BG272,TreatyCatch!$BI272:$BJ272),"")</f>
        <v/>
      </c>
      <c r="D217" s="844" t="str">
        <f>IF($B217,$B217*TreatyCatch!BG272/SUM(TreatyCatch!$BF272:$BG272,TreatyCatch!$BI272:$BJ272),"")</f>
        <v/>
      </c>
      <c r="E217" s="846" t="str">
        <f t="shared" si="90"/>
        <v/>
      </c>
      <c r="F217" s="876" t="str">
        <f>IF($B217,$B217*TreatyCatch!BI272/SUM(TreatyCatch!$BF272:$BG272,TreatyCatch!$BI272:$BJ272),"")</f>
        <v/>
      </c>
      <c r="G217" s="889" t="str">
        <f>IF($B217,$B217*TreatyCatch!BJ272/SUM(TreatyCatch!$BF272:$BG272,TreatyCatch!$BI272:$BJ272),"")</f>
        <v/>
      </c>
      <c r="H217" s="877" t="str">
        <f t="shared" si="102"/>
        <v/>
      </c>
      <c r="I217" s="765"/>
      <c r="J217" s="882" t="str">
        <f>IF($I217,$I217*TreatyCatch!BL272/SUM(TreatyCatch!$BL272:$BM272,TreatyCatch!$BO272:$BP272),"")</f>
        <v/>
      </c>
      <c r="K217" s="883" t="str">
        <f>IF($I217,$I217*TreatyCatch!BM272/SUM(TreatyCatch!$BL272:$BM272,TreatyCatch!$BO272:$BP272),"")</f>
        <v/>
      </c>
      <c r="L217" s="871" t="str">
        <f t="shared" si="91"/>
        <v/>
      </c>
      <c r="M217" s="858" t="str">
        <f>IF($I217,$I217*TreatyCatch!BO272/SUM(TreatyCatch!$BL272:$BM272,TreatyCatch!$BO272:$BP272),"")</f>
        <v/>
      </c>
      <c r="N217" s="859" t="str">
        <f>IF($I217,$I217*TreatyCatch!BP272/SUM(TreatyCatch!$BL272:$BM272,TreatyCatch!$BO62:$BP272),"")</f>
        <v/>
      </c>
      <c r="O217" s="925" t="str">
        <f t="shared" si="103"/>
        <v/>
      </c>
      <c r="P217" s="765"/>
      <c r="Q217" s="852" t="str">
        <f>IF($P217,$P217*TreatyCatch!BR272/SUM(TreatyCatch!$BR272:$BS272,TreatyCatch!$BU272:$BV272),"")</f>
        <v/>
      </c>
      <c r="R217" s="853" t="str">
        <f>IF($P217,$P217*TreatyCatch!BS272/SUM(TreatyCatch!$BR272:$BS272,TreatyCatch!$BU272:$BV272),"")</f>
        <v/>
      </c>
      <c r="S217" s="846" t="str">
        <f t="shared" si="92"/>
        <v/>
      </c>
      <c r="T217" s="893" t="str">
        <f>IF($P217,$P217*TreatyCatch!BU272/SUM(TreatyCatch!$BR272:$BS272,TreatyCatch!$BU272:$BV272),"")</f>
        <v/>
      </c>
      <c r="U217" s="894" t="str">
        <f>IF($P217,$P217*TreatyCatch!BV272/SUM(TreatyCatch!$BR272:$BS272,TreatyCatch!$BU272:$BV272),"")</f>
        <v/>
      </c>
      <c r="V217" s="877" t="str">
        <f t="shared" si="104"/>
        <v/>
      </c>
      <c r="W217" s="958"/>
      <c r="X217" s="882" t="str">
        <f>IF($W217,$W217*TreatyCatch!BX272/SUM(TreatyCatch!$BX272:$BY272,TreatyCatch!$CA272:$CB272),"")</f>
        <v/>
      </c>
      <c r="Y217" s="883" t="str">
        <f>IF($W217,$W217*TreatyCatch!BY272/SUM(TreatyCatch!$BX272:$BY272,TreatyCatch!$CA272:$CB272),"")</f>
        <v/>
      </c>
      <c r="Z217" s="901" t="str">
        <f t="shared" si="93"/>
        <v/>
      </c>
      <c r="AA217" s="858" t="str">
        <f>IF($W217,$W217*TreatyCatch!CA272/SUM(TreatyCatch!$BX272:$BY272,TreatyCatch!$CA272:$CB272),"")</f>
        <v/>
      </c>
      <c r="AB217" s="859" t="str">
        <f>IF($W217,$W217*TreatyCatch!CB272/SUM(TreatyCatch!$BX272:$BY272,TreatyCatch!$CA272:$CB272),"")</f>
        <v/>
      </c>
      <c r="AC217" s="840" t="str">
        <f t="shared" si="105"/>
        <v/>
      </c>
      <c r="AD217" s="958"/>
      <c r="AE217" s="1071" t="str">
        <f>IF($AD217,$AD217*TreatyCatch!CD447/SUM(TreatyCatch!$CD447:$CE447,TreatyCatch!$CG447:$CH447),"")</f>
        <v/>
      </c>
      <c r="AF217" s="1072" t="str">
        <f>IF($AD217,$AD217*TreatyCatch!CE447/SUM(TreatyCatch!$CD447:$CE447,TreatyCatch!$CG447:$CH447),"")</f>
        <v/>
      </c>
      <c r="AG217" s="1073" t="str">
        <f t="shared" si="94"/>
        <v/>
      </c>
      <c r="AH217" s="1077" t="str">
        <f>IF($AD217,$AD217*TreatyCatch!CG447/SUM(TreatyCatch!$CD447:CE447,TreatyCatch!$CG447:$CH447),"")</f>
        <v/>
      </c>
      <c r="AI217" s="1078" t="str">
        <f>IF($AD217,$AD217*TreatyCatch!CH447/SUM(TreatyCatch!$CD447:CF447,TreatyCatch!$CG447:$CH447),"")</f>
        <v/>
      </c>
      <c r="AJ217" s="1080" t="str">
        <f t="shared" si="106"/>
        <v/>
      </c>
      <c r="AK217" s="958"/>
      <c r="AL217" s="882"/>
      <c r="AM217" s="883"/>
      <c r="AN217" s="901"/>
      <c r="AO217" s="858"/>
      <c r="AP217" s="859"/>
      <c r="AQ217" s="840"/>
      <c r="AR217" s="765"/>
      <c r="AS217" s="852"/>
      <c r="AT217" s="853"/>
      <c r="AU217" s="846"/>
      <c r="AV217" s="893"/>
      <c r="AW217" s="894"/>
      <c r="AX217" s="877"/>
      <c r="AY217" s="765"/>
      <c r="AZ217" s="882"/>
      <c r="BA217" s="883"/>
      <c r="BB217" s="901"/>
      <c r="BC217" s="858"/>
      <c r="BD217" s="859"/>
      <c r="BE217" s="840"/>
      <c r="BF217" s="765"/>
      <c r="BG217" s="852"/>
      <c r="BH217" s="853"/>
      <c r="BI217" s="846"/>
      <c r="BJ217" s="893"/>
      <c r="BK217" s="894"/>
      <c r="BL217" s="877"/>
      <c r="BM217" s="765"/>
      <c r="BN217" s="882"/>
      <c r="BO217" s="883"/>
      <c r="BP217" s="901"/>
      <c r="BQ217" s="858"/>
      <c r="BR217" s="859"/>
      <c r="BS217" s="840"/>
      <c r="BT217" s="765"/>
      <c r="BU217" s="852"/>
      <c r="BV217" s="853"/>
      <c r="BW217" s="846"/>
      <c r="BX217" s="893"/>
      <c r="BY217" s="894"/>
      <c r="BZ217" s="877"/>
      <c r="CA217" s="765"/>
      <c r="CB217" s="882"/>
      <c r="CC217" s="883"/>
      <c r="CD217" s="901"/>
      <c r="CE217" s="858"/>
      <c r="CF217" s="859"/>
      <c r="CG217" s="840"/>
      <c r="CH217" s="765"/>
      <c r="CI217" s="852"/>
      <c r="CJ217" s="853"/>
      <c r="CK217" s="846"/>
      <c r="CL217" s="893"/>
      <c r="CM217" s="894"/>
      <c r="CN217" s="877"/>
    </row>
    <row r="218" spans="1:92" x14ac:dyDescent="0.25">
      <c r="A218" s="757">
        <v>35</v>
      </c>
      <c r="B218" s="765"/>
      <c r="C218" s="844" t="str">
        <f>IF($B218,$B218*TreatyCatch!BF273/SUM(TreatyCatch!$BF273:$BG273,TreatyCatch!$BI273:$BJ273),"")</f>
        <v/>
      </c>
      <c r="D218" s="844" t="str">
        <f>IF($B218,$B218*TreatyCatch!BG273/SUM(TreatyCatch!$BF273:$BG273,TreatyCatch!$BI273:$BJ273),"")</f>
        <v/>
      </c>
      <c r="E218" s="846" t="str">
        <f t="shared" si="90"/>
        <v/>
      </c>
      <c r="F218" s="876" t="str">
        <f>IF($B218,$B218*TreatyCatch!BI273/SUM(TreatyCatch!$BF273:$BG273,TreatyCatch!$BI273:$BJ273),"")</f>
        <v/>
      </c>
      <c r="G218" s="889" t="str">
        <f>IF($B218,$B218*TreatyCatch!BJ273/SUM(TreatyCatch!$BF273:$BG273,TreatyCatch!$BI273:$BJ273),"")</f>
        <v/>
      </c>
      <c r="H218" s="877" t="str">
        <f t="shared" si="102"/>
        <v/>
      </c>
      <c r="I218" s="765"/>
      <c r="J218" s="882" t="str">
        <f>IF($I218,$I218*TreatyCatch!BL273/SUM(TreatyCatch!$BL273:$BM273,TreatyCatch!$BO273:$BP273),"")</f>
        <v/>
      </c>
      <c r="K218" s="883" t="str">
        <f>IF($I218,$I218*TreatyCatch!BM273/SUM(TreatyCatch!$BL273:$BM273,TreatyCatch!$BO273:$BP273),"")</f>
        <v/>
      </c>
      <c r="L218" s="871" t="str">
        <f t="shared" si="91"/>
        <v/>
      </c>
      <c r="M218" s="858" t="str">
        <f>IF($I218,$I218*TreatyCatch!BO273/SUM(TreatyCatch!$BL273:$BM273,TreatyCatch!$BO273:$BP273),"")</f>
        <v/>
      </c>
      <c r="N218" s="859" t="str">
        <f>IF($I218,$I218*TreatyCatch!BP273/SUM(TreatyCatch!$BL273:$BM273,TreatyCatch!$BO63:$BP273),"")</f>
        <v/>
      </c>
      <c r="O218" s="925" t="str">
        <f t="shared" si="103"/>
        <v/>
      </c>
      <c r="P218" s="765"/>
      <c r="Q218" s="852" t="str">
        <f>IF($P218,$P218*TreatyCatch!BR273/SUM(TreatyCatch!$BR273:$BS273,TreatyCatch!$BU273:$BV273),"")</f>
        <v/>
      </c>
      <c r="R218" s="853" t="str">
        <f>IF($P218,$P218*TreatyCatch!BS273/SUM(TreatyCatch!$BR273:$BS273,TreatyCatch!$BU273:$BV273),"")</f>
        <v/>
      </c>
      <c r="S218" s="846" t="str">
        <f t="shared" si="92"/>
        <v/>
      </c>
      <c r="T218" s="893" t="str">
        <f>IF($P218,$P218*TreatyCatch!BU273/SUM(TreatyCatch!$BR273:$BS273,TreatyCatch!$BU273:$BV273),"")</f>
        <v/>
      </c>
      <c r="U218" s="894" t="str">
        <f>IF($P218,$P218*TreatyCatch!BV273/SUM(TreatyCatch!$BR273:$BS273,TreatyCatch!$BU273:$BV273),"")</f>
        <v/>
      </c>
      <c r="V218" s="877" t="str">
        <f t="shared" si="104"/>
        <v/>
      </c>
      <c r="W218" s="958">
        <v>1</v>
      </c>
      <c r="X218" s="882">
        <f>IF($W218,$W218*TreatyCatch!BX273/SUM(TreatyCatch!$BX273:$BY273,TreatyCatch!$CA273:$CB273),"")</f>
        <v>0</v>
      </c>
      <c r="Y218" s="883">
        <f>IF($W218,$W218*TreatyCatch!BY273/SUM(TreatyCatch!$BX273:$BY273,TreatyCatch!$CA273:$CB273),"")</f>
        <v>1</v>
      </c>
      <c r="Z218" s="901">
        <f t="shared" si="93"/>
        <v>8.8499999999999995E-2</v>
      </c>
      <c r="AA218" s="858">
        <f>IF($W218,$W218*TreatyCatch!CA273/SUM(TreatyCatch!$BX273:$BY273,TreatyCatch!$CA273:$CB273),"")</f>
        <v>0</v>
      </c>
      <c r="AB218" s="859">
        <f>IF($W218,$W218*TreatyCatch!CB273/SUM(TreatyCatch!$BX273:$BY273,TreatyCatch!$CA273:$CB273),"")</f>
        <v>0</v>
      </c>
      <c r="AC218" s="840">
        <f t="shared" si="105"/>
        <v>0</v>
      </c>
      <c r="AD218" s="958"/>
      <c r="AE218" s="1071" t="str">
        <f>IF($AD218,$AD218*TreatyCatch!CD448/SUM(TreatyCatch!$CD448:$CE448,TreatyCatch!$CG448:$CH448),"")</f>
        <v/>
      </c>
      <c r="AF218" s="1072" t="str">
        <f>IF($AD218,$AD218*TreatyCatch!CE448/SUM(TreatyCatch!$CD448:$CE448,TreatyCatch!$CG448:$CH448),"")</f>
        <v/>
      </c>
      <c r="AG218" s="1073" t="str">
        <f t="shared" si="94"/>
        <v/>
      </c>
      <c r="AH218" s="1077" t="str">
        <f>IF($AD218,$AD218*TreatyCatch!CG448/SUM(TreatyCatch!$CD448:CE448,TreatyCatch!$CG448:$CH448),"")</f>
        <v/>
      </c>
      <c r="AI218" s="1078" t="str">
        <f>IF($AD218,$AD218*TreatyCatch!CH448/SUM(TreatyCatch!$CD448:CF448,TreatyCatch!$CG448:$CH448),"")</f>
        <v/>
      </c>
      <c r="AJ218" s="1080" t="str">
        <f t="shared" si="106"/>
        <v/>
      </c>
      <c r="AK218" s="958"/>
      <c r="AL218" s="882"/>
      <c r="AM218" s="883"/>
      <c r="AN218" s="901"/>
      <c r="AO218" s="858"/>
      <c r="AP218" s="859"/>
      <c r="AQ218" s="840"/>
      <c r="AR218" s="765"/>
      <c r="AS218" s="852"/>
      <c r="AT218" s="853"/>
      <c r="AU218" s="846"/>
      <c r="AV218" s="893"/>
      <c r="AW218" s="894"/>
      <c r="AX218" s="877"/>
      <c r="AY218" s="765"/>
      <c r="AZ218" s="882"/>
      <c r="BA218" s="883"/>
      <c r="BB218" s="901"/>
      <c r="BC218" s="858"/>
      <c r="BD218" s="859"/>
      <c r="BE218" s="840"/>
      <c r="BF218" s="765"/>
      <c r="BG218" s="852"/>
      <c r="BH218" s="853"/>
      <c r="BI218" s="846"/>
      <c r="BJ218" s="893"/>
      <c r="BK218" s="894"/>
      <c r="BL218" s="877"/>
      <c r="BM218" s="765"/>
      <c r="BN218" s="882"/>
      <c r="BO218" s="883"/>
      <c r="BP218" s="901"/>
      <c r="BQ218" s="858"/>
      <c r="BR218" s="859"/>
      <c r="BS218" s="840"/>
      <c r="BT218" s="765"/>
      <c r="BU218" s="852"/>
      <c r="BV218" s="853"/>
      <c r="BW218" s="846"/>
      <c r="BX218" s="893"/>
      <c r="BY218" s="894"/>
      <c r="BZ218" s="877"/>
      <c r="CA218" s="765"/>
      <c r="CB218" s="882"/>
      <c r="CC218" s="883"/>
      <c r="CD218" s="901"/>
      <c r="CE218" s="858"/>
      <c r="CF218" s="859"/>
      <c r="CG218" s="840"/>
      <c r="CH218" s="765"/>
      <c r="CI218" s="852"/>
      <c r="CJ218" s="853"/>
      <c r="CK218" s="846"/>
      <c r="CL218" s="893"/>
      <c r="CM218" s="894"/>
      <c r="CN218" s="877"/>
    </row>
    <row r="219" spans="1:92" x14ac:dyDescent="0.25">
      <c r="A219" s="757">
        <v>36</v>
      </c>
      <c r="B219" s="765"/>
      <c r="C219" s="844" t="str">
        <f>IF($B219,$B219*TreatyCatch!BF274/SUM(TreatyCatch!$BF274:$BG274,TreatyCatch!$BI274:$BJ274),"")</f>
        <v/>
      </c>
      <c r="D219" s="844" t="str">
        <f>IF($B219,$B219*TreatyCatch!BG274/SUM(TreatyCatch!$BF274:$BG274,TreatyCatch!$BI274:$BJ274),"")</f>
        <v/>
      </c>
      <c r="E219" s="846" t="str">
        <f t="shared" si="90"/>
        <v/>
      </c>
      <c r="F219" s="876" t="str">
        <f>IF($B219,$B219*TreatyCatch!BI274/SUM(TreatyCatch!$BF274:$BG274,TreatyCatch!$BI274:$BJ274),"")</f>
        <v/>
      </c>
      <c r="G219" s="889" t="str">
        <f>IF($B219,$B219*TreatyCatch!BJ274/SUM(TreatyCatch!$BF274:$BG274,TreatyCatch!$BI274:$BJ274),"")</f>
        <v/>
      </c>
      <c r="H219" s="877" t="str">
        <f t="shared" si="102"/>
        <v/>
      </c>
      <c r="I219" s="765">
        <v>1</v>
      </c>
      <c r="J219" s="882">
        <f>IF($I219,$I219*TreatyCatch!BL274/SUM(TreatyCatch!$BL274:$BM274,TreatyCatch!$BO274:$BP274),"")</f>
        <v>0.5</v>
      </c>
      <c r="K219" s="883">
        <f>IF($I219,$I219*TreatyCatch!BM274/SUM(TreatyCatch!$BL274:$BM274,TreatyCatch!$BO274:$BP274),"")</f>
        <v>0</v>
      </c>
      <c r="L219" s="871">
        <f t="shared" si="91"/>
        <v>0.5</v>
      </c>
      <c r="M219" s="858">
        <f>IF($I219,$I219*TreatyCatch!BO274/SUM(TreatyCatch!$BL274:$BM274,TreatyCatch!$BO274:$BP274),"")</f>
        <v>0.5</v>
      </c>
      <c r="N219" s="859">
        <f>IF($I219,$I219*TreatyCatch!BP274/SUM(TreatyCatch!$BL274:$BM274,TreatyCatch!$BO64:$BP274),"")</f>
        <v>0</v>
      </c>
      <c r="O219" s="925">
        <f t="shared" si="103"/>
        <v>0.5</v>
      </c>
      <c r="P219" s="765"/>
      <c r="Q219" s="852" t="str">
        <f>IF($P219,$P219*TreatyCatch!BR274/SUM(TreatyCatch!$BR274:$BS274,TreatyCatch!$BU274:$BV274),"")</f>
        <v/>
      </c>
      <c r="R219" s="853" t="str">
        <f>IF($P219,$P219*TreatyCatch!BS274/SUM(TreatyCatch!$BR274:$BS274,TreatyCatch!$BU274:$BV274),"")</f>
        <v/>
      </c>
      <c r="S219" s="846" t="str">
        <f t="shared" si="92"/>
        <v/>
      </c>
      <c r="T219" s="893" t="str">
        <f>IF($P219,$P219*TreatyCatch!BU274/SUM(TreatyCatch!$BR274:$BS274,TreatyCatch!$BU274:$BV274),"")</f>
        <v/>
      </c>
      <c r="U219" s="894" t="str">
        <f>IF($P219,$P219*TreatyCatch!BV274/SUM(TreatyCatch!$BR274:$BS274,TreatyCatch!$BU274:$BV274),"")</f>
        <v/>
      </c>
      <c r="V219" s="877" t="str">
        <f t="shared" si="104"/>
        <v/>
      </c>
      <c r="W219" s="958">
        <v>2</v>
      </c>
      <c r="X219" s="882">
        <f>IF($W219,$W219*TreatyCatch!BX274/SUM(TreatyCatch!$BX274:$BY274,TreatyCatch!$CA274:$CB274),"")</f>
        <v>2</v>
      </c>
      <c r="Y219" s="883">
        <f>IF($W219,$W219*TreatyCatch!BY274/SUM(TreatyCatch!$BX274:$BY274,TreatyCatch!$CA274:$CB274),"")</f>
        <v>0</v>
      </c>
      <c r="Z219" s="901">
        <f t="shared" si="93"/>
        <v>2</v>
      </c>
      <c r="AA219" s="858">
        <f>IF($W219,$W219*TreatyCatch!CA274/SUM(TreatyCatch!$BX274:$BY274,TreatyCatch!$CA274:$CB274),"")</f>
        <v>0</v>
      </c>
      <c r="AB219" s="859">
        <f>IF($W219,$W219*TreatyCatch!CB274/SUM(TreatyCatch!$BX274:$BY274,TreatyCatch!$CA274:$CB274),"")</f>
        <v>0</v>
      </c>
      <c r="AC219" s="840">
        <f t="shared" si="105"/>
        <v>0</v>
      </c>
      <c r="AD219" s="958"/>
      <c r="AE219" s="1071" t="str">
        <f>IF($AD219,$AD219*TreatyCatch!CD449/SUM(TreatyCatch!$CD449:$CE449,TreatyCatch!$CG449:$CH449),"")</f>
        <v/>
      </c>
      <c r="AF219" s="1072" t="str">
        <f>IF($AD219,$AD219*TreatyCatch!CE449/SUM(TreatyCatch!$CD449:$CE449,TreatyCatch!$CG449:$CH449),"")</f>
        <v/>
      </c>
      <c r="AG219" s="1073" t="str">
        <f t="shared" si="94"/>
        <v/>
      </c>
      <c r="AH219" s="1077" t="str">
        <f>IF($AD219,$AD219*TreatyCatch!CG449/SUM(TreatyCatch!$CD449:CE449,TreatyCatch!$CG449:$CH449),"")</f>
        <v/>
      </c>
      <c r="AI219" s="1078" t="str">
        <f>IF($AD219,$AD219*TreatyCatch!CH449/SUM(TreatyCatch!$CD449:CF449,TreatyCatch!$CG449:$CH449),"")</f>
        <v/>
      </c>
      <c r="AJ219" s="1080" t="str">
        <f t="shared" si="106"/>
        <v/>
      </c>
      <c r="AK219" s="958"/>
      <c r="AL219" s="882"/>
      <c r="AM219" s="883"/>
      <c r="AN219" s="901"/>
      <c r="AO219" s="858"/>
      <c r="AP219" s="859"/>
      <c r="AQ219" s="840"/>
      <c r="AR219" s="765"/>
      <c r="AS219" s="852"/>
      <c r="AT219" s="853"/>
      <c r="AU219" s="846"/>
      <c r="AV219" s="893"/>
      <c r="AW219" s="894"/>
      <c r="AX219" s="877"/>
      <c r="AY219" s="765"/>
      <c r="AZ219" s="882"/>
      <c r="BA219" s="883"/>
      <c r="BB219" s="901"/>
      <c r="BC219" s="858"/>
      <c r="BD219" s="859"/>
      <c r="BE219" s="840"/>
      <c r="BF219" s="765"/>
      <c r="BG219" s="852"/>
      <c r="BH219" s="853"/>
      <c r="BI219" s="846"/>
      <c r="BJ219" s="893"/>
      <c r="BK219" s="894"/>
      <c r="BL219" s="877"/>
      <c r="BM219" s="765"/>
      <c r="BN219" s="882"/>
      <c r="BO219" s="883"/>
      <c r="BP219" s="901"/>
      <c r="BQ219" s="858"/>
      <c r="BR219" s="859"/>
      <c r="BS219" s="840"/>
      <c r="BT219" s="765"/>
      <c r="BU219" s="852"/>
      <c r="BV219" s="853"/>
      <c r="BW219" s="846"/>
      <c r="BX219" s="893"/>
      <c r="BY219" s="894"/>
      <c r="BZ219" s="877"/>
      <c r="CA219" s="765"/>
      <c r="CB219" s="882"/>
      <c r="CC219" s="883"/>
      <c r="CD219" s="901"/>
      <c r="CE219" s="858"/>
      <c r="CF219" s="859"/>
      <c r="CG219" s="840"/>
      <c r="CH219" s="765"/>
      <c r="CI219" s="852"/>
      <c r="CJ219" s="853"/>
      <c r="CK219" s="846"/>
      <c r="CL219" s="893"/>
      <c r="CM219" s="894"/>
      <c r="CN219" s="877"/>
    </row>
    <row r="220" spans="1:92" x14ac:dyDescent="0.25">
      <c r="A220" s="757">
        <v>37</v>
      </c>
      <c r="B220" s="765"/>
      <c r="C220" s="844" t="str">
        <f>IF($B220,$B220*TreatyCatch!BF275/SUM(TreatyCatch!$BF275:$BG275,TreatyCatch!$BI275:$BJ275),"")</f>
        <v/>
      </c>
      <c r="D220" s="844" t="str">
        <f>IF($B220,$B220*TreatyCatch!BG275/SUM(TreatyCatch!$BF275:$BG275,TreatyCatch!$BI275:$BJ275),"")</f>
        <v/>
      </c>
      <c r="E220" s="846" t="str">
        <f t="shared" si="90"/>
        <v/>
      </c>
      <c r="F220" s="876" t="str">
        <f>IF($B220,$B220*TreatyCatch!BI275/SUM(TreatyCatch!$BF275:$BG275,TreatyCatch!$BI275:$BJ275),"")</f>
        <v/>
      </c>
      <c r="G220" s="889" t="str">
        <f>IF($B220,$B220*TreatyCatch!BJ275/SUM(TreatyCatch!$BF275:$BG275,TreatyCatch!$BI275:$BJ275),"")</f>
        <v/>
      </c>
      <c r="H220" s="877" t="str">
        <f t="shared" si="102"/>
        <v/>
      </c>
      <c r="I220" s="765"/>
      <c r="J220" s="882" t="str">
        <f>IF($I220,$I220*TreatyCatch!BL275/SUM(TreatyCatch!$BL275:$BM275,TreatyCatch!$BO275:$BP275),"")</f>
        <v/>
      </c>
      <c r="K220" s="883" t="str">
        <f>IF($I220,$I220*TreatyCatch!BM275/SUM(TreatyCatch!$BL275:$BM275,TreatyCatch!$BO275:$BP275),"")</f>
        <v/>
      </c>
      <c r="L220" s="871" t="str">
        <f t="shared" si="91"/>
        <v/>
      </c>
      <c r="M220" s="858" t="str">
        <f>IF($I220,$I220*TreatyCatch!BO275/SUM(TreatyCatch!$BL275:$BM275,TreatyCatch!$BO275:$BP275),"")</f>
        <v/>
      </c>
      <c r="N220" s="859" t="str">
        <f>IF($I220,$I220*TreatyCatch!BP275/SUM(TreatyCatch!$BL275:$BM275,TreatyCatch!$BO65:$BP275),"")</f>
        <v/>
      </c>
      <c r="O220" s="925" t="str">
        <f t="shared" si="103"/>
        <v/>
      </c>
      <c r="P220" s="765"/>
      <c r="Q220" s="852" t="str">
        <f>IF($P220,$P220*TreatyCatch!BR275/SUM(TreatyCatch!$BR275:$BS275,TreatyCatch!$BU275:$BV275),"")</f>
        <v/>
      </c>
      <c r="R220" s="853" t="str">
        <f>IF($P220,$P220*TreatyCatch!BS275/SUM(TreatyCatch!$BR275:$BS275,TreatyCatch!$BU275:$BV275),"")</f>
        <v/>
      </c>
      <c r="S220" s="846" t="str">
        <f t="shared" si="92"/>
        <v/>
      </c>
      <c r="T220" s="893" t="str">
        <f>IF($P220,$P220*TreatyCatch!BU275/SUM(TreatyCatch!$BR275:$BS275,TreatyCatch!$BU275:$BV275),"")</f>
        <v/>
      </c>
      <c r="U220" s="894" t="str">
        <f>IF($P220,$P220*TreatyCatch!BV275/SUM(TreatyCatch!$BR275:$BS275,TreatyCatch!$BU275:$BV275),"")</f>
        <v/>
      </c>
      <c r="V220" s="877" t="str">
        <f t="shared" si="104"/>
        <v/>
      </c>
      <c r="W220" s="958"/>
      <c r="X220" s="882" t="str">
        <f>IF($W220,$W220*TreatyCatch!BX275/SUM(TreatyCatch!$BX275:$BY275,TreatyCatch!$CA275:$CB275),"")</f>
        <v/>
      </c>
      <c r="Y220" s="883" t="str">
        <f>IF($W220,$W220*TreatyCatch!BY275/SUM(TreatyCatch!$BX275:$BY275,TreatyCatch!$CA275:$CB275),"")</f>
        <v/>
      </c>
      <c r="Z220" s="901" t="str">
        <f t="shared" si="93"/>
        <v/>
      </c>
      <c r="AA220" s="858" t="str">
        <f>IF($W220,$W220*TreatyCatch!CA275/SUM(TreatyCatch!$BX275:$BY275,TreatyCatch!$CA275:$CB275),"")</f>
        <v/>
      </c>
      <c r="AB220" s="859" t="str">
        <f>IF($W220,$W220*TreatyCatch!CB275/SUM(TreatyCatch!$BX275:$BY275,TreatyCatch!$CA275:$CB275),"")</f>
        <v/>
      </c>
      <c r="AC220" s="840" t="str">
        <f t="shared" si="105"/>
        <v/>
      </c>
      <c r="AD220" s="958"/>
      <c r="AE220" s="1071" t="str">
        <f>IF($AD220,$AD220*TreatyCatch!CD450/SUM(TreatyCatch!$CD450:$CE450,TreatyCatch!$CG450:$CH450),"")</f>
        <v/>
      </c>
      <c r="AF220" s="1072" t="str">
        <f>IF($AD220,$AD220*TreatyCatch!CE450/SUM(TreatyCatch!$CD450:$CE450,TreatyCatch!$CG450:$CH450),"")</f>
        <v/>
      </c>
      <c r="AG220" s="1073" t="str">
        <f t="shared" si="94"/>
        <v/>
      </c>
      <c r="AH220" s="1077" t="str">
        <f>IF($AD220,$AD220*TreatyCatch!CG450/SUM(TreatyCatch!$CD450:CE450,TreatyCatch!$CG450:$CH450),"")</f>
        <v/>
      </c>
      <c r="AI220" s="1078" t="str">
        <f>IF($AD220,$AD220*TreatyCatch!CH450/SUM(TreatyCatch!$CD450:CF450,TreatyCatch!$CG450:$CH450),"")</f>
        <v/>
      </c>
      <c r="AJ220" s="1080" t="str">
        <f t="shared" si="106"/>
        <v/>
      </c>
      <c r="AK220" s="958"/>
      <c r="AL220" s="882"/>
      <c r="AM220" s="883"/>
      <c r="AN220" s="901"/>
      <c r="AO220" s="858"/>
      <c r="AP220" s="859"/>
      <c r="AQ220" s="840"/>
      <c r="AR220" s="765"/>
      <c r="AS220" s="852"/>
      <c r="AT220" s="853"/>
      <c r="AU220" s="846"/>
      <c r="AV220" s="893"/>
      <c r="AW220" s="894"/>
      <c r="AX220" s="877"/>
      <c r="AY220" s="765"/>
      <c r="AZ220" s="882"/>
      <c r="BA220" s="883"/>
      <c r="BB220" s="901"/>
      <c r="BC220" s="858"/>
      <c r="BD220" s="859"/>
      <c r="BE220" s="840"/>
      <c r="BF220" s="765"/>
      <c r="BG220" s="852"/>
      <c r="BH220" s="853"/>
      <c r="BI220" s="846"/>
      <c r="BJ220" s="893"/>
      <c r="BK220" s="894"/>
      <c r="BL220" s="877"/>
      <c r="BM220" s="765"/>
      <c r="BN220" s="882"/>
      <c r="BO220" s="883"/>
      <c r="BP220" s="901"/>
      <c r="BQ220" s="858"/>
      <c r="BR220" s="859"/>
      <c r="BS220" s="840"/>
      <c r="BT220" s="765"/>
      <c r="BU220" s="852"/>
      <c r="BV220" s="853"/>
      <c r="BW220" s="846"/>
      <c r="BX220" s="893"/>
      <c r="BY220" s="894"/>
      <c r="BZ220" s="877"/>
      <c r="CA220" s="765"/>
      <c r="CB220" s="882"/>
      <c r="CC220" s="883"/>
      <c r="CD220" s="901"/>
      <c r="CE220" s="858"/>
      <c r="CF220" s="859"/>
      <c r="CG220" s="840"/>
      <c r="CH220" s="765"/>
      <c r="CI220" s="852"/>
      <c r="CJ220" s="853"/>
      <c r="CK220" s="846"/>
      <c r="CL220" s="893"/>
      <c r="CM220" s="894"/>
      <c r="CN220" s="877"/>
    </row>
    <row r="221" spans="1:92" x14ac:dyDescent="0.25">
      <c r="A221" s="757">
        <v>38</v>
      </c>
      <c r="B221" s="765"/>
      <c r="C221" s="844" t="str">
        <f>IF($B221,$B221*TreatyCatch!BF276/SUM(TreatyCatch!$BF276:$BG276,TreatyCatch!$BI276:$BJ276),"")</f>
        <v/>
      </c>
      <c r="D221" s="844" t="str">
        <f>IF($B221,$B221*TreatyCatch!BG276/SUM(TreatyCatch!$BF276:$BG276,TreatyCatch!$BI276:$BJ276),"")</f>
        <v/>
      </c>
      <c r="E221" s="846" t="str">
        <f t="shared" si="90"/>
        <v/>
      </c>
      <c r="F221" s="876" t="str">
        <f>IF($B221,$B221*TreatyCatch!BI276/SUM(TreatyCatch!$BF276:$BG276,TreatyCatch!$BI276:$BJ276),"")</f>
        <v/>
      </c>
      <c r="G221" s="889" t="str">
        <f>IF($B221,$B221*TreatyCatch!BJ276/SUM(TreatyCatch!$BF276:$BG276,TreatyCatch!$BI276:$BJ276),"")</f>
        <v/>
      </c>
      <c r="H221" s="877" t="str">
        <f t="shared" si="102"/>
        <v/>
      </c>
      <c r="I221" s="765"/>
      <c r="J221" s="882" t="str">
        <f>IF($I221,$I221*TreatyCatch!BL276/SUM(TreatyCatch!$BL276:$BM276,TreatyCatch!$BO276:$BP276),"")</f>
        <v/>
      </c>
      <c r="K221" s="883" t="str">
        <f>IF($I221,$I221*TreatyCatch!BM276/SUM(TreatyCatch!$BL276:$BM276,TreatyCatch!$BO276:$BP276),"")</f>
        <v/>
      </c>
      <c r="L221" s="871" t="str">
        <f t="shared" si="91"/>
        <v/>
      </c>
      <c r="M221" s="858" t="str">
        <f>IF($I221,$I221*TreatyCatch!BO276/SUM(TreatyCatch!$BL276:$BM276,TreatyCatch!$BO276:$BP276),"")</f>
        <v/>
      </c>
      <c r="N221" s="859" t="str">
        <f>IF($I221,$I221*TreatyCatch!BP276/SUM(TreatyCatch!$BL276:$BM276,TreatyCatch!$BO66:$BP276),"")</f>
        <v/>
      </c>
      <c r="O221" s="925" t="str">
        <f t="shared" si="103"/>
        <v/>
      </c>
      <c r="P221" s="765"/>
      <c r="Q221" s="852" t="str">
        <f>IF($P221,$P221*TreatyCatch!BR276/SUM(TreatyCatch!$BR276:$BS276,TreatyCatch!$BU276:$BV276),"")</f>
        <v/>
      </c>
      <c r="R221" s="853" t="str">
        <f>IF($P221,$P221*TreatyCatch!BS276/SUM(TreatyCatch!$BR276:$BS276,TreatyCatch!$BU276:$BV276),"")</f>
        <v/>
      </c>
      <c r="S221" s="846" t="str">
        <f t="shared" si="92"/>
        <v/>
      </c>
      <c r="T221" s="893" t="str">
        <f>IF($P221,$P221*TreatyCatch!BU276/SUM(TreatyCatch!$BR276:$BS276,TreatyCatch!$BU276:$BV276),"")</f>
        <v/>
      </c>
      <c r="U221" s="894" t="str">
        <f>IF($P221,$P221*TreatyCatch!BV276/SUM(TreatyCatch!$BR276:$BS276,TreatyCatch!$BU276:$BV276),"")</f>
        <v/>
      </c>
      <c r="V221" s="877" t="str">
        <f t="shared" si="104"/>
        <v/>
      </c>
      <c r="W221" s="958"/>
      <c r="X221" s="882" t="str">
        <f>IF($W221,$W221*TreatyCatch!BX276/SUM(TreatyCatch!$BX276:$BY276,TreatyCatch!$CA276:$CB276),"")</f>
        <v/>
      </c>
      <c r="Y221" s="883" t="str">
        <f>IF($W221,$W221*TreatyCatch!BY276/SUM(TreatyCatch!$BX276:$BY276,TreatyCatch!$CA276:$CB276),"")</f>
        <v/>
      </c>
      <c r="Z221" s="901" t="str">
        <f t="shared" si="93"/>
        <v/>
      </c>
      <c r="AA221" s="858" t="str">
        <f>IF($W221,$W221*TreatyCatch!CA276/SUM(TreatyCatch!$BX276:$BY276,TreatyCatch!$CA276:$CB276),"")</f>
        <v/>
      </c>
      <c r="AB221" s="859" t="str">
        <f>IF($W221,$W221*TreatyCatch!CB276/SUM(TreatyCatch!$BX276:$BY276,TreatyCatch!$CA276:$CB276),"")</f>
        <v/>
      </c>
      <c r="AC221" s="840" t="str">
        <f t="shared" si="105"/>
        <v/>
      </c>
      <c r="AD221" s="958"/>
      <c r="AE221" s="1071" t="str">
        <f>IF($AD221,$AD221*TreatyCatch!CD451/SUM(TreatyCatch!$CD451:$CE451,TreatyCatch!$CG451:$CH451),"")</f>
        <v/>
      </c>
      <c r="AF221" s="1072" t="str">
        <f>IF($AD221,$AD221*TreatyCatch!CE451/SUM(TreatyCatch!$CD451:$CE451,TreatyCatch!$CG451:$CH451),"")</f>
        <v/>
      </c>
      <c r="AG221" s="1073" t="str">
        <f t="shared" si="94"/>
        <v/>
      </c>
      <c r="AH221" s="1077" t="str">
        <f>IF($AD221,$AD221*TreatyCatch!CG451/SUM(TreatyCatch!$CD451:CE451,TreatyCatch!$CG451:$CH451),"")</f>
        <v/>
      </c>
      <c r="AI221" s="1078" t="str">
        <f>IF($AD221,$AD221*TreatyCatch!CH451/SUM(TreatyCatch!$CD451:CF451,TreatyCatch!$CG451:$CH451),"")</f>
        <v/>
      </c>
      <c r="AJ221" s="1080" t="str">
        <f t="shared" si="106"/>
        <v/>
      </c>
      <c r="AK221" s="958"/>
      <c r="AL221" s="882"/>
      <c r="AM221" s="883"/>
      <c r="AN221" s="901"/>
      <c r="AO221" s="858"/>
      <c r="AP221" s="859"/>
      <c r="AQ221" s="840"/>
      <c r="AR221" s="765"/>
      <c r="AS221" s="852"/>
      <c r="AT221" s="853"/>
      <c r="AU221" s="846"/>
      <c r="AV221" s="893"/>
      <c r="AW221" s="894"/>
      <c r="AX221" s="877"/>
      <c r="AY221" s="765"/>
      <c r="AZ221" s="882"/>
      <c r="BA221" s="883"/>
      <c r="BB221" s="901"/>
      <c r="BC221" s="858"/>
      <c r="BD221" s="859"/>
      <c r="BE221" s="840"/>
      <c r="BF221" s="765"/>
      <c r="BG221" s="852"/>
      <c r="BH221" s="853"/>
      <c r="BI221" s="846"/>
      <c r="BJ221" s="893"/>
      <c r="BK221" s="894"/>
      <c r="BL221" s="877"/>
      <c r="BM221" s="765"/>
      <c r="BN221" s="882"/>
      <c r="BO221" s="883"/>
      <c r="BP221" s="901"/>
      <c r="BQ221" s="858"/>
      <c r="BR221" s="859"/>
      <c r="BS221" s="840"/>
      <c r="BT221" s="765"/>
      <c r="BU221" s="852"/>
      <c r="BV221" s="853"/>
      <c r="BW221" s="846"/>
      <c r="BX221" s="893"/>
      <c r="BY221" s="894"/>
      <c r="BZ221" s="877"/>
      <c r="CA221" s="765"/>
      <c r="CB221" s="882"/>
      <c r="CC221" s="883"/>
      <c r="CD221" s="901"/>
      <c r="CE221" s="858"/>
      <c r="CF221" s="859"/>
      <c r="CG221" s="840"/>
      <c r="CH221" s="765"/>
      <c r="CI221" s="852"/>
      <c r="CJ221" s="853"/>
      <c r="CK221" s="846"/>
      <c r="CL221" s="893"/>
      <c r="CM221" s="894"/>
      <c r="CN221" s="877"/>
    </row>
    <row r="222" spans="1:92" x14ac:dyDescent="0.25">
      <c r="A222" s="757">
        <v>39</v>
      </c>
      <c r="B222" s="765"/>
      <c r="C222" s="844" t="str">
        <f>IF($B222,$B222*TreatyCatch!BF277/SUM(TreatyCatch!$BF277:$BG277,TreatyCatch!$BI277:$BJ277),"")</f>
        <v/>
      </c>
      <c r="D222" s="844" t="str">
        <f>IF($B222,$B222*TreatyCatch!BG277/SUM(TreatyCatch!$BF277:$BG277,TreatyCatch!$BI277:$BJ277),"")</f>
        <v/>
      </c>
      <c r="E222" s="846" t="str">
        <f t="shared" si="90"/>
        <v/>
      </c>
      <c r="F222" s="876" t="str">
        <f>IF($B222,$B222*TreatyCatch!BI277/SUM(TreatyCatch!$BF277:$BG277,TreatyCatch!$BI277:$BJ277),"")</f>
        <v/>
      </c>
      <c r="G222" s="889" t="str">
        <f>IF($B222,$B222*TreatyCatch!BJ277/SUM(TreatyCatch!$BF277:$BG277,TreatyCatch!$BI277:$BJ277),"")</f>
        <v/>
      </c>
      <c r="H222" s="877" t="str">
        <f t="shared" si="102"/>
        <v/>
      </c>
      <c r="I222" s="765"/>
      <c r="J222" s="882" t="str">
        <f>IF($I222,$I222*TreatyCatch!BL277/SUM(TreatyCatch!$BL277:$BM277,TreatyCatch!$BO277:$BP277),"")</f>
        <v/>
      </c>
      <c r="K222" s="883" t="str">
        <f>IF($I222,$I222*TreatyCatch!BM277/SUM(TreatyCatch!$BL277:$BM277,TreatyCatch!$BO277:$BP277),"")</f>
        <v/>
      </c>
      <c r="L222" s="871" t="str">
        <f t="shared" si="91"/>
        <v/>
      </c>
      <c r="M222" s="858" t="str">
        <f>IF($I222,$I222*TreatyCatch!BO277/SUM(TreatyCatch!$BL277:$BM277,TreatyCatch!$BO277:$BP277),"")</f>
        <v/>
      </c>
      <c r="N222" s="859" t="str">
        <f>IF($I222,$I222*TreatyCatch!BP277/SUM(TreatyCatch!$BL277:$BM277,TreatyCatch!$BO67:$BP277),"")</f>
        <v/>
      </c>
      <c r="O222" s="925" t="str">
        <f t="shared" si="103"/>
        <v/>
      </c>
      <c r="P222" s="765"/>
      <c r="Q222" s="852" t="str">
        <f>IF($P222,$P222*TreatyCatch!BR277/SUM(TreatyCatch!$BR277:$BS277,TreatyCatch!$BU277:$BV277),"")</f>
        <v/>
      </c>
      <c r="R222" s="853" t="str">
        <f>IF($P222,$P222*TreatyCatch!BS277/SUM(TreatyCatch!$BR277:$BS277,TreatyCatch!$BU277:$BV277),"")</f>
        <v/>
      </c>
      <c r="S222" s="846" t="str">
        <f t="shared" si="92"/>
        <v/>
      </c>
      <c r="T222" s="893" t="str">
        <f>IF($P222,$P222*TreatyCatch!BU277/SUM(TreatyCatch!$BR277:$BS277,TreatyCatch!$BU277:$BV277),"")</f>
        <v/>
      </c>
      <c r="U222" s="894" t="str">
        <f>IF($P222,$P222*TreatyCatch!BV277/SUM(TreatyCatch!$BR277:$BS277,TreatyCatch!$BU277:$BV277),"")</f>
        <v/>
      </c>
      <c r="V222" s="877" t="str">
        <f t="shared" si="104"/>
        <v/>
      </c>
      <c r="W222" s="958"/>
      <c r="X222" s="882" t="str">
        <f>IF($W222,$W222*TreatyCatch!BX277/SUM(TreatyCatch!$BX277:$BY277,TreatyCatch!$CA277:$CB277),"")</f>
        <v/>
      </c>
      <c r="Y222" s="883" t="str">
        <f>IF($W222,$W222*TreatyCatch!BY277/SUM(TreatyCatch!$BX277:$BY277,TreatyCatch!$CA277:$CB277),"")</f>
        <v/>
      </c>
      <c r="Z222" s="901" t="str">
        <f t="shared" si="93"/>
        <v/>
      </c>
      <c r="AA222" s="858" t="str">
        <f>IF($W222,$W222*TreatyCatch!CA277/SUM(TreatyCatch!$BX277:$BY277,TreatyCatch!$CA277:$CB277),"")</f>
        <v/>
      </c>
      <c r="AB222" s="859" t="str">
        <f>IF($W222,$W222*TreatyCatch!CB277/SUM(TreatyCatch!$BX277:$BY277,TreatyCatch!$CA277:$CB277),"")</f>
        <v/>
      </c>
      <c r="AC222" s="840" t="str">
        <f t="shared" si="105"/>
        <v/>
      </c>
      <c r="AD222" s="958"/>
      <c r="AE222" s="1071" t="str">
        <f>IF($AD222,$AD222*TreatyCatch!CD452/SUM(TreatyCatch!$CD452:$CE452,TreatyCatch!$CG452:$CH452),"")</f>
        <v/>
      </c>
      <c r="AF222" s="1072" t="str">
        <f>IF($AD222,$AD222*TreatyCatch!CE452/SUM(TreatyCatch!$CD452:$CE452,TreatyCatch!$CG452:$CH452),"")</f>
        <v/>
      </c>
      <c r="AG222" s="1073" t="str">
        <f t="shared" si="94"/>
        <v/>
      </c>
      <c r="AH222" s="1077" t="str">
        <f>IF($AD222,$AD222*TreatyCatch!CG452/SUM(TreatyCatch!$CD452:CE452,TreatyCatch!$CG452:$CH452),"")</f>
        <v/>
      </c>
      <c r="AI222" s="1078" t="str">
        <f>IF($AD222,$AD222*TreatyCatch!CH452/SUM(TreatyCatch!$CD452:CF452,TreatyCatch!$CG452:$CH452),"")</f>
        <v/>
      </c>
      <c r="AJ222" s="1080" t="str">
        <f t="shared" si="106"/>
        <v/>
      </c>
      <c r="AK222" s="958"/>
      <c r="AL222" s="882"/>
      <c r="AM222" s="883"/>
      <c r="AN222" s="901"/>
      <c r="AO222" s="858"/>
      <c r="AP222" s="859"/>
      <c r="AQ222" s="840"/>
      <c r="AR222" s="765"/>
      <c r="AS222" s="852"/>
      <c r="AT222" s="853"/>
      <c r="AU222" s="846"/>
      <c r="AV222" s="893"/>
      <c r="AW222" s="894"/>
      <c r="AX222" s="877"/>
      <c r="AY222" s="765"/>
      <c r="AZ222" s="882"/>
      <c r="BA222" s="883"/>
      <c r="BB222" s="901"/>
      <c r="BC222" s="858"/>
      <c r="BD222" s="859"/>
      <c r="BE222" s="840"/>
      <c r="BF222" s="765"/>
      <c r="BG222" s="852"/>
      <c r="BH222" s="853"/>
      <c r="BI222" s="846"/>
      <c r="BJ222" s="893"/>
      <c r="BK222" s="894"/>
      <c r="BL222" s="877"/>
      <c r="BM222" s="765"/>
      <c r="BN222" s="882"/>
      <c r="BO222" s="883"/>
      <c r="BP222" s="901"/>
      <c r="BQ222" s="858"/>
      <c r="BR222" s="859"/>
      <c r="BS222" s="840"/>
      <c r="BT222" s="765"/>
      <c r="BU222" s="852"/>
      <c r="BV222" s="853"/>
      <c r="BW222" s="846"/>
      <c r="BX222" s="893"/>
      <c r="BY222" s="894"/>
      <c r="BZ222" s="877"/>
      <c r="CA222" s="765"/>
      <c r="CB222" s="882"/>
      <c r="CC222" s="883"/>
      <c r="CD222" s="901"/>
      <c r="CE222" s="858"/>
      <c r="CF222" s="859"/>
      <c r="CG222" s="840"/>
      <c r="CH222" s="765"/>
      <c r="CI222" s="852"/>
      <c r="CJ222" s="853"/>
      <c r="CK222" s="846"/>
      <c r="CL222" s="893"/>
      <c r="CM222" s="894"/>
      <c r="CN222" s="877"/>
    </row>
    <row r="223" spans="1:92" x14ac:dyDescent="0.25">
      <c r="A223" s="757">
        <v>40</v>
      </c>
      <c r="B223" s="765"/>
      <c r="C223" s="844" t="str">
        <f>IF($B223,$B223*TreatyCatch!BF278/SUM(TreatyCatch!$BF278:$BG278,TreatyCatch!$BI278:$BJ278),"")</f>
        <v/>
      </c>
      <c r="D223" s="844" t="str">
        <f>IF($B223,$B223*TreatyCatch!BG278/SUM(TreatyCatch!$BF278:$BG278,TreatyCatch!$BI278:$BJ278),"")</f>
        <v/>
      </c>
      <c r="E223" s="846" t="str">
        <f t="shared" si="90"/>
        <v/>
      </c>
      <c r="F223" s="876" t="str">
        <f>IF($B223,$B223*TreatyCatch!BI278/SUM(TreatyCatch!$BF278:$BG278,TreatyCatch!$BI278:$BJ278),"")</f>
        <v/>
      </c>
      <c r="G223" s="889" t="str">
        <f>IF($B223,$B223*TreatyCatch!BJ278/SUM(TreatyCatch!$BF278:$BG278,TreatyCatch!$BI278:$BJ278),"")</f>
        <v/>
      </c>
      <c r="H223" s="877" t="str">
        <f t="shared" si="102"/>
        <v/>
      </c>
      <c r="I223" s="765"/>
      <c r="J223" s="882" t="str">
        <f>IF($I223,$I223*TreatyCatch!BL278/SUM(TreatyCatch!$BL278:$BM278,TreatyCatch!$BO278:$BP278),"")</f>
        <v/>
      </c>
      <c r="K223" s="883" t="str">
        <f>IF($I223,$I223*TreatyCatch!BM278/SUM(TreatyCatch!$BL278:$BM278,TreatyCatch!$BO278:$BP278),"")</f>
        <v/>
      </c>
      <c r="L223" s="871" t="str">
        <f t="shared" si="91"/>
        <v/>
      </c>
      <c r="M223" s="858" t="str">
        <f>IF($I223,$I223*TreatyCatch!BO278/SUM(TreatyCatch!$BL278:$BM278,TreatyCatch!$BO278:$BP278),"")</f>
        <v/>
      </c>
      <c r="N223" s="859" t="str">
        <f>IF($I223,$I223*TreatyCatch!BP278/SUM(TreatyCatch!$BL278:$BM278,TreatyCatch!$BO68:$BP278),"")</f>
        <v/>
      </c>
      <c r="O223" s="925" t="str">
        <f t="shared" si="103"/>
        <v/>
      </c>
      <c r="P223" s="765"/>
      <c r="Q223" s="852" t="str">
        <f>IF($P223,$P223*TreatyCatch!BR278/SUM(TreatyCatch!$BR278:$BS278,TreatyCatch!$BU278:$BV278),"")</f>
        <v/>
      </c>
      <c r="R223" s="853" t="str">
        <f>IF($P223,$P223*TreatyCatch!BS278/SUM(TreatyCatch!$BR278:$BS278,TreatyCatch!$BU278:$BV278),"")</f>
        <v/>
      </c>
      <c r="S223" s="846" t="str">
        <f t="shared" si="92"/>
        <v/>
      </c>
      <c r="T223" s="893" t="str">
        <f>IF($P223,$P223*TreatyCatch!BU278/SUM(TreatyCatch!$BR278:$BS278,TreatyCatch!$BU278:$BV278),"")</f>
        <v/>
      </c>
      <c r="U223" s="894" t="str">
        <f>IF($P223,$P223*TreatyCatch!BV278/SUM(TreatyCatch!$BR278:$BS278,TreatyCatch!$BU278:$BV278),"")</f>
        <v/>
      </c>
      <c r="V223" s="877" t="str">
        <f t="shared" si="104"/>
        <v/>
      </c>
      <c r="W223" s="958">
        <v>1</v>
      </c>
      <c r="X223" s="882">
        <f>IF($W223,$W223*TreatyCatch!BX278/SUM(TreatyCatch!$BX278:$BY278,TreatyCatch!$CA278:$CB278),"")</f>
        <v>0</v>
      </c>
      <c r="Y223" s="883">
        <f>IF($W223,$W223*TreatyCatch!BY278/SUM(TreatyCatch!$BX278:$BY278,TreatyCatch!$CA278:$CB278),"")</f>
        <v>0</v>
      </c>
      <c r="Z223" s="901">
        <f t="shared" si="93"/>
        <v>0</v>
      </c>
      <c r="AA223" s="858">
        <f>IF($W223,$W223*TreatyCatch!CA278/SUM(TreatyCatch!$BX278:$BY278,TreatyCatch!$CA278:$CB278),"")</f>
        <v>1</v>
      </c>
      <c r="AB223" s="859">
        <f>IF($W223,$W223*TreatyCatch!CB278/SUM(TreatyCatch!$BX278:$BY278,TreatyCatch!$CA278:$CB278),"")</f>
        <v>0</v>
      </c>
      <c r="AC223" s="840">
        <f t="shared" si="105"/>
        <v>1</v>
      </c>
      <c r="AD223" s="958"/>
      <c r="AE223" s="1071" t="str">
        <f>IF($AD223,$AD223*TreatyCatch!CD453/SUM(TreatyCatch!$CD453:$CE453,TreatyCatch!$CG453:$CH453),"")</f>
        <v/>
      </c>
      <c r="AF223" s="1072" t="str">
        <f>IF($AD223,$AD223*TreatyCatch!CE453/SUM(TreatyCatch!$CD453:$CE453,TreatyCatch!$CG453:$CH453),"")</f>
        <v/>
      </c>
      <c r="AG223" s="1073" t="str">
        <f t="shared" si="94"/>
        <v/>
      </c>
      <c r="AH223" s="1077" t="str">
        <f>IF($AD223,$AD223*TreatyCatch!CG453/SUM(TreatyCatch!$CD453:CE453,TreatyCatch!$CG453:$CH453),"")</f>
        <v/>
      </c>
      <c r="AI223" s="1078" t="str">
        <f>IF($AD223,$AD223*TreatyCatch!CH453/SUM(TreatyCatch!$CD453:CF453,TreatyCatch!$CG453:$CH453),"")</f>
        <v/>
      </c>
      <c r="AJ223" s="1080" t="str">
        <f t="shared" si="106"/>
        <v/>
      </c>
      <c r="AK223" s="958"/>
      <c r="AL223" s="882"/>
      <c r="AM223" s="883"/>
      <c r="AN223" s="901"/>
      <c r="AO223" s="858"/>
      <c r="AP223" s="859"/>
      <c r="AQ223" s="840"/>
      <c r="AR223" s="765"/>
      <c r="AS223" s="852"/>
      <c r="AT223" s="853"/>
      <c r="AU223" s="846"/>
      <c r="AV223" s="893"/>
      <c r="AW223" s="894"/>
      <c r="AX223" s="877"/>
      <c r="AY223" s="765"/>
      <c r="AZ223" s="882"/>
      <c r="BA223" s="883"/>
      <c r="BB223" s="901"/>
      <c r="BC223" s="858"/>
      <c r="BD223" s="859"/>
      <c r="BE223" s="840"/>
      <c r="BF223" s="765"/>
      <c r="BG223" s="852"/>
      <c r="BH223" s="853"/>
      <c r="BI223" s="846"/>
      <c r="BJ223" s="893"/>
      <c r="BK223" s="894"/>
      <c r="BL223" s="877"/>
      <c r="BM223" s="765"/>
      <c r="BN223" s="882"/>
      <c r="BO223" s="883"/>
      <c r="BP223" s="901"/>
      <c r="BQ223" s="858"/>
      <c r="BR223" s="859"/>
      <c r="BS223" s="840"/>
      <c r="BT223" s="765"/>
      <c r="BU223" s="852"/>
      <c r="BV223" s="853"/>
      <c r="BW223" s="846"/>
      <c r="BX223" s="893"/>
      <c r="BY223" s="894"/>
      <c r="BZ223" s="877"/>
      <c r="CA223" s="765"/>
      <c r="CB223" s="882"/>
      <c r="CC223" s="883"/>
      <c r="CD223" s="901"/>
      <c r="CE223" s="858"/>
      <c r="CF223" s="859"/>
      <c r="CG223" s="840"/>
      <c r="CH223" s="765"/>
      <c r="CI223" s="852"/>
      <c r="CJ223" s="853"/>
      <c r="CK223" s="846"/>
      <c r="CL223" s="893"/>
      <c r="CM223" s="894"/>
      <c r="CN223" s="877"/>
    </row>
    <row r="224" spans="1:92" x14ac:dyDescent="0.25">
      <c r="A224" s="757">
        <v>41</v>
      </c>
      <c r="B224" s="765"/>
      <c r="C224" s="844" t="str">
        <f>IF($B224,$B224*TreatyCatch!BF279/SUM(TreatyCatch!$BF279:$BG279,TreatyCatch!$BI279:$BJ279),"")</f>
        <v/>
      </c>
      <c r="D224" s="844" t="str">
        <f>IF($B224,$B224*TreatyCatch!BG279/SUM(TreatyCatch!$BF279:$BG279,TreatyCatch!$BI279:$BJ279),"")</f>
        <v/>
      </c>
      <c r="E224" s="846" t="str">
        <f t="shared" si="90"/>
        <v/>
      </c>
      <c r="F224" s="876" t="str">
        <f>IF($B224,$B224*TreatyCatch!BI279/SUM(TreatyCatch!$BF279:$BG279,TreatyCatch!$BI279:$BJ279),"")</f>
        <v/>
      </c>
      <c r="G224" s="889" t="str">
        <f>IF($B224,$B224*TreatyCatch!BJ279/SUM(TreatyCatch!$BF279:$BG279,TreatyCatch!$BI279:$BJ279),"")</f>
        <v/>
      </c>
      <c r="H224" s="877" t="str">
        <f t="shared" si="102"/>
        <v/>
      </c>
      <c r="I224" s="765"/>
      <c r="J224" s="882" t="str">
        <f>IF($I224,$I224*TreatyCatch!BL279/SUM(TreatyCatch!$BL279:$BM279,TreatyCatch!$BO279:$BP279),"")</f>
        <v/>
      </c>
      <c r="K224" s="883" t="str">
        <f>IF($I224,$I224*TreatyCatch!BM279/SUM(TreatyCatch!$BL279:$BM279,TreatyCatch!$BO279:$BP279),"")</f>
        <v/>
      </c>
      <c r="L224" s="871" t="str">
        <f t="shared" si="91"/>
        <v/>
      </c>
      <c r="M224" s="858" t="str">
        <f>IF($I224,$I224*TreatyCatch!BO279/SUM(TreatyCatch!$BL279:$BM279,TreatyCatch!$BO279:$BP279),"")</f>
        <v/>
      </c>
      <c r="N224" s="859" t="str">
        <f>IF($I224,$I224*TreatyCatch!BP279/SUM(TreatyCatch!$BL279:$BM279,TreatyCatch!$BO69:$BP279),"")</f>
        <v/>
      </c>
      <c r="O224" s="925" t="str">
        <f t="shared" si="103"/>
        <v/>
      </c>
      <c r="P224" s="765">
        <v>1</v>
      </c>
      <c r="Q224" s="852">
        <f>IF($P224,$P224*TreatyCatch!BR279/SUM(TreatyCatch!$BR279:$BS279,TreatyCatch!$BU279:$BV279),"")</f>
        <v>1</v>
      </c>
      <c r="R224" s="853">
        <f>IF($P224,$P224*TreatyCatch!BS279/SUM(TreatyCatch!$BR279:$BS279,TreatyCatch!$BU279:$BV279),"")</f>
        <v>0</v>
      </c>
      <c r="S224" s="846">
        <f t="shared" si="92"/>
        <v>1</v>
      </c>
      <c r="T224" s="893">
        <f>IF($P224,$P224*TreatyCatch!BU279/SUM(TreatyCatch!$BR279:$BS279,TreatyCatch!$BU279:$BV279),"")</f>
        <v>0</v>
      </c>
      <c r="U224" s="894">
        <f>IF($P224,$P224*TreatyCatch!BV279/SUM(TreatyCatch!$BR279:$BS279,TreatyCatch!$BU279:$BV279),"")</f>
        <v>0</v>
      </c>
      <c r="V224" s="877">
        <f t="shared" si="104"/>
        <v>0</v>
      </c>
      <c r="W224" s="958"/>
      <c r="X224" s="882" t="str">
        <f>IF($W224,$W224*TreatyCatch!BX279/SUM(TreatyCatch!$BX279:$BY279,TreatyCatch!$CA279:$CB279),"")</f>
        <v/>
      </c>
      <c r="Y224" s="883" t="str">
        <f>IF($W224,$W224*TreatyCatch!BY279/SUM(TreatyCatch!$BX279:$BY279,TreatyCatch!$CA279:$CB279),"")</f>
        <v/>
      </c>
      <c r="Z224" s="901" t="str">
        <f t="shared" si="93"/>
        <v/>
      </c>
      <c r="AA224" s="858" t="str">
        <f>IF($W224,$W224*TreatyCatch!CA279/SUM(TreatyCatch!$BX279:$BY279,TreatyCatch!$CA279:$CB279),"")</f>
        <v/>
      </c>
      <c r="AB224" s="859" t="str">
        <f>IF($W224,$W224*TreatyCatch!CB279/SUM(TreatyCatch!$BX279:$BY279,TreatyCatch!$CA279:$CB279),"")</f>
        <v/>
      </c>
      <c r="AC224" s="840" t="str">
        <f t="shared" si="105"/>
        <v/>
      </c>
      <c r="AD224" s="958"/>
      <c r="AE224" s="1071" t="str">
        <f>IF($AD224,$AD224*TreatyCatch!CD454/SUM(TreatyCatch!$CD454:$CE454,TreatyCatch!$CG454:$CH454),"")</f>
        <v/>
      </c>
      <c r="AF224" s="1072" t="str">
        <f>IF($AD224,$AD224*TreatyCatch!CE454/SUM(TreatyCatch!$CD454:$CE454,TreatyCatch!$CG454:$CH454),"")</f>
        <v/>
      </c>
      <c r="AG224" s="1073" t="str">
        <f t="shared" si="94"/>
        <v/>
      </c>
      <c r="AH224" s="1077" t="str">
        <f>IF($AD224,$AD224*TreatyCatch!CG454/SUM(TreatyCatch!$CD454:CE454,TreatyCatch!$CG454:$CH454),"")</f>
        <v/>
      </c>
      <c r="AI224" s="1078" t="str">
        <f>IF($AD224,$AD224*TreatyCatch!CH454/SUM(TreatyCatch!$CD454:CF454,TreatyCatch!$CG454:$CH454),"")</f>
        <v/>
      </c>
      <c r="AJ224" s="1080" t="str">
        <f t="shared" si="106"/>
        <v/>
      </c>
      <c r="AK224" s="958"/>
      <c r="AL224" s="882"/>
      <c r="AM224" s="883"/>
      <c r="AN224" s="901"/>
      <c r="AO224" s="858"/>
      <c r="AP224" s="859"/>
      <c r="AQ224" s="840"/>
      <c r="AR224" s="765"/>
      <c r="AS224" s="852"/>
      <c r="AT224" s="853"/>
      <c r="AU224" s="846"/>
      <c r="AV224" s="893"/>
      <c r="AW224" s="894"/>
      <c r="AX224" s="877"/>
      <c r="AY224" s="765"/>
      <c r="AZ224" s="882"/>
      <c r="BA224" s="883"/>
      <c r="BB224" s="901"/>
      <c r="BC224" s="858"/>
      <c r="BD224" s="859"/>
      <c r="BE224" s="840"/>
      <c r="BF224" s="765"/>
      <c r="BG224" s="852"/>
      <c r="BH224" s="853"/>
      <c r="BI224" s="846"/>
      <c r="BJ224" s="893"/>
      <c r="BK224" s="894"/>
      <c r="BL224" s="877"/>
      <c r="BM224" s="765"/>
      <c r="BN224" s="882"/>
      <c r="BO224" s="883"/>
      <c r="BP224" s="901"/>
      <c r="BQ224" s="858"/>
      <c r="BR224" s="859"/>
      <c r="BS224" s="840"/>
      <c r="BT224" s="765"/>
      <c r="BU224" s="852"/>
      <c r="BV224" s="853"/>
      <c r="BW224" s="846"/>
      <c r="BX224" s="893"/>
      <c r="BY224" s="894"/>
      <c r="BZ224" s="877"/>
      <c r="CA224" s="765"/>
      <c r="CB224" s="882"/>
      <c r="CC224" s="883"/>
      <c r="CD224" s="901"/>
      <c r="CE224" s="858"/>
      <c r="CF224" s="859"/>
      <c r="CG224" s="840"/>
      <c r="CH224" s="765"/>
      <c r="CI224" s="852"/>
      <c r="CJ224" s="853"/>
      <c r="CK224" s="846"/>
      <c r="CL224" s="893"/>
      <c r="CM224" s="894"/>
      <c r="CN224" s="877"/>
    </row>
    <row r="225" spans="1:92" x14ac:dyDescent="0.25">
      <c r="A225" s="757">
        <v>42</v>
      </c>
      <c r="B225" s="765"/>
      <c r="C225" s="844" t="str">
        <f>IF($B225,$B225*TreatyCatch!BF280/SUM(TreatyCatch!$BF280:$BG280,TreatyCatch!$BI280:$BJ280),"")</f>
        <v/>
      </c>
      <c r="D225" s="844" t="str">
        <f>IF($B225,$B225*TreatyCatch!BG280/SUM(TreatyCatch!$BF280:$BG280,TreatyCatch!$BI280:$BJ280),"")</f>
        <v/>
      </c>
      <c r="E225" s="846" t="str">
        <f t="shared" si="90"/>
        <v/>
      </c>
      <c r="F225" s="876" t="str">
        <f>IF($B225,$B225*TreatyCatch!BI280/SUM(TreatyCatch!$BF280:$BG280,TreatyCatch!$BI280:$BJ280),"")</f>
        <v/>
      </c>
      <c r="G225" s="889" t="str">
        <f>IF($B225,$B225*TreatyCatch!BJ280/SUM(TreatyCatch!$BF280:$BG280,TreatyCatch!$BI280:$BJ280),"")</f>
        <v/>
      </c>
      <c r="H225" s="877" t="str">
        <f t="shared" si="102"/>
        <v/>
      </c>
      <c r="I225" s="765"/>
      <c r="J225" s="882" t="str">
        <f>IF($I225,$I225*TreatyCatch!BL280/SUM(TreatyCatch!$BL280:$BM280,TreatyCatch!$BO280:$BP280),"")</f>
        <v/>
      </c>
      <c r="K225" s="883" t="str">
        <f>IF($I225,$I225*TreatyCatch!BM280/SUM(TreatyCatch!$BL280:$BM280,TreatyCatch!$BO280:$BP280),"")</f>
        <v/>
      </c>
      <c r="L225" s="871" t="str">
        <f t="shared" si="91"/>
        <v/>
      </c>
      <c r="M225" s="858" t="str">
        <f>IF($I225,$I225*TreatyCatch!BO280/SUM(TreatyCatch!$BL280:$BM280,TreatyCatch!$BO280:$BP280),"")</f>
        <v/>
      </c>
      <c r="N225" s="859" t="str">
        <f>IF($I225,$I225*TreatyCatch!BP280/SUM(TreatyCatch!$BL280:$BM280,TreatyCatch!$BO70:$BP280),"")</f>
        <v/>
      </c>
      <c r="O225" s="925" t="str">
        <f t="shared" si="103"/>
        <v/>
      </c>
      <c r="P225" s="765"/>
      <c r="Q225" s="852" t="str">
        <f>IF($P225,$P225*TreatyCatch!BR280/SUM(TreatyCatch!$BR280:$BS280,TreatyCatch!$BU280:$BV280),"")</f>
        <v/>
      </c>
      <c r="R225" s="853" t="str">
        <f>IF($P225,$P225*TreatyCatch!BS280/SUM(TreatyCatch!$BR280:$BS280,TreatyCatch!$BU280:$BV280),"")</f>
        <v/>
      </c>
      <c r="S225" s="846" t="str">
        <f t="shared" si="92"/>
        <v/>
      </c>
      <c r="T225" s="893" t="str">
        <f>IF($P225,$P225*TreatyCatch!BU280/SUM(TreatyCatch!$BR280:$BS280,TreatyCatch!$BU280:$BV280),"")</f>
        <v/>
      </c>
      <c r="U225" s="894" t="str">
        <f>IF($P225,$P225*TreatyCatch!BV280/SUM(TreatyCatch!$BR280:$BS280,TreatyCatch!$BU280:$BV280),"")</f>
        <v/>
      </c>
      <c r="V225" s="877" t="str">
        <f t="shared" si="104"/>
        <v/>
      </c>
      <c r="W225" s="958"/>
      <c r="X225" s="882" t="str">
        <f>IF($W225,$W225*TreatyCatch!BX280/SUM(TreatyCatch!$BX280:$BY280,TreatyCatch!$CA280:$CB280),"")</f>
        <v/>
      </c>
      <c r="Y225" s="883" t="str">
        <f>IF($W225,$W225*TreatyCatch!BY280/SUM(TreatyCatch!$BX280:$BY280,TreatyCatch!$CA280:$CB280),"")</f>
        <v/>
      </c>
      <c r="Z225" s="901" t="str">
        <f t="shared" si="93"/>
        <v/>
      </c>
      <c r="AA225" s="858" t="str">
        <f>IF($W225,$W225*TreatyCatch!CA280/SUM(TreatyCatch!$BX280:$BY280,TreatyCatch!$CA280:$CB280),"")</f>
        <v/>
      </c>
      <c r="AB225" s="859" t="str">
        <f>IF($W225,$W225*TreatyCatch!CB280/SUM(TreatyCatch!$BX280:$BY280,TreatyCatch!$CA280:$CB280),"")</f>
        <v/>
      </c>
      <c r="AC225" s="840" t="str">
        <f t="shared" si="105"/>
        <v/>
      </c>
      <c r="AD225" s="958"/>
      <c r="AE225" s="1071" t="str">
        <f>IF($AD225,$AD225*TreatyCatch!CD455/SUM(TreatyCatch!$CD455:$CE455,TreatyCatch!$CG455:$CH455),"")</f>
        <v/>
      </c>
      <c r="AF225" s="1072" t="str">
        <f>IF($AD225,$AD225*TreatyCatch!CE455/SUM(TreatyCatch!$CD455:$CE455,TreatyCatch!$CG455:$CH455),"")</f>
        <v/>
      </c>
      <c r="AG225" s="1073" t="str">
        <f t="shared" si="94"/>
        <v/>
      </c>
      <c r="AH225" s="1077" t="str">
        <f>IF($AD225,$AD225*TreatyCatch!CG455/SUM(TreatyCatch!$CD455:CE455,TreatyCatch!$CG455:$CH455),"")</f>
        <v/>
      </c>
      <c r="AI225" s="1078" t="str">
        <f>IF($AD225,$AD225*TreatyCatch!CH455/SUM(TreatyCatch!$CD455:CF455,TreatyCatch!$CG455:$CH455),"")</f>
        <v/>
      </c>
      <c r="AJ225" s="1080" t="str">
        <f t="shared" si="106"/>
        <v/>
      </c>
      <c r="AK225" s="958"/>
      <c r="AL225" s="882"/>
      <c r="AM225" s="883"/>
      <c r="AN225" s="901"/>
      <c r="AO225" s="858"/>
      <c r="AP225" s="859"/>
      <c r="AQ225" s="840"/>
      <c r="AR225" s="765"/>
      <c r="AS225" s="852"/>
      <c r="AT225" s="853"/>
      <c r="AU225" s="846"/>
      <c r="AV225" s="893"/>
      <c r="AW225" s="894"/>
      <c r="AX225" s="877"/>
      <c r="AY225" s="765"/>
      <c r="AZ225" s="882"/>
      <c r="BA225" s="883"/>
      <c r="BB225" s="901"/>
      <c r="BC225" s="858"/>
      <c r="BD225" s="859"/>
      <c r="BE225" s="840"/>
      <c r="BF225" s="765"/>
      <c r="BG225" s="852"/>
      <c r="BH225" s="853"/>
      <c r="BI225" s="846"/>
      <c r="BJ225" s="893"/>
      <c r="BK225" s="894"/>
      <c r="BL225" s="877"/>
      <c r="BM225" s="765"/>
      <c r="BN225" s="882"/>
      <c r="BO225" s="883"/>
      <c r="BP225" s="901"/>
      <c r="BQ225" s="858"/>
      <c r="BR225" s="859"/>
      <c r="BS225" s="840"/>
      <c r="BT225" s="765"/>
      <c r="BU225" s="852"/>
      <c r="BV225" s="853"/>
      <c r="BW225" s="846"/>
      <c r="BX225" s="893"/>
      <c r="BY225" s="894"/>
      <c r="BZ225" s="877"/>
      <c r="CA225" s="765"/>
      <c r="CB225" s="882"/>
      <c r="CC225" s="883"/>
      <c r="CD225" s="901"/>
      <c r="CE225" s="858"/>
      <c r="CF225" s="859"/>
      <c r="CG225" s="840"/>
      <c r="CH225" s="765"/>
      <c r="CI225" s="852"/>
      <c r="CJ225" s="853"/>
      <c r="CK225" s="846"/>
      <c r="CL225" s="893"/>
      <c r="CM225" s="894"/>
      <c r="CN225" s="877"/>
    </row>
    <row r="226" spans="1:92" x14ac:dyDescent="0.25">
      <c r="A226" s="757">
        <v>43</v>
      </c>
      <c r="B226" s="765"/>
      <c r="C226" s="844" t="str">
        <f>IF($B226,$B226*TreatyCatch!BF281/SUM(TreatyCatch!$BF281:$BG281,TreatyCatch!$BI281:$BJ281),"")</f>
        <v/>
      </c>
      <c r="D226" s="844" t="str">
        <f>IF($B226,$B226*TreatyCatch!BG281/SUM(TreatyCatch!$BF281:$BG281,TreatyCatch!$BI281:$BJ281),"")</f>
        <v/>
      </c>
      <c r="E226" s="846" t="str">
        <f t="shared" si="90"/>
        <v/>
      </c>
      <c r="F226" s="876" t="str">
        <f>IF($B226,$B226*TreatyCatch!BI281/SUM(TreatyCatch!$BF281:$BG281,TreatyCatch!$BI281:$BJ281),"")</f>
        <v/>
      </c>
      <c r="G226" s="889" t="str">
        <f>IF($B226,$B226*TreatyCatch!BJ281/SUM(TreatyCatch!$BF281:$BG281,TreatyCatch!$BI281:$BJ281),"")</f>
        <v/>
      </c>
      <c r="H226" s="877" t="str">
        <f t="shared" si="102"/>
        <v/>
      </c>
      <c r="I226" s="765"/>
      <c r="J226" s="882" t="str">
        <f>IF($I226,$I226*TreatyCatch!BL281/SUM(TreatyCatch!$BL281:$BM281,TreatyCatch!$BO281:$BP281),"")</f>
        <v/>
      </c>
      <c r="K226" s="883" t="str">
        <f>IF($I226,$I226*TreatyCatch!BM281/SUM(TreatyCatch!$BL281:$BM281,TreatyCatch!$BO281:$BP281),"")</f>
        <v/>
      </c>
      <c r="L226" s="871" t="str">
        <f t="shared" si="91"/>
        <v/>
      </c>
      <c r="M226" s="858" t="str">
        <f>IF($I226,$I226*TreatyCatch!BO281/SUM(TreatyCatch!$BL281:$BM281,TreatyCatch!$BO281:$BP281),"")</f>
        <v/>
      </c>
      <c r="N226" s="859" t="str">
        <f>IF($I226,$I226*TreatyCatch!BP281/SUM(TreatyCatch!$BL281:$BM281,TreatyCatch!$BO71:$BP281),"")</f>
        <v/>
      </c>
      <c r="O226" s="925" t="str">
        <f t="shared" si="103"/>
        <v/>
      </c>
      <c r="P226" s="765"/>
      <c r="Q226" s="852" t="str">
        <f>IF($P226,$P226*TreatyCatch!BR281/SUM(TreatyCatch!$BR281:$BS281,TreatyCatch!$BU281:$BV281),"")</f>
        <v/>
      </c>
      <c r="R226" s="853" t="str">
        <f>IF($P226,$P226*TreatyCatch!BS281/SUM(TreatyCatch!$BR281:$BS281,TreatyCatch!$BU281:$BV281),"")</f>
        <v/>
      </c>
      <c r="S226" s="846" t="str">
        <f t="shared" si="92"/>
        <v/>
      </c>
      <c r="T226" s="893" t="str">
        <f>IF($P226,$P226*TreatyCatch!BU281/SUM(TreatyCatch!$BR281:$BS281,TreatyCatch!$BU281:$BV281),"")</f>
        <v/>
      </c>
      <c r="U226" s="894" t="str">
        <f>IF($P226,$P226*TreatyCatch!BV281/SUM(TreatyCatch!$BR281:$BS281,TreatyCatch!$BU281:$BV281),"")</f>
        <v/>
      </c>
      <c r="V226" s="877" t="str">
        <f t="shared" si="104"/>
        <v/>
      </c>
      <c r="W226" s="958"/>
      <c r="X226" s="882" t="str">
        <f>IF($W226,$W226*TreatyCatch!BX281/SUM(TreatyCatch!$BX281:$BY281,TreatyCatch!$CA281:$CB281),"")</f>
        <v/>
      </c>
      <c r="Y226" s="883" t="str">
        <f>IF($W226,$W226*TreatyCatch!BY281/SUM(TreatyCatch!$BX281:$BY281,TreatyCatch!$CA281:$CB281),"")</f>
        <v/>
      </c>
      <c r="Z226" s="901" t="str">
        <f t="shared" si="93"/>
        <v/>
      </c>
      <c r="AA226" s="858" t="str">
        <f>IF($W226,$W226*TreatyCatch!CA281/SUM(TreatyCatch!$BX281:$BY281,TreatyCatch!$CA281:$CB281),"")</f>
        <v/>
      </c>
      <c r="AB226" s="859" t="str">
        <f>IF($W226,$W226*TreatyCatch!CB281/SUM(TreatyCatch!$BX281:$BY281,TreatyCatch!$CA281:$CB281),"")</f>
        <v/>
      </c>
      <c r="AC226" s="840" t="str">
        <f t="shared" si="105"/>
        <v/>
      </c>
      <c r="AD226" s="958"/>
      <c r="AE226" s="1071" t="str">
        <f>IF($AD226,$AD226*TreatyCatch!CD456/SUM(TreatyCatch!$CD456:$CE456,TreatyCatch!$CG456:$CH456),"")</f>
        <v/>
      </c>
      <c r="AF226" s="1072" t="str">
        <f>IF($AD226,$AD226*TreatyCatch!CE456/SUM(TreatyCatch!$CD456:$CE456,TreatyCatch!$CG456:$CH456),"")</f>
        <v/>
      </c>
      <c r="AG226" s="1073" t="str">
        <f t="shared" si="94"/>
        <v/>
      </c>
      <c r="AH226" s="1077" t="str">
        <f>IF($AD226,$AD226*TreatyCatch!CG456/SUM(TreatyCatch!$CD456:CE456,TreatyCatch!$CG456:$CH456),"")</f>
        <v/>
      </c>
      <c r="AI226" s="1078" t="str">
        <f>IF($AD226,$AD226*TreatyCatch!CH456/SUM(TreatyCatch!$CD456:CF456,TreatyCatch!$CG456:$CH456),"")</f>
        <v/>
      </c>
      <c r="AJ226" s="1080" t="str">
        <f t="shared" si="106"/>
        <v/>
      </c>
      <c r="AK226" s="958"/>
      <c r="AL226" s="882"/>
      <c r="AM226" s="883"/>
      <c r="AN226" s="901"/>
      <c r="AO226" s="858"/>
      <c r="AP226" s="859"/>
      <c r="AQ226" s="840"/>
      <c r="AR226" s="765"/>
      <c r="AS226" s="852"/>
      <c r="AT226" s="853"/>
      <c r="AU226" s="846"/>
      <c r="AV226" s="893"/>
      <c r="AW226" s="894"/>
      <c r="AX226" s="877"/>
      <c r="AY226" s="765"/>
      <c r="AZ226" s="882"/>
      <c r="BA226" s="883"/>
      <c r="BB226" s="901"/>
      <c r="BC226" s="858"/>
      <c r="BD226" s="859"/>
      <c r="BE226" s="840"/>
      <c r="BF226" s="765"/>
      <c r="BG226" s="852"/>
      <c r="BH226" s="853"/>
      <c r="BI226" s="846"/>
      <c r="BJ226" s="893"/>
      <c r="BK226" s="894"/>
      <c r="BL226" s="877"/>
      <c r="BM226" s="765"/>
      <c r="BN226" s="882"/>
      <c r="BO226" s="883"/>
      <c r="BP226" s="901"/>
      <c r="BQ226" s="858"/>
      <c r="BR226" s="859"/>
      <c r="BS226" s="840"/>
      <c r="BT226" s="765"/>
      <c r="BU226" s="852"/>
      <c r="BV226" s="853"/>
      <c r="BW226" s="846"/>
      <c r="BX226" s="893"/>
      <c r="BY226" s="894"/>
      <c r="BZ226" s="877"/>
      <c r="CA226" s="765"/>
      <c r="CB226" s="882"/>
      <c r="CC226" s="883"/>
      <c r="CD226" s="901"/>
      <c r="CE226" s="858"/>
      <c r="CF226" s="859"/>
      <c r="CG226" s="840"/>
      <c r="CH226" s="765"/>
      <c r="CI226" s="852"/>
      <c r="CJ226" s="853"/>
      <c r="CK226" s="846"/>
      <c r="CL226" s="893"/>
      <c r="CM226" s="894"/>
      <c r="CN226" s="877"/>
    </row>
    <row r="227" spans="1:92" x14ac:dyDescent="0.25">
      <c r="A227" s="757">
        <v>44</v>
      </c>
      <c r="B227" s="765"/>
      <c r="C227" s="844" t="str">
        <f>IF($B227,$B227*TreatyCatch!BF282/SUM(TreatyCatch!$BF282:$BG282,TreatyCatch!$BI282:$BJ282),"")</f>
        <v/>
      </c>
      <c r="D227" s="844" t="str">
        <f>IF($B227,$B227*TreatyCatch!BG282/SUM(TreatyCatch!$BF282:$BG282,TreatyCatch!$BI282:$BJ282),"")</f>
        <v/>
      </c>
      <c r="E227" s="846" t="str">
        <f t="shared" si="90"/>
        <v/>
      </c>
      <c r="F227" s="876" t="str">
        <f>IF($B227,$B227*TreatyCatch!BI282/SUM(TreatyCatch!$BF282:$BG282,TreatyCatch!$BI282:$BJ282),"")</f>
        <v/>
      </c>
      <c r="G227" s="889" t="str">
        <f>IF($B227,$B227*TreatyCatch!BJ282/SUM(TreatyCatch!$BF282:$BG282,TreatyCatch!$BI282:$BJ282),"")</f>
        <v/>
      </c>
      <c r="H227" s="877" t="str">
        <f t="shared" si="102"/>
        <v/>
      </c>
      <c r="I227" s="765"/>
      <c r="J227" s="882" t="str">
        <f>IF($I227,$I227*TreatyCatch!BL282/SUM(TreatyCatch!$BL282:$BM282,TreatyCatch!$BO282:$BP282),"")</f>
        <v/>
      </c>
      <c r="K227" s="883" t="str">
        <f>IF($I227,$I227*TreatyCatch!BM282/SUM(TreatyCatch!$BL282:$BM282,TreatyCatch!$BO282:$BP282),"")</f>
        <v/>
      </c>
      <c r="L227" s="871" t="str">
        <f t="shared" si="91"/>
        <v/>
      </c>
      <c r="M227" s="858" t="str">
        <f>IF($I227,$I227*TreatyCatch!BO282/SUM(TreatyCatch!$BL282:$BM282,TreatyCatch!$BO282:$BP282),"")</f>
        <v/>
      </c>
      <c r="N227" s="859" t="str">
        <f>IF($I227,$I227*TreatyCatch!BP282/SUM(TreatyCatch!$BL282:$BM282,TreatyCatch!$BO72:$BP282),"")</f>
        <v/>
      </c>
      <c r="O227" s="925" t="str">
        <f t="shared" si="103"/>
        <v/>
      </c>
      <c r="P227" s="765"/>
      <c r="Q227" s="852" t="str">
        <f>IF($P227,$P227*TreatyCatch!BR282/SUM(TreatyCatch!$BR282:$BS282,TreatyCatch!$BU282:$BV282),"")</f>
        <v/>
      </c>
      <c r="R227" s="853" t="str">
        <f>IF($P227,$P227*TreatyCatch!BS282/SUM(TreatyCatch!$BR282:$BS282,TreatyCatch!$BU282:$BV282),"")</f>
        <v/>
      </c>
      <c r="S227" s="846" t="str">
        <f t="shared" si="92"/>
        <v/>
      </c>
      <c r="T227" s="893" t="str">
        <f>IF($P227,$P227*TreatyCatch!BU282/SUM(TreatyCatch!$BR282:$BS282,TreatyCatch!$BU282:$BV282),"")</f>
        <v/>
      </c>
      <c r="U227" s="894" t="str">
        <f>IF($P227,$P227*TreatyCatch!BV282/SUM(TreatyCatch!$BR282:$BS282,TreatyCatch!$BU282:$BV282),"")</f>
        <v/>
      </c>
      <c r="V227" s="877" t="str">
        <f t="shared" si="104"/>
        <v/>
      </c>
      <c r="W227" s="958"/>
      <c r="X227" s="882" t="str">
        <f>IF($W227,$W227*TreatyCatch!BX282/SUM(TreatyCatch!$BX282:$BY282,TreatyCatch!$CA282:$CB282),"")</f>
        <v/>
      </c>
      <c r="Y227" s="883" t="str">
        <f>IF($W227,$W227*TreatyCatch!BY282/SUM(TreatyCatch!$BX282:$BY282,TreatyCatch!$CA282:$CB282),"")</f>
        <v/>
      </c>
      <c r="Z227" s="901" t="str">
        <f t="shared" si="93"/>
        <v/>
      </c>
      <c r="AA227" s="858" t="str">
        <f>IF($W227,$W227*TreatyCatch!CA282/SUM(TreatyCatch!$BX282:$BY282,TreatyCatch!$CA282:$CB282),"")</f>
        <v/>
      </c>
      <c r="AB227" s="859" t="str">
        <f>IF($W227,$W227*TreatyCatch!CB282/SUM(TreatyCatch!$BX282:$BY282,TreatyCatch!$CA282:$CB282),"")</f>
        <v/>
      </c>
      <c r="AC227" s="840" t="str">
        <f t="shared" si="105"/>
        <v/>
      </c>
      <c r="AD227" s="958"/>
      <c r="AE227" s="1071" t="str">
        <f>IF($AD227,$AD227*TreatyCatch!CD457/SUM(TreatyCatch!$CD457:$CE457,TreatyCatch!$CG457:$CH457),"")</f>
        <v/>
      </c>
      <c r="AF227" s="1072" t="str">
        <f>IF($AD227,$AD227*TreatyCatch!CE457/SUM(TreatyCatch!$CD457:$CE457,TreatyCatch!$CG457:$CH457),"")</f>
        <v/>
      </c>
      <c r="AG227" s="1073" t="str">
        <f t="shared" si="94"/>
        <v/>
      </c>
      <c r="AH227" s="1077" t="str">
        <f>IF($AD227,$AD227*TreatyCatch!CG457/SUM(TreatyCatch!$CD457:CE457,TreatyCatch!$CG457:$CH457),"")</f>
        <v/>
      </c>
      <c r="AI227" s="1078" t="str">
        <f>IF($AD227,$AD227*TreatyCatch!CH457/SUM(TreatyCatch!$CD457:CF457,TreatyCatch!$CG457:$CH457),"")</f>
        <v/>
      </c>
      <c r="AJ227" s="1080" t="str">
        <f t="shared" si="106"/>
        <v/>
      </c>
      <c r="AK227" s="958"/>
      <c r="AL227" s="882"/>
      <c r="AM227" s="883"/>
      <c r="AN227" s="901"/>
      <c r="AO227" s="858"/>
      <c r="AP227" s="859"/>
      <c r="AQ227" s="840"/>
      <c r="AR227" s="765"/>
      <c r="AS227" s="852"/>
      <c r="AT227" s="853"/>
      <c r="AU227" s="846"/>
      <c r="AV227" s="893"/>
      <c r="AW227" s="894"/>
      <c r="AX227" s="877"/>
      <c r="AY227" s="765"/>
      <c r="AZ227" s="882"/>
      <c r="BA227" s="883"/>
      <c r="BB227" s="901"/>
      <c r="BC227" s="858"/>
      <c r="BD227" s="859"/>
      <c r="BE227" s="840"/>
      <c r="BF227" s="765"/>
      <c r="BG227" s="852"/>
      <c r="BH227" s="853"/>
      <c r="BI227" s="846"/>
      <c r="BJ227" s="893"/>
      <c r="BK227" s="894"/>
      <c r="BL227" s="877"/>
      <c r="BM227" s="765"/>
      <c r="BN227" s="882"/>
      <c r="BO227" s="883"/>
      <c r="BP227" s="901"/>
      <c r="BQ227" s="858"/>
      <c r="BR227" s="859"/>
      <c r="BS227" s="840"/>
      <c r="BT227" s="765"/>
      <c r="BU227" s="852"/>
      <c r="BV227" s="853"/>
      <c r="BW227" s="846"/>
      <c r="BX227" s="893"/>
      <c r="BY227" s="894"/>
      <c r="BZ227" s="877"/>
      <c r="CA227" s="765"/>
      <c r="CB227" s="882"/>
      <c r="CC227" s="883"/>
      <c r="CD227" s="901"/>
      <c r="CE227" s="858"/>
      <c r="CF227" s="859"/>
      <c r="CG227" s="840"/>
      <c r="CH227" s="765"/>
      <c r="CI227" s="852"/>
      <c r="CJ227" s="853"/>
      <c r="CK227" s="846"/>
      <c r="CL227" s="893"/>
      <c r="CM227" s="894"/>
      <c r="CN227" s="877"/>
    </row>
    <row r="228" spans="1:92" x14ac:dyDescent="0.25">
      <c r="A228" s="757">
        <v>45</v>
      </c>
      <c r="B228" s="765"/>
      <c r="C228" s="844" t="str">
        <f>IF($B228,$B228*TreatyCatch!BF283/SUM(TreatyCatch!$BF283:$BG283,TreatyCatch!$BI283:$BJ283),"")</f>
        <v/>
      </c>
      <c r="D228" s="844" t="str">
        <f>IF($B228,$B228*TreatyCatch!BG283/SUM(TreatyCatch!$BF283:$BG283,TreatyCatch!$BI283:$BJ283),"")</f>
        <v/>
      </c>
      <c r="E228" s="846" t="str">
        <f t="shared" si="90"/>
        <v/>
      </c>
      <c r="F228" s="876" t="str">
        <f>IF($B228,$B228*TreatyCatch!BI283/SUM(TreatyCatch!$BF283:$BG283,TreatyCatch!$BI283:$BJ283),"")</f>
        <v/>
      </c>
      <c r="G228" s="889" t="str">
        <f>IF($B228,$B228*TreatyCatch!BJ283/SUM(TreatyCatch!$BF283:$BG283,TreatyCatch!$BI283:$BJ283),"")</f>
        <v/>
      </c>
      <c r="H228" s="877" t="str">
        <f t="shared" si="102"/>
        <v/>
      </c>
      <c r="I228" s="765"/>
      <c r="J228" s="882" t="str">
        <f>IF($I228,$I228*TreatyCatch!BL283/SUM(TreatyCatch!$BL283:$BM283,TreatyCatch!$BO283:$BP283),"")</f>
        <v/>
      </c>
      <c r="K228" s="883" t="str">
        <f>IF($I228,$I228*TreatyCatch!BM283/SUM(TreatyCatch!$BL283:$BM283,TreatyCatch!$BO283:$BP283),"")</f>
        <v/>
      </c>
      <c r="L228" s="871" t="str">
        <f t="shared" si="91"/>
        <v/>
      </c>
      <c r="M228" s="858" t="str">
        <f>IF($I228,$I228*TreatyCatch!BO283/SUM(TreatyCatch!$BL283:$BM283,TreatyCatch!$BO283:$BP283),"")</f>
        <v/>
      </c>
      <c r="N228" s="859" t="str">
        <f>IF($I228,$I228*TreatyCatch!BP283/SUM(TreatyCatch!$BL283:$BM283,TreatyCatch!$BO73:$BP283),"")</f>
        <v/>
      </c>
      <c r="O228" s="925" t="str">
        <f t="shared" si="103"/>
        <v/>
      </c>
      <c r="P228" s="765"/>
      <c r="Q228" s="852" t="str">
        <f>IF($P228,$P228*TreatyCatch!BR283/SUM(TreatyCatch!$BR283:$BS283,TreatyCatch!$BU283:$BV283),"")</f>
        <v/>
      </c>
      <c r="R228" s="853" t="str">
        <f>IF($P228,$P228*TreatyCatch!BS283/SUM(TreatyCatch!$BR283:$BS283,TreatyCatch!$BU283:$BV283),"")</f>
        <v/>
      </c>
      <c r="S228" s="846" t="str">
        <f t="shared" si="92"/>
        <v/>
      </c>
      <c r="T228" s="893" t="str">
        <f>IF($P228,$P228*TreatyCatch!BU283/SUM(TreatyCatch!$BR283:$BS283,TreatyCatch!$BU283:$BV283),"")</f>
        <v/>
      </c>
      <c r="U228" s="894" t="str">
        <f>IF($P228,$P228*TreatyCatch!BV283/SUM(TreatyCatch!$BR283:$BS283,TreatyCatch!$BU283:$BV283),"")</f>
        <v/>
      </c>
      <c r="V228" s="877" t="str">
        <f t="shared" si="104"/>
        <v/>
      </c>
      <c r="W228" s="958"/>
      <c r="X228" s="882" t="str">
        <f>IF($W228,$W228*TreatyCatch!BX283/SUM(TreatyCatch!$BX283:$BY283,TreatyCatch!$CA283:$CB283),"")</f>
        <v/>
      </c>
      <c r="Y228" s="883" t="str">
        <f>IF($W228,$W228*TreatyCatch!BY283/SUM(TreatyCatch!$BX283:$BY283,TreatyCatch!$CA283:$CB283),"")</f>
        <v/>
      </c>
      <c r="Z228" s="901" t="str">
        <f t="shared" si="93"/>
        <v/>
      </c>
      <c r="AA228" s="858" t="str">
        <f>IF($W228,$W228*TreatyCatch!CA283/SUM(TreatyCatch!$BX283:$BY283,TreatyCatch!$CA283:$CB283),"")</f>
        <v/>
      </c>
      <c r="AB228" s="859" t="str">
        <f>IF($W228,$W228*TreatyCatch!CB283/SUM(TreatyCatch!$BX283:$BY283,TreatyCatch!$CA283:$CB283),"")</f>
        <v/>
      </c>
      <c r="AC228" s="840" t="str">
        <f t="shared" si="105"/>
        <v/>
      </c>
      <c r="AD228" s="958"/>
      <c r="AE228" s="1071" t="str">
        <f>IF($AD228,$AD228*TreatyCatch!CD458/SUM(TreatyCatch!$CD458:$CE458,TreatyCatch!$CG458:$CH458),"")</f>
        <v/>
      </c>
      <c r="AF228" s="1072" t="str">
        <f>IF($AD228,$AD228*TreatyCatch!CE458/SUM(TreatyCatch!$CD458:$CE458,TreatyCatch!$CG458:$CH458),"")</f>
        <v/>
      </c>
      <c r="AG228" s="1073" t="str">
        <f t="shared" si="94"/>
        <v/>
      </c>
      <c r="AH228" s="1077" t="str">
        <f>IF($AD228,$AD228*TreatyCatch!CG458/SUM(TreatyCatch!$CD458:CE458,TreatyCatch!$CG458:$CH458),"")</f>
        <v/>
      </c>
      <c r="AI228" s="1078" t="str">
        <f>IF($AD228,$AD228*TreatyCatch!CH458/SUM(TreatyCatch!$CD458:CF458,TreatyCatch!$CG458:$CH458),"")</f>
        <v/>
      </c>
      <c r="AJ228" s="1080" t="str">
        <f t="shared" si="106"/>
        <v/>
      </c>
      <c r="AK228" s="958"/>
      <c r="AL228" s="882"/>
      <c r="AM228" s="883"/>
      <c r="AN228" s="901"/>
      <c r="AO228" s="858"/>
      <c r="AP228" s="859"/>
      <c r="AQ228" s="840"/>
      <c r="AR228" s="765"/>
      <c r="AS228" s="852"/>
      <c r="AT228" s="853"/>
      <c r="AU228" s="846"/>
      <c r="AV228" s="893"/>
      <c r="AW228" s="894"/>
      <c r="AX228" s="877"/>
      <c r="AY228" s="765"/>
      <c r="AZ228" s="882"/>
      <c r="BA228" s="883"/>
      <c r="BB228" s="901"/>
      <c r="BC228" s="858"/>
      <c r="BD228" s="859"/>
      <c r="BE228" s="840"/>
      <c r="BF228" s="765"/>
      <c r="BG228" s="852"/>
      <c r="BH228" s="853"/>
      <c r="BI228" s="846"/>
      <c r="BJ228" s="893"/>
      <c r="BK228" s="894"/>
      <c r="BL228" s="877"/>
      <c r="BM228" s="765"/>
      <c r="BN228" s="882"/>
      <c r="BO228" s="883"/>
      <c r="BP228" s="901"/>
      <c r="BQ228" s="858"/>
      <c r="BR228" s="859"/>
      <c r="BS228" s="840"/>
      <c r="BT228" s="765"/>
      <c r="BU228" s="852"/>
      <c r="BV228" s="853"/>
      <c r="BW228" s="846"/>
      <c r="BX228" s="893"/>
      <c r="BY228" s="894"/>
      <c r="BZ228" s="877"/>
      <c r="CA228" s="765"/>
      <c r="CB228" s="882"/>
      <c r="CC228" s="883"/>
      <c r="CD228" s="901"/>
      <c r="CE228" s="858"/>
      <c r="CF228" s="859"/>
      <c r="CG228" s="840"/>
      <c r="CH228" s="765"/>
      <c r="CI228" s="852"/>
      <c r="CJ228" s="853"/>
      <c r="CK228" s="846"/>
      <c r="CL228" s="893"/>
      <c r="CM228" s="894"/>
      <c r="CN228" s="877"/>
    </row>
    <row r="229" spans="1:92" x14ac:dyDescent="0.25">
      <c r="A229" s="757">
        <v>46</v>
      </c>
      <c r="B229" s="765"/>
      <c r="C229" s="844" t="str">
        <f>IF($B229,$B229*TreatyCatch!BF284/SUM(TreatyCatch!$BF284:$BG284,TreatyCatch!$BI284:$BJ284),"")</f>
        <v/>
      </c>
      <c r="D229" s="844" t="str">
        <f>IF($B229,$B229*TreatyCatch!BG284/SUM(TreatyCatch!$BF284:$BG284,TreatyCatch!$BI284:$BJ284),"")</f>
        <v/>
      </c>
      <c r="E229" s="846" t="str">
        <f t="shared" si="90"/>
        <v/>
      </c>
      <c r="F229" s="876" t="str">
        <f>IF($B229,$B229*TreatyCatch!BI284/SUM(TreatyCatch!$BF284:$BG284,TreatyCatch!$BI284:$BJ284),"")</f>
        <v/>
      </c>
      <c r="G229" s="889" t="str">
        <f>IF($B229,$B229*TreatyCatch!BJ284/SUM(TreatyCatch!$BF284:$BG284,TreatyCatch!$BI284:$BJ284),"")</f>
        <v/>
      </c>
      <c r="H229" s="877" t="str">
        <f t="shared" si="102"/>
        <v/>
      </c>
      <c r="I229" s="765"/>
      <c r="J229" s="882" t="str">
        <f>IF($I229,$I229*TreatyCatch!BL284/SUM(TreatyCatch!$BL284:$BM284,TreatyCatch!$BO284:$BP284),"")</f>
        <v/>
      </c>
      <c r="K229" s="883" t="str">
        <f>IF($I229,$I229*TreatyCatch!BM284/SUM(TreatyCatch!$BL284:$BM284,TreatyCatch!$BO284:$BP284),"")</f>
        <v/>
      </c>
      <c r="L229" s="871" t="str">
        <f t="shared" si="91"/>
        <v/>
      </c>
      <c r="M229" s="858" t="str">
        <f>IF($I229,$I229*TreatyCatch!BO284/SUM(TreatyCatch!$BL284:$BM284,TreatyCatch!$BO284:$BP284),"")</f>
        <v/>
      </c>
      <c r="N229" s="859" t="str">
        <f>IF($I229,$I229*TreatyCatch!BP284/SUM(TreatyCatch!$BL284:$BM284,TreatyCatch!$BO74:$BP284),"")</f>
        <v/>
      </c>
      <c r="O229" s="925" t="str">
        <f t="shared" si="103"/>
        <v/>
      </c>
      <c r="P229" s="765"/>
      <c r="Q229" s="852" t="str">
        <f>IF($P229,$P229*TreatyCatch!BR284/SUM(TreatyCatch!$BR284:$BS284,TreatyCatch!$BU284:$BV284),"")</f>
        <v/>
      </c>
      <c r="R229" s="853" t="str">
        <f>IF($P229,$P229*TreatyCatch!BS284/SUM(TreatyCatch!$BR284:$BS284,TreatyCatch!$BU284:$BV284),"")</f>
        <v/>
      </c>
      <c r="S229" s="846" t="str">
        <f t="shared" si="92"/>
        <v/>
      </c>
      <c r="T229" s="893" t="str">
        <f>IF($P229,$P229*TreatyCatch!BU284/SUM(TreatyCatch!$BR284:$BS284,TreatyCatch!$BU284:$BV284),"")</f>
        <v/>
      </c>
      <c r="U229" s="894" t="str">
        <f>IF($P229,$P229*TreatyCatch!BV284/SUM(TreatyCatch!$BR284:$BS284,TreatyCatch!$BU284:$BV284),"")</f>
        <v/>
      </c>
      <c r="V229" s="877" t="str">
        <f t="shared" si="104"/>
        <v/>
      </c>
      <c r="W229" s="958"/>
      <c r="X229" s="882" t="str">
        <f>IF($W229,$W229*TreatyCatch!BX284/SUM(TreatyCatch!$BX284:$BY284,TreatyCatch!$CA284:$CB284),"")</f>
        <v/>
      </c>
      <c r="Y229" s="883" t="str">
        <f>IF($W229,$W229*TreatyCatch!BY284/SUM(TreatyCatch!$BX284:$BY284,TreatyCatch!$CA284:$CB284),"")</f>
        <v/>
      </c>
      <c r="Z229" s="901" t="str">
        <f t="shared" si="93"/>
        <v/>
      </c>
      <c r="AA229" s="858" t="str">
        <f>IF($W229,$W229*TreatyCatch!CA284/SUM(TreatyCatch!$BX284:$BY284,TreatyCatch!$CA284:$CB284),"")</f>
        <v/>
      </c>
      <c r="AB229" s="859" t="str">
        <f>IF($W229,$W229*TreatyCatch!CB284/SUM(TreatyCatch!$BX284:$BY284,TreatyCatch!$CA284:$CB284),"")</f>
        <v/>
      </c>
      <c r="AC229" s="840" t="str">
        <f t="shared" si="105"/>
        <v/>
      </c>
      <c r="AD229" s="958"/>
      <c r="AE229" s="1071" t="str">
        <f>IF($AD229,$AD229*TreatyCatch!CD459/SUM(TreatyCatch!$CD459:$CE459,TreatyCatch!$CG459:$CH459),"")</f>
        <v/>
      </c>
      <c r="AF229" s="1072" t="str">
        <f>IF($AD229,$AD229*TreatyCatch!CE459/SUM(TreatyCatch!$CD459:$CE459,TreatyCatch!$CG459:$CH459),"")</f>
        <v/>
      </c>
      <c r="AG229" s="1073" t="str">
        <f t="shared" si="94"/>
        <v/>
      </c>
      <c r="AH229" s="1077" t="str">
        <f>IF($AD229,$AD229*TreatyCatch!CG459/SUM(TreatyCatch!$CD459:CE459,TreatyCatch!$CG459:$CH459),"")</f>
        <v/>
      </c>
      <c r="AI229" s="1078" t="str">
        <f>IF($AD229,$AD229*TreatyCatch!CH459/SUM(TreatyCatch!$CD459:CF459,TreatyCatch!$CG459:$CH459),"")</f>
        <v/>
      </c>
      <c r="AJ229" s="1080" t="str">
        <f t="shared" si="106"/>
        <v/>
      </c>
      <c r="AK229" s="958"/>
      <c r="AL229" s="882"/>
      <c r="AM229" s="883"/>
      <c r="AN229" s="901"/>
      <c r="AO229" s="858"/>
      <c r="AP229" s="859"/>
      <c r="AQ229" s="840"/>
      <c r="AR229" s="765"/>
      <c r="AS229" s="852"/>
      <c r="AT229" s="853"/>
      <c r="AU229" s="846"/>
      <c r="AV229" s="893"/>
      <c r="AW229" s="894"/>
      <c r="AX229" s="877"/>
      <c r="AY229" s="765"/>
      <c r="AZ229" s="882"/>
      <c r="BA229" s="883"/>
      <c r="BB229" s="901"/>
      <c r="BC229" s="858"/>
      <c r="BD229" s="859"/>
      <c r="BE229" s="840"/>
      <c r="BF229" s="765"/>
      <c r="BG229" s="852"/>
      <c r="BH229" s="853"/>
      <c r="BI229" s="846"/>
      <c r="BJ229" s="893"/>
      <c r="BK229" s="894"/>
      <c r="BL229" s="877"/>
      <c r="BM229" s="765"/>
      <c r="BN229" s="882"/>
      <c r="BO229" s="883"/>
      <c r="BP229" s="901"/>
      <c r="BQ229" s="858"/>
      <c r="BR229" s="859"/>
      <c r="BS229" s="840"/>
      <c r="BT229" s="765"/>
      <c r="BU229" s="852"/>
      <c r="BV229" s="853"/>
      <c r="BW229" s="846"/>
      <c r="BX229" s="893"/>
      <c r="BY229" s="894"/>
      <c r="BZ229" s="877"/>
      <c r="CA229" s="765"/>
      <c r="CB229" s="882"/>
      <c r="CC229" s="883"/>
      <c r="CD229" s="901"/>
      <c r="CE229" s="858"/>
      <c r="CF229" s="859"/>
      <c r="CG229" s="840"/>
      <c r="CH229" s="765"/>
      <c r="CI229" s="852"/>
      <c r="CJ229" s="853"/>
      <c r="CK229" s="846"/>
      <c r="CL229" s="893"/>
      <c r="CM229" s="894"/>
      <c r="CN229" s="877"/>
    </row>
    <row r="230" spans="1:92" x14ac:dyDescent="0.25">
      <c r="A230" s="757">
        <v>47</v>
      </c>
      <c r="B230" s="765"/>
      <c r="C230" s="844" t="str">
        <f>IF($B230,$B230*TreatyCatch!BF285/SUM(TreatyCatch!$BF285:$BG285,TreatyCatch!$BI285:$BJ285),"")</f>
        <v/>
      </c>
      <c r="D230" s="844" t="str">
        <f>IF($B230,$B230*TreatyCatch!BG285/SUM(TreatyCatch!$BF285:$BG285,TreatyCatch!$BI285:$BJ285),"")</f>
        <v/>
      </c>
      <c r="E230" s="846" t="str">
        <f t="shared" si="90"/>
        <v/>
      </c>
      <c r="F230" s="876" t="str">
        <f>IF($B230,$B230*TreatyCatch!BI285/SUM(TreatyCatch!$BF285:$BG285,TreatyCatch!$BI285:$BJ285),"")</f>
        <v/>
      </c>
      <c r="G230" s="889" t="str">
        <f>IF($B230,$B230*TreatyCatch!BJ285/SUM(TreatyCatch!$BF285:$BG285,TreatyCatch!$BI285:$BJ285),"")</f>
        <v/>
      </c>
      <c r="H230" s="877" t="str">
        <f t="shared" si="102"/>
        <v/>
      </c>
      <c r="I230" s="765"/>
      <c r="J230" s="882" t="str">
        <f>IF($I230,$I230*TreatyCatch!BL285/SUM(TreatyCatch!$BL285:$BM285,TreatyCatch!$BO285:$BP285),"")</f>
        <v/>
      </c>
      <c r="K230" s="883" t="str">
        <f>IF($I230,$I230*TreatyCatch!BM285/SUM(TreatyCatch!$BL285:$BM285,TreatyCatch!$BO285:$BP285),"")</f>
        <v/>
      </c>
      <c r="L230" s="871" t="str">
        <f t="shared" si="91"/>
        <v/>
      </c>
      <c r="M230" s="858" t="str">
        <f>IF($I230,$I230*TreatyCatch!BO285/SUM(TreatyCatch!$BL285:$BM285,TreatyCatch!$BO285:$BP285),"")</f>
        <v/>
      </c>
      <c r="N230" s="859" t="str">
        <f>IF($I230,$I230*TreatyCatch!BP285/SUM(TreatyCatch!$BL285:$BM285,TreatyCatch!$BO75:$BP285),"")</f>
        <v/>
      </c>
      <c r="O230" s="925" t="str">
        <f t="shared" si="103"/>
        <v/>
      </c>
      <c r="P230" s="765"/>
      <c r="Q230" s="852" t="str">
        <f>IF($P230,$P230*TreatyCatch!BR285/SUM(TreatyCatch!$BR285:$BS285,TreatyCatch!$BU285:$BV285),"")</f>
        <v/>
      </c>
      <c r="R230" s="853" t="str">
        <f>IF($P230,$P230*TreatyCatch!BS285/SUM(TreatyCatch!$BR285:$BS285,TreatyCatch!$BU285:$BV285),"")</f>
        <v/>
      </c>
      <c r="S230" s="846" t="str">
        <f t="shared" si="92"/>
        <v/>
      </c>
      <c r="T230" s="893" t="str">
        <f>IF($P230,$P230*TreatyCatch!BU285/SUM(TreatyCatch!$BR285:$BS285,TreatyCatch!$BU285:$BV285),"")</f>
        <v/>
      </c>
      <c r="U230" s="894" t="str">
        <f>IF($P230,$P230*TreatyCatch!BV285/SUM(TreatyCatch!$BR285:$BS285,TreatyCatch!$BU285:$BV285),"")</f>
        <v/>
      </c>
      <c r="V230" s="877" t="str">
        <f t="shared" si="104"/>
        <v/>
      </c>
      <c r="W230" s="958"/>
      <c r="X230" s="882" t="str">
        <f>IF($W230,$W230*TreatyCatch!BX285/SUM(TreatyCatch!$BX285:$BY285,TreatyCatch!$CA285:$CB285),"")</f>
        <v/>
      </c>
      <c r="Y230" s="883" t="str">
        <f>IF($W230,$W230*TreatyCatch!BY285/SUM(TreatyCatch!$BX285:$BY285,TreatyCatch!$CA285:$CB285),"")</f>
        <v/>
      </c>
      <c r="Z230" s="901" t="str">
        <f t="shared" si="93"/>
        <v/>
      </c>
      <c r="AA230" s="858" t="str">
        <f>IF($W230,$W230*TreatyCatch!CA285/SUM(TreatyCatch!$BX285:$BY285,TreatyCatch!$CA285:$CB285),"")</f>
        <v/>
      </c>
      <c r="AB230" s="859" t="str">
        <f>IF($W230,$W230*TreatyCatch!CB285/SUM(TreatyCatch!$BX285:$BY285,TreatyCatch!$CA285:$CB285),"")</f>
        <v/>
      </c>
      <c r="AC230" s="840" t="str">
        <f t="shared" si="105"/>
        <v/>
      </c>
      <c r="AD230" s="958"/>
      <c r="AE230" s="1071" t="str">
        <f>IF($AD230,$AD230*TreatyCatch!CD460/SUM(TreatyCatch!$CD460:$CE460,TreatyCatch!$CG460:$CH460),"")</f>
        <v/>
      </c>
      <c r="AF230" s="1072" t="str">
        <f>IF($AD230,$AD230*TreatyCatch!CE460/SUM(TreatyCatch!$CD460:$CE460,TreatyCatch!$CG460:$CH460),"")</f>
        <v/>
      </c>
      <c r="AG230" s="1073" t="str">
        <f t="shared" si="94"/>
        <v/>
      </c>
      <c r="AH230" s="1077" t="str">
        <f>IF($AD230,$AD230*TreatyCatch!CG460/SUM(TreatyCatch!$CD460:CE460,TreatyCatch!$CG460:$CH460),"")</f>
        <v/>
      </c>
      <c r="AI230" s="1078" t="str">
        <f>IF($AD230,$AD230*TreatyCatch!CH460/SUM(TreatyCatch!$CD460:CF460,TreatyCatch!$CG460:$CH460),"")</f>
        <v/>
      </c>
      <c r="AJ230" s="1080" t="str">
        <f t="shared" si="106"/>
        <v/>
      </c>
      <c r="AK230" s="958"/>
      <c r="AL230" s="882"/>
      <c r="AM230" s="883"/>
      <c r="AN230" s="901"/>
      <c r="AO230" s="858"/>
      <c r="AP230" s="859"/>
      <c r="AQ230" s="840"/>
      <c r="AR230" s="765"/>
      <c r="AS230" s="852"/>
      <c r="AT230" s="853"/>
      <c r="AU230" s="846"/>
      <c r="AV230" s="893"/>
      <c r="AW230" s="894"/>
      <c r="AX230" s="877"/>
      <c r="AY230" s="765"/>
      <c r="AZ230" s="882"/>
      <c r="BA230" s="883"/>
      <c r="BB230" s="901"/>
      <c r="BC230" s="858"/>
      <c r="BD230" s="859"/>
      <c r="BE230" s="840"/>
      <c r="BF230" s="765"/>
      <c r="BG230" s="852"/>
      <c r="BH230" s="853"/>
      <c r="BI230" s="846"/>
      <c r="BJ230" s="893"/>
      <c r="BK230" s="894"/>
      <c r="BL230" s="877"/>
      <c r="BM230" s="765"/>
      <c r="BN230" s="882"/>
      <c r="BO230" s="883"/>
      <c r="BP230" s="901"/>
      <c r="BQ230" s="858"/>
      <c r="BR230" s="859"/>
      <c r="BS230" s="840"/>
      <c r="BT230" s="765"/>
      <c r="BU230" s="852"/>
      <c r="BV230" s="853"/>
      <c r="BW230" s="846"/>
      <c r="BX230" s="893"/>
      <c r="BY230" s="894"/>
      <c r="BZ230" s="877"/>
      <c r="CA230" s="765"/>
      <c r="CB230" s="882"/>
      <c r="CC230" s="883"/>
      <c r="CD230" s="901"/>
      <c r="CE230" s="858"/>
      <c r="CF230" s="859"/>
      <c r="CG230" s="840"/>
      <c r="CH230" s="765"/>
      <c r="CI230" s="852"/>
      <c r="CJ230" s="853"/>
      <c r="CK230" s="846"/>
      <c r="CL230" s="893"/>
      <c r="CM230" s="894"/>
      <c r="CN230" s="877"/>
    </row>
    <row r="231" spans="1:92" x14ac:dyDescent="0.25">
      <c r="A231" s="757">
        <v>48</v>
      </c>
      <c r="B231" s="765"/>
      <c r="C231" s="844" t="str">
        <f>IF($B231,$B231*TreatyCatch!BF286/SUM(TreatyCatch!$BF286:$BG286,TreatyCatch!$BI286:$BJ286),"")</f>
        <v/>
      </c>
      <c r="D231" s="844" t="str">
        <f>IF($B231,$B231*TreatyCatch!BG286/SUM(TreatyCatch!$BF286:$BG286,TreatyCatch!$BI286:$BJ286),"")</f>
        <v/>
      </c>
      <c r="E231" s="846" t="str">
        <f t="shared" si="90"/>
        <v/>
      </c>
      <c r="F231" s="876" t="str">
        <f>IF($B231,$B231*TreatyCatch!BI286/SUM(TreatyCatch!$BF286:$BG286,TreatyCatch!$BI286:$BJ286),"")</f>
        <v/>
      </c>
      <c r="G231" s="889" t="str">
        <f>IF($B231,$B231*TreatyCatch!BJ286/SUM(TreatyCatch!$BF286:$BG286,TreatyCatch!$BI286:$BJ286),"")</f>
        <v/>
      </c>
      <c r="H231" s="877" t="str">
        <f t="shared" si="102"/>
        <v/>
      </c>
      <c r="I231" s="765"/>
      <c r="J231" s="882" t="str">
        <f>IF($I231,$I231*TreatyCatch!BL286/SUM(TreatyCatch!$BL286:$BM286,TreatyCatch!$BO286:$BP286),"")</f>
        <v/>
      </c>
      <c r="K231" s="883" t="str">
        <f>IF($I231,$I231*TreatyCatch!BM286/SUM(TreatyCatch!$BL286:$BM286,TreatyCatch!$BO286:$BP286),"")</f>
        <v/>
      </c>
      <c r="L231" s="871" t="str">
        <f t="shared" si="91"/>
        <v/>
      </c>
      <c r="M231" s="858" t="str">
        <f>IF($I231,$I231*TreatyCatch!BO286/SUM(TreatyCatch!$BL286:$BM286,TreatyCatch!$BO286:$BP286),"")</f>
        <v/>
      </c>
      <c r="N231" s="859" t="str">
        <f>IF($I231,$I231*TreatyCatch!BP286/SUM(TreatyCatch!$BL286:$BM286,TreatyCatch!$BO76:$BP286),"")</f>
        <v/>
      </c>
      <c r="O231" s="925" t="str">
        <f t="shared" si="103"/>
        <v/>
      </c>
      <c r="P231" s="765"/>
      <c r="Q231" s="852" t="str">
        <f>IF($P231,$P231*TreatyCatch!BR286/SUM(TreatyCatch!$BR286:$BS286,TreatyCatch!$BU286:$BV286),"")</f>
        <v/>
      </c>
      <c r="R231" s="853" t="str">
        <f>IF($P231,$P231*TreatyCatch!BS286/SUM(TreatyCatch!$BR286:$BS286,TreatyCatch!$BU286:$BV286),"")</f>
        <v/>
      </c>
      <c r="S231" s="846" t="str">
        <f t="shared" si="92"/>
        <v/>
      </c>
      <c r="T231" s="893" t="str">
        <f>IF($P231,$P231*TreatyCatch!BU286/SUM(TreatyCatch!$BR286:$BS286,TreatyCatch!$BU286:$BV286),"")</f>
        <v/>
      </c>
      <c r="U231" s="894" t="str">
        <f>IF($P231,$P231*TreatyCatch!BV286/SUM(TreatyCatch!$BR286:$BS286,TreatyCatch!$BU286:$BV286),"")</f>
        <v/>
      </c>
      <c r="V231" s="877" t="str">
        <f t="shared" si="104"/>
        <v/>
      </c>
      <c r="W231" s="958"/>
      <c r="X231" s="882" t="str">
        <f>IF($W231,$W231*TreatyCatch!BX286/SUM(TreatyCatch!$BX286:$BY286,TreatyCatch!$CA286:$CB286),"")</f>
        <v/>
      </c>
      <c r="Y231" s="883" t="str">
        <f>IF($W231,$W231*TreatyCatch!BY286/SUM(TreatyCatch!$BX286:$BY286,TreatyCatch!$CA286:$CB286),"")</f>
        <v/>
      </c>
      <c r="Z231" s="901" t="str">
        <f t="shared" si="93"/>
        <v/>
      </c>
      <c r="AA231" s="858" t="str">
        <f>IF($W231,$W231*TreatyCatch!CA286/SUM(TreatyCatch!$BX286:$BY286,TreatyCatch!$CA286:$CB286),"")</f>
        <v/>
      </c>
      <c r="AB231" s="859" t="str">
        <f>IF($W231,$W231*TreatyCatch!CB286/SUM(TreatyCatch!$BX286:$BY286,TreatyCatch!$CA286:$CB286),"")</f>
        <v/>
      </c>
      <c r="AC231" s="840" t="str">
        <f t="shared" si="105"/>
        <v/>
      </c>
      <c r="AD231" s="958"/>
      <c r="AE231" s="1071" t="str">
        <f>IF($AD231,$AD231*TreatyCatch!CD461/SUM(TreatyCatch!$CD461:$CE461,TreatyCatch!$CG461:$CH461),"")</f>
        <v/>
      </c>
      <c r="AF231" s="1072" t="str">
        <f>IF($AD231,$AD231*TreatyCatch!CE461/SUM(TreatyCatch!$CD461:$CE461,TreatyCatch!$CG461:$CH461),"")</f>
        <v/>
      </c>
      <c r="AG231" s="1073" t="str">
        <f t="shared" si="94"/>
        <v/>
      </c>
      <c r="AH231" s="1077" t="str">
        <f>IF($AD231,$AD231*TreatyCatch!CG461/SUM(TreatyCatch!$CD461:CE461,TreatyCatch!$CG461:$CH461),"")</f>
        <v/>
      </c>
      <c r="AI231" s="1078" t="str">
        <f>IF($AD231,$AD231*TreatyCatch!CH461/SUM(TreatyCatch!$CD461:CF461,TreatyCatch!$CG461:$CH461),"")</f>
        <v/>
      </c>
      <c r="AJ231" s="1080" t="str">
        <f t="shared" si="106"/>
        <v/>
      </c>
      <c r="AK231" s="958"/>
      <c r="AL231" s="882"/>
      <c r="AM231" s="883"/>
      <c r="AN231" s="901"/>
      <c r="AO231" s="858"/>
      <c r="AP231" s="859"/>
      <c r="AQ231" s="840"/>
      <c r="AR231" s="765"/>
      <c r="AS231" s="852"/>
      <c r="AT231" s="853"/>
      <c r="AU231" s="846"/>
      <c r="AV231" s="893"/>
      <c r="AW231" s="894"/>
      <c r="AX231" s="877"/>
      <c r="AY231" s="765"/>
      <c r="AZ231" s="882"/>
      <c r="BA231" s="883"/>
      <c r="BB231" s="901"/>
      <c r="BC231" s="858"/>
      <c r="BD231" s="859"/>
      <c r="BE231" s="840"/>
      <c r="BF231" s="765"/>
      <c r="BG231" s="852"/>
      <c r="BH231" s="853"/>
      <c r="BI231" s="846"/>
      <c r="BJ231" s="893"/>
      <c r="BK231" s="894"/>
      <c r="BL231" s="877"/>
      <c r="BM231" s="765"/>
      <c r="BN231" s="882"/>
      <c r="BO231" s="883"/>
      <c r="BP231" s="901"/>
      <c r="BQ231" s="858"/>
      <c r="BR231" s="859"/>
      <c r="BS231" s="840"/>
      <c r="BT231" s="765"/>
      <c r="BU231" s="852"/>
      <c r="BV231" s="853"/>
      <c r="BW231" s="846"/>
      <c r="BX231" s="893"/>
      <c r="BY231" s="894"/>
      <c r="BZ231" s="877"/>
      <c r="CA231" s="765"/>
      <c r="CB231" s="882"/>
      <c r="CC231" s="883"/>
      <c r="CD231" s="901"/>
      <c r="CE231" s="858"/>
      <c r="CF231" s="859"/>
      <c r="CG231" s="840"/>
      <c r="CH231" s="765"/>
      <c r="CI231" s="852"/>
      <c r="CJ231" s="853"/>
      <c r="CK231" s="846"/>
      <c r="CL231" s="893"/>
      <c r="CM231" s="894"/>
      <c r="CN231" s="877"/>
    </row>
    <row r="232" spans="1:92" x14ac:dyDescent="0.25">
      <c r="A232" s="757">
        <v>49</v>
      </c>
      <c r="B232" s="765"/>
      <c r="C232" s="844" t="str">
        <f>IF($B232,$B232*TreatyCatch!BF287/SUM(TreatyCatch!$BF287:$BG287,TreatyCatch!$BI287:$BJ287),"")</f>
        <v/>
      </c>
      <c r="D232" s="844" t="str">
        <f>IF($B232,$B232*TreatyCatch!BG287/SUM(TreatyCatch!$BF287:$BG287,TreatyCatch!$BI287:$BJ287),"")</f>
        <v/>
      </c>
      <c r="E232" s="846" t="str">
        <f t="shared" si="90"/>
        <v/>
      </c>
      <c r="F232" s="876" t="str">
        <f>IF($B232,$B232*TreatyCatch!BI287/SUM(TreatyCatch!$BF287:$BG287,TreatyCatch!$BI287:$BJ287),"")</f>
        <v/>
      </c>
      <c r="G232" s="889" t="str">
        <f>IF($B232,$B232*TreatyCatch!BJ287/SUM(TreatyCatch!$BF287:$BG287,TreatyCatch!$BI287:$BJ287),"")</f>
        <v/>
      </c>
      <c r="H232" s="877" t="str">
        <f t="shared" si="102"/>
        <v/>
      </c>
      <c r="I232" s="765"/>
      <c r="J232" s="882" t="str">
        <f>IF($I232,$I232*TreatyCatch!BL287/SUM(TreatyCatch!$BL287:$BM287,TreatyCatch!$BO287:$BP287),"")</f>
        <v/>
      </c>
      <c r="K232" s="883" t="str">
        <f>IF($I232,$I232*TreatyCatch!BM287/SUM(TreatyCatch!$BL287:$BM287,TreatyCatch!$BO287:$BP287),"")</f>
        <v/>
      </c>
      <c r="L232" s="871" t="str">
        <f t="shared" si="91"/>
        <v/>
      </c>
      <c r="M232" s="858" t="str">
        <f>IF($I232,$I232*TreatyCatch!BO287/SUM(TreatyCatch!$BL287:$BM287,TreatyCatch!$BO287:$BP287),"")</f>
        <v/>
      </c>
      <c r="N232" s="859" t="str">
        <f>IF($I232,$I232*TreatyCatch!BP287/SUM(TreatyCatch!$BL287:$BM287,TreatyCatch!$BO77:$BP287),"")</f>
        <v/>
      </c>
      <c r="O232" s="925" t="str">
        <f t="shared" si="103"/>
        <v/>
      </c>
      <c r="P232" s="765"/>
      <c r="Q232" s="852" t="str">
        <f>IF($P232,$P232*TreatyCatch!BR287/SUM(TreatyCatch!$BR287:$BS287,TreatyCatch!$BU287:$BV287),"")</f>
        <v/>
      </c>
      <c r="R232" s="853" t="str">
        <f>IF($P232,$P232*TreatyCatch!BS287/SUM(TreatyCatch!$BR287:$BS287,TreatyCatch!$BU287:$BV287),"")</f>
        <v/>
      </c>
      <c r="S232" s="846" t="str">
        <f t="shared" si="92"/>
        <v/>
      </c>
      <c r="T232" s="893" t="str">
        <f>IF($P232,$P232*TreatyCatch!BU287/SUM(TreatyCatch!$BR287:$BS287,TreatyCatch!$BU287:$BV287),"")</f>
        <v/>
      </c>
      <c r="U232" s="894" t="str">
        <f>IF($P232,$P232*TreatyCatch!BV287/SUM(TreatyCatch!$BR287:$BS287,TreatyCatch!$BU287:$BV287),"")</f>
        <v/>
      </c>
      <c r="V232" s="877" t="str">
        <f t="shared" si="104"/>
        <v/>
      </c>
      <c r="W232" s="958"/>
      <c r="X232" s="882" t="str">
        <f>IF($W232,$W232*TreatyCatch!BX287/SUM(TreatyCatch!$BX287:$BY287,TreatyCatch!$CA287:$CB287),"")</f>
        <v/>
      </c>
      <c r="Y232" s="883" t="str">
        <f>IF($W232,$W232*TreatyCatch!BY287/SUM(TreatyCatch!$BX287:$BY287,TreatyCatch!$CA287:$CB287),"")</f>
        <v/>
      </c>
      <c r="Z232" s="901" t="str">
        <f t="shared" si="93"/>
        <v/>
      </c>
      <c r="AA232" s="858" t="str">
        <f>IF($W232,$W232*TreatyCatch!CA287/SUM(TreatyCatch!$BX287:$BY287,TreatyCatch!$CA287:$CB287),"")</f>
        <v/>
      </c>
      <c r="AB232" s="859" t="str">
        <f>IF($W232,$W232*TreatyCatch!CB287/SUM(TreatyCatch!$BX287:$BY287,TreatyCatch!$CA287:$CB287),"")</f>
        <v/>
      </c>
      <c r="AC232" s="840" t="str">
        <f t="shared" si="105"/>
        <v/>
      </c>
      <c r="AD232" s="958"/>
      <c r="AE232" s="1071" t="str">
        <f>IF($AD232,$AD232*TreatyCatch!CD462/SUM(TreatyCatch!$CD462:$CE462,TreatyCatch!$CG462:$CH462),"")</f>
        <v/>
      </c>
      <c r="AF232" s="1072" t="str">
        <f>IF($AD232,$AD232*TreatyCatch!CE462/SUM(TreatyCatch!$CD462:$CE462,TreatyCatch!$CG462:$CH462),"")</f>
        <v/>
      </c>
      <c r="AG232" s="1073" t="str">
        <f t="shared" si="94"/>
        <v/>
      </c>
      <c r="AH232" s="1077" t="str">
        <f>IF($AD232,$AD232*TreatyCatch!CG462/SUM(TreatyCatch!$CD462:CE462,TreatyCatch!$CG462:$CH462),"")</f>
        <v/>
      </c>
      <c r="AI232" s="1078" t="str">
        <f>IF($AD232,$AD232*TreatyCatch!CH462/SUM(TreatyCatch!$CD462:CF462,TreatyCatch!$CG462:$CH462),"")</f>
        <v/>
      </c>
      <c r="AJ232" s="1080" t="str">
        <f t="shared" si="106"/>
        <v/>
      </c>
      <c r="AK232" s="958"/>
      <c r="AL232" s="882"/>
      <c r="AM232" s="883"/>
      <c r="AN232" s="901"/>
      <c r="AO232" s="858"/>
      <c r="AP232" s="859"/>
      <c r="AQ232" s="840"/>
      <c r="AR232" s="765"/>
      <c r="AS232" s="852"/>
      <c r="AT232" s="853"/>
      <c r="AU232" s="846"/>
      <c r="AV232" s="893"/>
      <c r="AW232" s="894"/>
      <c r="AX232" s="877"/>
      <c r="AY232" s="765"/>
      <c r="AZ232" s="882"/>
      <c r="BA232" s="883"/>
      <c r="BB232" s="901"/>
      <c r="BC232" s="858"/>
      <c r="BD232" s="859"/>
      <c r="BE232" s="840"/>
      <c r="BF232" s="765"/>
      <c r="BG232" s="852"/>
      <c r="BH232" s="853"/>
      <c r="BI232" s="846"/>
      <c r="BJ232" s="893"/>
      <c r="BK232" s="894"/>
      <c r="BL232" s="877"/>
      <c r="BM232" s="765"/>
      <c r="BN232" s="882"/>
      <c r="BO232" s="883"/>
      <c r="BP232" s="901"/>
      <c r="BQ232" s="858"/>
      <c r="BR232" s="859"/>
      <c r="BS232" s="840"/>
      <c r="BT232" s="765"/>
      <c r="BU232" s="852"/>
      <c r="BV232" s="853"/>
      <c r="BW232" s="846"/>
      <c r="BX232" s="893"/>
      <c r="BY232" s="894"/>
      <c r="BZ232" s="877"/>
      <c r="CA232" s="765"/>
      <c r="CB232" s="882"/>
      <c r="CC232" s="883"/>
      <c r="CD232" s="901"/>
      <c r="CE232" s="858"/>
      <c r="CF232" s="859"/>
      <c r="CG232" s="840"/>
      <c r="CH232" s="765"/>
      <c r="CI232" s="852"/>
      <c r="CJ232" s="853"/>
      <c r="CK232" s="846"/>
      <c r="CL232" s="893"/>
      <c r="CM232" s="894"/>
      <c r="CN232" s="877"/>
    </row>
    <row r="233" spans="1:92" x14ac:dyDescent="0.25">
      <c r="A233" s="757">
        <v>50</v>
      </c>
      <c r="B233" s="765"/>
      <c r="C233" s="844" t="str">
        <f>IF($B233,$B233*TreatyCatch!BF288/SUM(TreatyCatch!$BF288:$BG288,TreatyCatch!$BI288:$BJ288),"")</f>
        <v/>
      </c>
      <c r="D233" s="844" t="str">
        <f>IF($B233,$B233*TreatyCatch!BG288/SUM(TreatyCatch!$BF288:$BG288,TreatyCatch!$BI288:$BJ288),"")</f>
        <v/>
      </c>
      <c r="E233" s="846" t="str">
        <f t="shared" si="90"/>
        <v/>
      </c>
      <c r="F233" s="876" t="str">
        <f>IF($B233,$B233*TreatyCatch!BI288/SUM(TreatyCatch!$BF288:$BG288,TreatyCatch!$BI288:$BJ288),"")</f>
        <v/>
      </c>
      <c r="G233" s="889" t="str">
        <f>IF($B233,$B233*TreatyCatch!BJ288/SUM(TreatyCatch!$BF288:$BG288,TreatyCatch!$BI288:$BJ288),"")</f>
        <v/>
      </c>
      <c r="H233" s="877" t="str">
        <f t="shared" si="102"/>
        <v/>
      </c>
      <c r="I233" s="765"/>
      <c r="J233" s="882" t="str">
        <f>IF($I233,$I233*TreatyCatch!BL288/SUM(TreatyCatch!$BL288:$BM288,TreatyCatch!$BO288:$BP288),"")</f>
        <v/>
      </c>
      <c r="K233" s="883" t="str">
        <f>IF($I233,$I233*TreatyCatch!BM288/SUM(TreatyCatch!$BL288:$BM288,TreatyCatch!$BO288:$BP288),"")</f>
        <v/>
      </c>
      <c r="L233" s="871" t="str">
        <f t="shared" si="91"/>
        <v/>
      </c>
      <c r="M233" s="858" t="str">
        <f>IF($I233,$I233*TreatyCatch!BO288/SUM(TreatyCatch!$BL288:$BM288,TreatyCatch!$BO288:$BP288),"")</f>
        <v/>
      </c>
      <c r="N233" s="859" t="str">
        <f>IF($I233,$I233*TreatyCatch!BP288/SUM(TreatyCatch!$BL288:$BM288,TreatyCatch!$BO78:$BP288),"")</f>
        <v/>
      </c>
      <c r="O233" s="925" t="str">
        <f t="shared" si="103"/>
        <v/>
      </c>
      <c r="P233" s="765"/>
      <c r="Q233" s="852" t="str">
        <f>IF($P233,$P233*TreatyCatch!BR288/SUM(TreatyCatch!$BR288:$BS288,TreatyCatch!$BU288:$BV288),"")</f>
        <v/>
      </c>
      <c r="R233" s="853" t="str">
        <f>IF($P233,$P233*TreatyCatch!BS288/SUM(TreatyCatch!$BR288:$BS288,TreatyCatch!$BU288:$BV288),"")</f>
        <v/>
      </c>
      <c r="S233" s="846" t="str">
        <f t="shared" si="92"/>
        <v/>
      </c>
      <c r="T233" s="893" t="str">
        <f>IF($P233,$P233*TreatyCatch!BU288/SUM(TreatyCatch!$BR288:$BS288,TreatyCatch!$BU288:$BV288),"")</f>
        <v/>
      </c>
      <c r="U233" s="894" t="str">
        <f>IF($P233,$P233*TreatyCatch!BV288/SUM(TreatyCatch!$BR288:$BS288,TreatyCatch!$BU288:$BV288),"")</f>
        <v/>
      </c>
      <c r="V233" s="877" t="str">
        <f t="shared" si="104"/>
        <v/>
      </c>
      <c r="W233" s="958"/>
      <c r="X233" s="882" t="str">
        <f>IF($W233,$W233*TreatyCatch!BX288/SUM(TreatyCatch!$BX288:$BY288,TreatyCatch!$CA288:$CB288),"")</f>
        <v/>
      </c>
      <c r="Y233" s="883" t="str">
        <f>IF($W233,$W233*TreatyCatch!BY288/SUM(TreatyCatch!$BX288:$BY288,TreatyCatch!$CA288:$CB288),"")</f>
        <v/>
      </c>
      <c r="Z233" s="901" t="str">
        <f t="shared" si="93"/>
        <v/>
      </c>
      <c r="AA233" s="858" t="str">
        <f>IF($W233,$W233*TreatyCatch!CA288/SUM(TreatyCatch!$BX288:$BY288,TreatyCatch!$CA288:$CB288),"")</f>
        <v/>
      </c>
      <c r="AB233" s="859" t="str">
        <f>IF($W233,$W233*TreatyCatch!CB288/SUM(TreatyCatch!$BX288:$BY288,TreatyCatch!$CA288:$CB288),"")</f>
        <v/>
      </c>
      <c r="AC233" s="840" t="str">
        <f t="shared" si="105"/>
        <v/>
      </c>
      <c r="AD233" s="958"/>
      <c r="AE233" s="1071" t="str">
        <f>IF($AD233,$AD233*TreatyCatch!CD463/SUM(TreatyCatch!$CD463:$CE463,TreatyCatch!$CG463:$CH463),"")</f>
        <v/>
      </c>
      <c r="AF233" s="1072" t="str">
        <f>IF($AD233,$AD233*TreatyCatch!CE463/SUM(TreatyCatch!$CD463:$CE463,TreatyCatch!$CG463:$CH463),"")</f>
        <v/>
      </c>
      <c r="AG233" s="1073" t="str">
        <f t="shared" si="94"/>
        <v/>
      </c>
      <c r="AH233" s="1077" t="str">
        <f>IF($AD233,$AD233*TreatyCatch!CG463/SUM(TreatyCatch!$CD463:CE463,TreatyCatch!$CG463:$CH463),"")</f>
        <v/>
      </c>
      <c r="AI233" s="1078" t="str">
        <f>IF($AD233,$AD233*TreatyCatch!CH463/SUM(TreatyCatch!$CD463:CF463,TreatyCatch!$CG463:$CH463),"")</f>
        <v/>
      </c>
      <c r="AJ233" s="1080" t="str">
        <f t="shared" si="106"/>
        <v/>
      </c>
      <c r="AK233" s="958"/>
      <c r="AL233" s="882"/>
      <c r="AM233" s="883"/>
      <c r="AN233" s="901"/>
      <c r="AO233" s="858"/>
      <c r="AP233" s="859"/>
      <c r="AQ233" s="840"/>
      <c r="AR233" s="765"/>
      <c r="AS233" s="852"/>
      <c r="AT233" s="853"/>
      <c r="AU233" s="846"/>
      <c r="AV233" s="893"/>
      <c r="AW233" s="894"/>
      <c r="AX233" s="877"/>
      <c r="AY233" s="765"/>
      <c r="AZ233" s="882"/>
      <c r="BA233" s="883"/>
      <c r="BB233" s="901"/>
      <c r="BC233" s="858"/>
      <c r="BD233" s="859"/>
      <c r="BE233" s="840"/>
      <c r="BF233" s="765"/>
      <c r="BG233" s="852"/>
      <c r="BH233" s="853"/>
      <c r="BI233" s="846"/>
      <c r="BJ233" s="893"/>
      <c r="BK233" s="894"/>
      <c r="BL233" s="877"/>
      <c r="BM233" s="765"/>
      <c r="BN233" s="882"/>
      <c r="BO233" s="883"/>
      <c r="BP233" s="901"/>
      <c r="BQ233" s="858"/>
      <c r="BR233" s="859"/>
      <c r="BS233" s="840"/>
      <c r="BT233" s="765"/>
      <c r="BU233" s="852"/>
      <c r="BV233" s="853"/>
      <c r="BW233" s="846"/>
      <c r="BX233" s="893"/>
      <c r="BY233" s="894"/>
      <c r="BZ233" s="877"/>
      <c r="CA233" s="765"/>
      <c r="CB233" s="882"/>
      <c r="CC233" s="883"/>
      <c r="CD233" s="901"/>
      <c r="CE233" s="858"/>
      <c r="CF233" s="859"/>
      <c r="CG233" s="840"/>
      <c r="CH233" s="765"/>
      <c r="CI233" s="852"/>
      <c r="CJ233" s="853"/>
      <c r="CK233" s="846"/>
      <c r="CL233" s="893"/>
      <c r="CM233" s="894"/>
      <c r="CN233" s="877"/>
    </row>
    <row r="234" spans="1:92" x14ac:dyDescent="0.25">
      <c r="A234" s="757">
        <v>51</v>
      </c>
      <c r="B234" s="765"/>
      <c r="C234" s="844" t="str">
        <f>IF($B234,$B234*TreatyCatch!BF289/SUM(TreatyCatch!$BF289:$BG289,TreatyCatch!$BI289:$BJ289),"")</f>
        <v/>
      </c>
      <c r="D234" s="844" t="str">
        <f>IF($B234,$B234*TreatyCatch!BG289/SUM(TreatyCatch!$BF289:$BG289,TreatyCatch!$BI289:$BJ289),"")</f>
        <v/>
      </c>
      <c r="E234" s="846" t="str">
        <f t="shared" si="90"/>
        <v/>
      </c>
      <c r="F234" s="876" t="str">
        <f>IF($B234,$B234*TreatyCatch!BI289/SUM(TreatyCatch!$BF289:$BG289,TreatyCatch!$BI289:$BJ289),"")</f>
        <v/>
      </c>
      <c r="G234" s="889" t="str">
        <f>IF($B234,$B234*TreatyCatch!BJ289/SUM(TreatyCatch!$BF289:$BG289,TreatyCatch!$BI289:$BJ289),"")</f>
        <v/>
      </c>
      <c r="H234" s="877" t="str">
        <f t="shared" si="102"/>
        <v/>
      </c>
      <c r="I234" s="765"/>
      <c r="J234" s="882" t="str">
        <f>IF($I234,$I234*TreatyCatch!BL289/SUM(TreatyCatch!$BL289:$BM289,TreatyCatch!$BO289:$BP289),"")</f>
        <v/>
      </c>
      <c r="K234" s="883" t="str">
        <f>IF($I234,$I234*TreatyCatch!BM289/SUM(TreatyCatch!$BL289:$BM289,TreatyCatch!$BO289:$BP289),"")</f>
        <v/>
      </c>
      <c r="L234" s="871" t="str">
        <f t="shared" si="91"/>
        <v/>
      </c>
      <c r="M234" s="858" t="str">
        <f>IF($I234,$I234*TreatyCatch!BO289/SUM(TreatyCatch!$BL289:$BM289,TreatyCatch!$BO289:$BP289),"")</f>
        <v/>
      </c>
      <c r="N234" s="859" t="str">
        <f>IF($I234,$I234*TreatyCatch!BP289/SUM(TreatyCatch!$BL289:$BM289,TreatyCatch!$BO79:$BP289),"")</f>
        <v/>
      </c>
      <c r="O234" s="925" t="str">
        <f t="shared" si="103"/>
        <v/>
      </c>
      <c r="P234" s="765"/>
      <c r="Q234" s="852" t="str">
        <f>IF($P234,$P234*TreatyCatch!BR289/SUM(TreatyCatch!$BR289:$BS289,TreatyCatch!$BU289:$BV289),"")</f>
        <v/>
      </c>
      <c r="R234" s="853" t="str">
        <f>IF($P234,$P234*TreatyCatch!BS289/SUM(TreatyCatch!$BR289:$BS289,TreatyCatch!$BU289:$BV289),"")</f>
        <v/>
      </c>
      <c r="S234" s="846" t="str">
        <f t="shared" si="92"/>
        <v/>
      </c>
      <c r="T234" s="893" t="str">
        <f>IF($P234,$P234*TreatyCatch!BU289/SUM(TreatyCatch!$BR289:$BS289,TreatyCatch!$BU289:$BV289),"")</f>
        <v/>
      </c>
      <c r="U234" s="894" t="str">
        <f>IF($P234,$P234*TreatyCatch!BV289/SUM(TreatyCatch!$BR289:$BS289,TreatyCatch!$BU289:$BV289),"")</f>
        <v/>
      </c>
      <c r="V234" s="877" t="str">
        <f t="shared" si="104"/>
        <v/>
      </c>
      <c r="W234" s="958"/>
      <c r="X234" s="882" t="str">
        <f>IF($W234,$W234*TreatyCatch!BX289/SUM(TreatyCatch!$BX289:$BY289,TreatyCatch!$CA289:$CB289),"")</f>
        <v/>
      </c>
      <c r="Y234" s="883" t="str">
        <f>IF($W234,$W234*TreatyCatch!BY289/SUM(TreatyCatch!$BX289:$BY289,TreatyCatch!$CA289:$CB289),"")</f>
        <v/>
      </c>
      <c r="Z234" s="901" t="str">
        <f t="shared" si="93"/>
        <v/>
      </c>
      <c r="AA234" s="858" t="str">
        <f>IF($W234,$W234*TreatyCatch!CA289/SUM(TreatyCatch!$BX289:$BY289,TreatyCatch!$CA289:$CB289),"")</f>
        <v/>
      </c>
      <c r="AB234" s="859" t="str">
        <f>IF($W234,$W234*TreatyCatch!CB289/SUM(TreatyCatch!$BX289:$BY289,TreatyCatch!$CA289:$CB289),"")</f>
        <v/>
      </c>
      <c r="AC234" s="840" t="str">
        <f t="shared" si="105"/>
        <v/>
      </c>
      <c r="AD234" s="958"/>
      <c r="AE234" s="1071" t="str">
        <f>IF($AD234,$AD234*TreatyCatch!CD464/SUM(TreatyCatch!$CD464:$CE464,TreatyCatch!$CG464:$CH464),"")</f>
        <v/>
      </c>
      <c r="AF234" s="1072" t="str">
        <f>IF($AD234,$AD234*TreatyCatch!CE464/SUM(TreatyCatch!$CD464:$CE464,TreatyCatch!$CG464:$CH464),"")</f>
        <v/>
      </c>
      <c r="AG234" s="1073" t="str">
        <f t="shared" si="94"/>
        <v/>
      </c>
      <c r="AH234" s="1077" t="str">
        <f>IF($AD234,$AD234*TreatyCatch!CG464/SUM(TreatyCatch!$CD464:CE464,TreatyCatch!$CG464:$CH464),"")</f>
        <v/>
      </c>
      <c r="AI234" s="1078" t="str">
        <f>IF($AD234,$AD234*TreatyCatch!CH464/SUM(TreatyCatch!$CD464:CF464,TreatyCatch!$CG464:$CH464),"")</f>
        <v/>
      </c>
      <c r="AJ234" s="1080" t="str">
        <f t="shared" si="106"/>
        <v/>
      </c>
      <c r="AK234" s="958"/>
      <c r="AL234" s="882"/>
      <c r="AM234" s="883"/>
      <c r="AN234" s="901"/>
      <c r="AO234" s="858"/>
      <c r="AP234" s="859"/>
      <c r="AQ234" s="840"/>
      <c r="AR234" s="765"/>
      <c r="AS234" s="852"/>
      <c r="AT234" s="853"/>
      <c r="AU234" s="846"/>
      <c r="AV234" s="893"/>
      <c r="AW234" s="894"/>
      <c r="AX234" s="877"/>
      <c r="AY234" s="765"/>
      <c r="AZ234" s="882"/>
      <c r="BA234" s="883"/>
      <c r="BB234" s="901"/>
      <c r="BC234" s="858"/>
      <c r="BD234" s="859"/>
      <c r="BE234" s="840"/>
      <c r="BF234" s="765"/>
      <c r="BG234" s="852"/>
      <c r="BH234" s="853"/>
      <c r="BI234" s="846"/>
      <c r="BJ234" s="893"/>
      <c r="BK234" s="894"/>
      <c r="BL234" s="877"/>
      <c r="BM234" s="765"/>
      <c r="BN234" s="882"/>
      <c r="BO234" s="883"/>
      <c r="BP234" s="901"/>
      <c r="BQ234" s="858"/>
      <c r="BR234" s="859"/>
      <c r="BS234" s="840"/>
      <c r="BT234" s="765"/>
      <c r="BU234" s="852"/>
      <c r="BV234" s="853"/>
      <c r="BW234" s="846"/>
      <c r="BX234" s="893"/>
      <c r="BY234" s="894"/>
      <c r="BZ234" s="877"/>
      <c r="CA234" s="765"/>
      <c r="CB234" s="882"/>
      <c r="CC234" s="883"/>
      <c r="CD234" s="901"/>
      <c r="CE234" s="858"/>
      <c r="CF234" s="859"/>
      <c r="CG234" s="840"/>
      <c r="CH234" s="765"/>
      <c r="CI234" s="852"/>
      <c r="CJ234" s="853"/>
      <c r="CK234" s="846"/>
      <c r="CL234" s="893"/>
      <c r="CM234" s="894"/>
      <c r="CN234" s="877"/>
    </row>
    <row r="235" spans="1:92" x14ac:dyDescent="0.25">
      <c r="A235" s="757">
        <v>52</v>
      </c>
      <c r="B235" s="765"/>
      <c r="C235" s="844" t="str">
        <f>IF($B235,$B235*TreatyCatch!BF290/SUM(TreatyCatch!$BF290:$BG290,TreatyCatch!$BI290:$BJ290),"")</f>
        <v/>
      </c>
      <c r="D235" s="844" t="str">
        <f>IF($B235,$B235*TreatyCatch!BG290/SUM(TreatyCatch!$BF290:$BG290,TreatyCatch!$BI290:$BJ290),"")</f>
        <v/>
      </c>
      <c r="E235" s="846" t="str">
        <f t="shared" si="90"/>
        <v/>
      </c>
      <c r="F235" s="876" t="str">
        <f>IF($B235,$B235*TreatyCatch!BI290/SUM(TreatyCatch!$BF290:$BG290,TreatyCatch!$BI290:$BJ290),"")</f>
        <v/>
      </c>
      <c r="G235" s="889" t="str">
        <f>IF($B235,$B235*TreatyCatch!BJ290/SUM(TreatyCatch!$BF290:$BG290,TreatyCatch!$BI290:$BJ290),"")</f>
        <v/>
      </c>
      <c r="H235" s="877" t="str">
        <f t="shared" si="102"/>
        <v/>
      </c>
      <c r="I235" s="765"/>
      <c r="J235" s="882" t="str">
        <f>IF($I235,$I235*TreatyCatch!BL290/SUM(TreatyCatch!$BL290:$BM290,TreatyCatch!$BO290:$BP290),"")</f>
        <v/>
      </c>
      <c r="K235" s="883" t="str">
        <f>IF($I235,$I235*TreatyCatch!BM290/SUM(TreatyCatch!$BL290:$BM290,TreatyCatch!$BO290:$BP290),"")</f>
        <v/>
      </c>
      <c r="L235" s="871" t="str">
        <f t="shared" si="91"/>
        <v/>
      </c>
      <c r="M235" s="858" t="str">
        <f>IF($I235,$I235*TreatyCatch!BO290/SUM(TreatyCatch!$BL290:$BM290,TreatyCatch!$BO290:$BP290),"")</f>
        <v/>
      </c>
      <c r="N235" s="859" t="str">
        <f>IF($I235,$I235*TreatyCatch!BP290/SUM(TreatyCatch!$BL290:$BM290,TreatyCatch!$BO80:$BP290),"")</f>
        <v/>
      </c>
      <c r="O235" s="925" t="str">
        <f t="shared" si="103"/>
        <v/>
      </c>
      <c r="P235" s="765"/>
      <c r="Q235" s="852" t="str">
        <f>IF($P235,$P235*TreatyCatch!BR290/SUM(TreatyCatch!$BR290:$BS290,TreatyCatch!$BU290:$BV290),"")</f>
        <v/>
      </c>
      <c r="R235" s="853" t="str">
        <f>IF($P235,$P235*TreatyCatch!BS290/SUM(TreatyCatch!$BR290:$BS290,TreatyCatch!$BU290:$BV290),"")</f>
        <v/>
      </c>
      <c r="S235" s="846" t="str">
        <f t="shared" si="92"/>
        <v/>
      </c>
      <c r="T235" s="893" t="str">
        <f>IF($P235,$P235*TreatyCatch!BU290/SUM(TreatyCatch!$BR290:$BS290,TreatyCatch!$BU290:$BV290),"")</f>
        <v/>
      </c>
      <c r="U235" s="894" t="str">
        <f>IF($P235,$P235*TreatyCatch!BV290/SUM(TreatyCatch!$BR290:$BS290,TreatyCatch!$BU290:$BV290),"")</f>
        <v/>
      </c>
      <c r="V235" s="877" t="str">
        <f t="shared" si="104"/>
        <v/>
      </c>
      <c r="W235" s="958"/>
      <c r="X235" s="882" t="str">
        <f>IF($W235,$W235*TreatyCatch!BX290/SUM(TreatyCatch!$BX290:$BY290,TreatyCatch!$CA290:$CB290),"")</f>
        <v/>
      </c>
      <c r="Y235" s="883" t="str">
        <f>IF($W235,$W235*TreatyCatch!BY290/SUM(TreatyCatch!$BX290:$BY290,TreatyCatch!$CA290:$CB290),"")</f>
        <v/>
      </c>
      <c r="Z235" s="901" t="str">
        <f t="shared" si="93"/>
        <v/>
      </c>
      <c r="AA235" s="858" t="str">
        <f>IF($W235,$W235*TreatyCatch!CA290/SUM(TreatyCatch!$BX290:$BY290,TreatyCatch!$CA290:$CB290),"")</f>
        <v/>
      </c>
      <c r="AB235" s="859" t="str">
        <f>IF($W235,$W235*TreatyCatch!CB290/SUM(TreatyCatch!$BX290:$BY290,TreatyCatch!$CA290:$CB290),"")</f>
        <v/>
      </c>
      <c r="AC235" s="840" t="str">
        <f t="shared" si="105"/>
        <v/>
      </c>
      <c r="AD235" s="958"/>
      <c r="AE235" s="1071" t="str">
        <f>IF($AD235,$AD235*TreatyCatch!CD465/SUM(TreatyCatch!$CD465:$CE465,TreatyCatch!$CG465:$CH465),"")</f>
        <v/>
      </c>
      <c r="AF235" s="1072" t="str">
        <f>IF($AD235,$AD235*TreatyCatch!CE465/SUM(TreatyCatch!$CD465:$CE465,TreatyCatch!$CG465:$CH465),"")</f>
        <v/>
      </c>
      <c r="AG235" s="1073" t="str">
        <f t="shared" si="94"/>
        <v/>
      </c>
      <c r="AH235" s="1077" t="str">
        <f>IF($AD235,$AD235*TreatyCatch!CG465/SUM(TreatyCatch!$CD465:CE465,TreatyCatch!$CG465:$CH465),"")</f>
        <v/>
      </c>
      <c r="AI235" s="1078" t="str">
        <f>IF($AD235,$AD235*TreatyCatch!CH465/SUM(TreatyCatch!$CD465:CF465,TreatyCatch!$CG465:$CH465),"")</f>
        <v/>
      </c>
      <c r="AJ235" s="1080" t="str">
        <f t="shared" si="106"/>
        <v/>
      </c>
      <c r="AK235" s="958"/>
      <c r="AL235" s="882"/>
      <c r="AM235" s="883"/>
      <c r="AN235" s="901"/>
      <c r="AO235" s="858"/>
      <c r="AP235" s="859"/>
      <c r="AQ235" s="840"/>
      <c r="AR235" s="765"/>
      <c r="AS235" s="852"/>
      <c r="AT235" s="853"/>
      <c r="AU235" s="846"/>
      <c r="AV235" s="893"/>
      <c r="AW235" s="894"/>
      <c r="AX235" s="877"/>
      <c r="AY235" s="765"/>
      <c r="AZ235" s="882"/>
      <c r="BA235" s="883"/>
      <c r="BB235" s="901"/>
      <c r="BC235" s="858"/>
      <c r="BD235" s="859"/>
      <c r="BE235" s="840"/>
      <c r="BF235" s="765"/>
      <c r="BG235" s="852"/>
      <c r="BH235" s="853"/>
      <c r="BI235" s="846"/>
      <c r="BJ235" s="893"/>
      <c r="BK235" s="894"/>
      <c r="BL235" s="877"/>
      <c r="BM235" s="765"/>
      <c r="BN235" s="882"/>
      <c r="BO235" s="883"/>
      <c r="BP235" s="901"/>
      <c r="BQ235" s="858"/>
      <c r="BR235" s="859"/>
      <c r="BS235" s="840"/>
      <c r="BT235" s="765"/>
      <c r="BU235" s="852"/>
      <c r="BV235" s="853"/>
      <c r="BW235" s="846"/>
      <c r="BX235" s="893"/>
      <c r="BY235" s="894"/>
      <c r="BZ235" s="877"/>
      <c r="CA235" s="765"/>
      <c r="CB235" s="882"/>
      <c r="CC235" s="883"/>
      <c r="CD235" s="901"/>
      <c r="CE235" s="858"/>
      <c r="CF235" s="859"/>
      <c r="CG235" s="840"/>
      <c r="CH235" s="765"/>
      <c r="CI235" s="852"/>
      <c r="CJ235" s="853"/>
      <c r="CK235" s="846"/>
      <c r="CL235" s="893"/>
      <c r="CM235" s="894"/>
      <c r="CN235" s="877"/>
    </row>
    <row r="236" spans="1:92" x14ac:dyDescent="0.25">
      <c r="A236" s="758">
        <v>53</v>
      </c>
      <c r="B236" s="766"/>
      <c r="C236" s="849" t="str">
        <f>IF($B236,$B236*TreatyCatch!BF291/SUM(TreatyCatch!$BF291:$BG291,TreatyCatch!$BI291:$BJ291),"")</f>
        <v/>
      </c>
      <c r="D236" s="849" t="str">
        <f>IF($B236,$B236*TreatyCatch!BG291/SUM(TreatyCatch!$BF291:$BG291,TreatyCatch!$BI291:$BJ291),"")</f>
        <v/>
      </c>
      <c r="E236" s="847" t="str">
        <f t="shared" si="90"/>
        <v/>
      </c>
      <c r="F236" s="878" t="str">
        <f>IF($B236,$B236*TreatyCatch!BI291/SUM(TreatyCatch!$BF291:$BG291,TreatyCatch!$BI291:$BJ291),"")</f>
        <v/>
      </c>
      <c r="G236" s="890" t="str">
        <f>IF($B236,$B236*TreatyCatch!BJ291/SUM(TreatyCatch!$BF291:$BG291,TreatyCatch!$BI291:$BJ291),"")</f>
        <v/>
      </c>
      <c r="H236" s="879" t="str">
        <f t="shared" si="102"/>
        <v/>
      </c>
      <c r="I236" s="766"/>
      <c r="J236" s="885" t="str">
        <f>IF($I236,$I236*TreatyCatch!BL291/SUM(TreatyCatch!$BL291:$BM291,TreatyCatch!$BO291:$BP291),"")</f>
        <v/>
      </c>
      <c r="K236" s="886" t="str">
        <f>IF($I236,$I236*TreatyCatch!BM291/SUM(TreatyCatch!$BL291:$BM291,TreatyCatch!$BO291:$BP291),"")</f>
        <v/>
      </c>
      <c r="L236" s="873" t="str">
        <f t="shared" si="91"/>
        <v/>
      </c>
      <c r="M236" s="861" t="str">
        <f>IF($I236,$I236*TreatyCatch!BO291/SUM(TreatyCatch!$BL291:$BM291,TreatyCatch!$BO291:$BP291),"")</f>
        <v/>
      </c>
      <c r="N236" s="862" t="str">
        <f>IF($I236,$I236*TreatyCatch!BP291/SUM(TreatyCatch!$BL291:$BM291,TreatyCatch!$BO81:$BP291),"")</f>
        <v/>
      </c>
      <c r="O236" s="926" t="str">
        <f t="shared" si="103"/>
        <v/>
      </c>
      <c r="P236" s="766"/>
      <c r="Q236" s="854" t="str">
        <f>IF($P236,$P236*TreatyCatch!BR291/SUM(TreatyCatch!$BR291:$BS291,TreatyCatch!$BU291:$BV291),"")</f>
        <v/>
      </c>
      <c r="R236" s="855" t="str">
        <f>IF($P236,$P236*TreatyCatch!BS291/SUM(TreatyCatch!$BR291:$BS291,TreatyCatch!$BU291:$BV291),"")</f>
        <v/>
      </c>
      <c r="S236" s="847" t="str">
        <f t="shared" si="92"/>
        <v/>
      </c>
      <c r="T236" s="895" t="str">
        <f>IF($P236,$P236*TreatyCatch!BU291/SUM(TreatyCatch!$BR291:$BS291,TreatyCatch!$BU291:$BV291),"")</f>
        <v/>
      </c>
      <c r="U236" s="896" t="str">
        <f>IF($P236,$P236*TreatyCatch!BV291/SUM(TreatyCatch!$BR291:$BS291,TreatyCatch!$BU291:$BV291),"")</f>
        <v/>
      </c>
      <c r="V236" s="879" t="str">
        <f t="shared" si="104"/>
        <v/>
      </c>
      <c r="W236" s="964"/>
      <c r="X236" s="885" t="str">
        <f>IF($W236,$W236*TreatyCatch!BX291/SUM(TreatyCatch!$BX291:$BY291,TreatyCatch!$CA291:$CB291),"")</f>
        <v/>
      </c>
      <c r="Y236" s="886" t="str">
        <f>IF($W236,$W236*TreatyCatch!BY291/SUM(TreatyCatch!$BX291:$BY291,TreatyCatch!$CA291:$CB291),"")</f>
        <v/>
      </c>
      <c r="Z236" s="902" t="str">
        <f t="shared" si="93"/>
        <v/>
      </c>
      <c r="AA236" s="861" t="str">
        <f>IF($W236,$W236*TreatyCatch!CA291/SUM(TreatyCatch!$BX291:$BY291,TreatyCatch!$CA291:$CB291),"")</f>
        <v/>
      </c>
      <c r="AB236" s="862" t="str">
        <f>IF($W236,$W236*TreatyCatch!CB291/SUM(TreatyCatch!$BX291:$BY291,TreatyCatch!$CA291:$CB291),"")</f>
        <v/>
      </c>
      <c r="AC236" s="841" t="str">
        <f t="shared" si="105"/>
        <v/>
      </c>
      <c r="AD236" s="964"/>
      <c r="AE236" s="1074" t="str">
        <f>IF($AD236,$AD236*TreatyCatch!CD466/SUM(TreatyCatch!$CD466:$CE466,TreatyCatch!$CG466:$CH466),"")</f>
        <v/>
      </c>
      <c r="AF236" s="1075" t="str">
        <f>IF($AD236,$AD236*TreatyCatch!CE466/SUM(TreatyCatch!$CD466:$CE466,TreatyCatch!$CG466:$CH466),"")</f>
        <v/>
      </c>
      <c r="AG236" s="1076" t="str">
        <f t="shared" si="94"/>
        <v/>
      </c>
      <c r="AH236" s="1081" t="str">
        <f>IF($AD236,$AD236*TreatyCatch!CG466/SUM(TreatyCatch!$CD466:CE466,TreatyCatch!$CG466:$CH466),"")</f>
        <v/>
      </c>
      <c r="AI236" s="1082" t="str">
        <f>IF($AD236,$AD236*TreatyCatch!CH466/SUM(TreatyCatch!$CD466:CF466,TreatyCatch!$CG466:$CH466),"")</f>
        <v/>
      </c>
      <c r="AJ236" s="1083" t="str">
        <f t="shared" si="106"/>
        <v/>
      </c>
      <c r="AK236" s="964"/>
      <c r="AL236" s="885"/>
      <c r="AM236" s="886"/>
      <c r="AN236" s="902"/>
      <c r="AO236" s="861"/>
      <c r="AP236" s="862"/>
      <c r="AQ236" s="841"/>
      <c r="AR236" s="766"/>
      <c r="AS236" s="854"/>
      <c r="AT236" s="855"/>
      <c r="AU236" s="847"/>
      <c r="AV236" s="895"/>
      <c r="AW236" s="896"/>
      <c r="AX236" s="879"/>
      <c r="AY236" s="766"/>
      <c r="AZ236" s="885"/>
      <c r="BA236" s="886"/>
      <c r="BB236" s="902"/>
      <c r="BC236" s="861"/>
      <c r="BD236" s="862"/>
      <c r="BE236" s="841"/>
      <c r="BF236" s="766"/>
      <c r="BG236" s="854"/>
      <c r="BH236" s="855"/>
      <c r="BI236" s="847"/>
      <c r="BJ236" s="895"/>
      <c r="BK236" s="896"/>
      <c r="BL236" s="879"/>
      <c r="BM236" s="766"/>
      <c r="BN236" s="885"/>
      <c r="BO236" s="886"/>
      <c r="BP236" s="902"/>
      <c r="BQ236" s="861"/>
      <c r="BR236" s="862"/>
      <c r="BS236" s="841"/>
      <c r="BT236" s="766"/>
      <c r="BU236" s="854"/>
      <c r="BV236" s="855"/>
      <c r="BW236" s="847"/>
      <c r="BX236" s="895"/>
      <c r="BY236" s="896"/>
      <c r="BZ236" s="879"/>
      <c r="CA236" s="766"/>
      <c r="CB236" s="885"/>
      <c r="CC236" s="886"/>
      <c r="CD236" s="902"/>
      <c r="CE236" s="861"/>
      <c r="CF236" s="862"/>
      <c r="CG236" s="841"/>
      <c r="CH236" s="766"/>
      <c r="CI236" s="854"/>
      <c r="CJ236" s="855"/>
      <c r="CK236" s="847"/>
      <c r="CL236" s="895"/>
      <c r="CM236" s="896"/>
      <c r="CN236" s="879"/>
    </row>
    <row r="237" spans="1:92" x14ac:dyDescent="0.25">
      <c r="W237" s="899"/>
      <c r="X237" s="1084"/>
      <c r="Y237" s="1084"/>
      <c r="Z237" s="1084"/>
      <c r="AA237" s="1084"/>
      <c r="AB237" s="1084"/>
      <c r="AC237" s="1084"/>
    </row>
    <row r="238" spans="1:92" x14ac:dyDescent="0.25">
      <c r="W238" s="899"/>
      <c r="X238" s="1084"/>
      <c r="Y238" s="1084"/>
      <c r="Z238" s="1084"/>
      <c r="AA238" s="1084"/>
      <c r="AB238" s="1084"/>
      <c r="AC238" s="1084"/>
    </row>
    <row r="239" spans="1:92" x14ac:dyDescent="0.25">
      <c r="A239" s="756" t="s">
        <v>266</v>
      </c>
      <c r="W239" s="899"/>
      <c r="X239" s="1084"/>
      <c r="Y239" s="1084"/>
      <c r="Z239" s="1084"/>
      <c r="AA239" s="1084"/>
      <c r="AB239" s="1084"/>
      <c r="AC239" s="1084"/>
    </row>
    <row r="240" spans="1:92" x14ac:dyDescent="0.25">
      <c r="B240" s="769">
        <v>2012</v>
      </c>
      <c r="C240" s="770"/>
      <c r="D240" s="770"/>
      <c r="E240" s="770"/>
      <c r="F240" s="770"/>
      <c r="G240" s="772"/>
      <c r="H240" s="770"/>
      <c r="I240" s="771">
        <v>2013</v>
      </c>
      <c r="J240" s="772"/>
      <c r="K240" s="767"/>
      <c r="L240" s="767"/>
      <c r="M240" s="767"/>
      <c r="N240" s="767"/>
      <c r="O240" s="768"/>
      <c r="P240" s="771">
        <v>2014</v>
      </c>
      <c r="Q240" s="772"/>
      <c r="R240" s="767"/>
      <c r="S240" s="767"/>
      <c r="T240" s="767"/>
      <c r="U240" s="767"/>
      <c r="V240" s="768"/>
      <c r="W240" s="1040">
        <v>2015</v>
      </c>
      <c r="X240" s="1042"/>
      <c r="Y240" s="1043"/>
      <c r="Z240" s="1043"/>
      <c r="AA240" s="1043"/>
      <c r="AB240" s="1043"/>
      <c r="AC240" s="1044"/>
      <c r="AD240" s="1040">
        <v>2016</v>
      </c>
      <c r="AE240" s="1042"/>
      <c r="AF240" s="1043"/>
      <c r="AG240" s="1043"/>
      <c r="AH240" s="1043"/>
      <c r="AI240" s="1043"/>
      <c r="AJ240" s="1044"/>
      <c r="AK240" s="1040">
        <v>2017</v>
      </c>
      <c r="AL240" s="1042"/>
      <c r="AM240" s="1043"/>
      <c r="AN240" s="1043"/>
      <c r="AO240" s="1043"/>
      <c r="AP240" s="1043"/>
      <c r="AQ240" s="1044"/>
      <c r="AR240" s="771">
        <f>AR182</f>
        <v>2018</v>
      </c>
      <c r="AS240" s="772"/>
      <c r="AT240" s="767"/>
      <c r="AU240" s="767"/>
      <c r="AV240" s="767"/>
      <c r="AW240" s="767"/>
      <c r="AX240" s="768"/>
      <c r="AY240" s="771">
        <f>AY182</f>
        <v>2019</v>
      </c>
      <c r="AZ240" s="772"/>
      <c r="BA240" s="767"/>
      <c r="BB240" s="767"/>
      <c r="BC240" s="767"/>
      <c r="BD240" s="767"/>
      <c r="BE240" s="768"/>
      <c r="BF240" s="771">
        <f>BF182</f>
        <v>2020</v>
      </c>
      <c r="BG240" s="772"/>
      <c r="BH240" s="767"/>
      <c r="BI240" s="767"/>
      <c r="BJ240" s="767"/>
      <c r="BK240" s="767"/>
      <c r="BL240" s="768"/>
      <c r="BM240" s="771">
        <f>BM182</f>
        <v>2021</v>
      </c>
      <c r="BN240" s="772"/>
      <c r="BO240" s="767"/>
      <c r="BP240" s="767"/>
      <c r="BQ240" s="767"/>
      <c r="BR240" s="767"/>
      <c r="BS240" s="768"/>
      <c r="BT240" s="771">
        <f>BT182</f>
        <v>2022</v>
      </c>
      <c r="BU240" s="772"/>
      <c r="BV240" s="767"/>
      <c r="BW240" s="767"/>
      <c r="BX240" s="767"/>
      <c r="BY240" s="767"/>
      <c r="BZ240" s="768"/>
      <c r="CA240" s="771">
        <f>CA182</f>
        <v>2023</v>
      </c>
      <c r="CB240" s="772"/>
      <c r="CC240" s="767"/>
      <c r="CD240" s="767"/>
      <c r="CE240" s="767"/>
      <c r="CF240" s="767"/>
      <c r="CG240" s="768"/>
      <c r="CH240" s="771">
        <f>CH182</f>
        <v>2024</v>
      </c>
      <c r="CI240" s="772"/>
      <c r="CJ240" s="767"/>
      <c r="CK240" s="767"/>
      <c r="CL240" s="767"/>
      <c r="CM240" s="767"/>
      <c r="CN240" s="768"/>
    </row>
    <row r="241" spans="1:92" x14ac:dyDescent="0.25">
      <c r="A241" s="759" t="s">
        <v>265</v>
      </c>
      <c r="B241" s="764" t="s">
        <v>171</v>
      </c>
      <c r="C241" s="761" t="s">
        <v>257</v>
      </c>
      <c r="D241" s="761" t="s">
        <v>172</v>
      </c>
      <c r="E241" s="760" t="s">
        <v>261</v>
      </c>
      <c r="F241" s="761" t="s">
        <v>259</v>
      </c>
      <c r="G241" s="762" t="s">
        <v>173</v>
      </c>
      <c r="H241" s="774" t="s">
        <v>262</v>
      </c>
      <c r="I241" s="764" t="s">
        <v>171</v>
      </c>
      <c r="J241" s="759" t="s">
        <v>257</v>
      </c>
      <c r="K241" s="761" t="s">
        <v>172</v>
      </c>
      <c r="L241" s="760" t="s">
        <v>261</v>
      </c>
      <c r="M241" s="761" t="s">
        <v>259</v>
      </c>
      <c r="N241" s="762" t="s">
        <v>173</v>
      </c>
      <c r="O241" s="774" t="s">
        <v>262</v>
      </c>
      <c r="P241" s="764" t="s">
        <v>171</v>
      </c>
      <c r="Q241" s="759" t="s">
        <v>257</v>
      </c>
      <c r="R241" s="761" t="s">
        <v>172</v>
      </c>
      <c r="S241" s="760" t="s">
        <v>261</v>
      </c>
      <c r="T241" s="761" t="s">
        <v>259</v>
      </c>
      <c r="U241" s="762" t="s">
        <v>173</v>
      </c>
      <c r="V241" s="774" t="s">
        <v>262</v>
      </c>
      <c r="W241" s="1041" t="s">
        <v>171</v>
      </c>
      <c r="X241" s="1045" t="s">
        <v>257</v>
      </c>
      <c r="Y241" s="1046" t="s">
        <v>172</v>
      </c>
      <c r="Z241" s="1047" t="s">
        <v>261</v>
      </c>
      <c r="AA241" s="1046" t="s">
        <v>259</v>
      </c>
      <c r="AB241" s="1048" t="s">
        <v>173</v>
      </c>
      <c r="AC241" s="1049" t="s">
        <v>262</v>
      </c>
      <c r="AD241" s="1041" t="s">
        <v>171</v>
      </c>
      <c r="AE241" s="1045" t="s">
        <v>257</v>
      </c>
      <c r="AF241" s="1046" t="s">
        <v>172</v>
      </c>
      <c r="AG241" s="1047" t="s">
        <v>261</v>
      </c>
      <c r="AH241" s="1046" t="s">
        <v>259</v>
      </c>
      <c r="AI241" s="1048" t="s">
        <v>173</v>
      </c>
      <c r="AJ241" s="1049" t="s">
        <v>262</v>
      </c>
      <c r="AK241" s="1041" t="s">
        <v>171</v>
      </c>
      <c r="AL241" s="1045" t="s">
        <v>257</v>
      </c>
      <c r="AM241" s="1046" t="s">
        <v>172</v>
      </c>
      <c r="AN241" s="1047" t="s">
        <v>261</v>
      </c>
      <c r="AO241" s="1046" t="s">
        <v>259</v>
      </c>
      <c r="AP241" s="1048" t="s">
        <v>173</v>
      </c>
      <c r="AQ241" s="1049" t="s">
        <v>262</v>
      </c>
      <c r="AR241" s="764" t="s">
        <v>171</v>
      </c>
      <c r="AS241" s="759" t="s">
        <v>257</v>
      </c>
      <c r="AT241" s="761" t="s">
        <v>172</v>
      </c>
      <c r="AU241" s="760" t="s">
        <v>261</v>
      </c>
      <c r="AV241" s="761" t="s">
        <v>259</v>
      </c>
      <c r="AW241" s="762" t="s">
        <v>173</v>
      </c>
      <c r="AX241" s="774" t="s">
        <v>262</v>
      </c>
      <c r="AY241" s="764" t="s">
        <v>171</v>
      </c>
      <c r="AZ241" s="759" t="s">
        <v>257</v>
      </c>
      <c r="BA241" s="761" t="s">
        <v>172</v>
      </c>
      <c r="BB241" s="760" t="s">
        <v>261</v>
      </c>
      <c r="BC241" s="761" t="s">
        <v>259</v>
      </c>
      <c r="BD241" s="762" t="s">
        <v>173</v>
      </c>
      <c r="BE241" s="774" t="s">
        <v>262</v>
      </c>
      <c r="BF241" s="764" t="s">
        <v>171</v>
      </c>
      <c r="BG241" s="759" t="s">
        <v>257</v>
      </c>
      <c r="BH241" s="761" t="s">
        <v>172</v>
      </c>
      <c r="BI241" s="760" t="s">
        <v>261</v>
      </c>
      <c r="BJ241" s="761" t="s">
        <v>259</v>
      </c>
      <c r="BK241" s="762" t="s">
        <v>173</v>
      </c>
      <c r="BL241" s="774" t="s">
        <v>262</v>
      </c>
      <c r="BM241" s="764" t="s">
        <v>171</v>
      </c>
      <c r="BN241" s="759" t="s">
        <v>257</v>
      </c>
      <c r="BO241" s="761" t="s">
        <v>172</v>
      </c>
      <c r="BP241" s="760" t="s">
        <v>261</v>
      </c>
      <c r="BQ241" s="761" t="s">
        <v>259</v>
      </c>
      <c r="BR241" s="762" t="s">
        <v>173</v>
      </c>
      <c r="BS241" s="774" t="s">
        <v>262</v>
      </c>
      <c r="BT241" s="764" t="s">
        <v>171</v>
      </c>
      <c r="BU241" s="759" t="s">
        <v>257</v>
      </c>
      <c r="BV241" s="761" t="s">
        <v>172</v>
      </c>
      <c r="BW241" s="760" t="s">
        <v>261</v>
      </c>
      <c r="BX241" s="761" t="s">
        <v>259</v>
      </c>
      <c r="BY241" s="762" t="s">
        <v>173</v>
      </c>
      <c r="BZ241" s="774" t="s">
        <v>262</v>
      </c>
      <c r="CA241" s="764" t="s">
        <v>171</v>
      </c>
      <c r="CB241" s="759" t="s">
        <v>257</v>
      </c>
      <c r="CC241" s="761" t="s">
        <v>172</v>
      </c>
      <c r="CD241" s="760" t="s">
        <v>261</v>
      </c>
      <c r="CE241" s="761" t="s">
        <v>259</v>
      </c>
      <c r="CF241" s="762" t="s">
        <v>173</v>
      </c>
      <c r="CG241" s="774" t="s">
        <v>262</v>
      </c>
      <c r="CH241" s="764" t="s">
        <v>171</v>
      </c>
      <c r="CI241" s="759" t="s">
        <v>257</v>
      </c>
      <c r="CJ241" s="761" t="s">
        <v>172</v>
      </c>
      <c r="CK241" s="760" t="s">
        <v>261</v>
      </c>
      <c r="CL241" s="761" t="s">
        <v>259</v>
      </c>
      <c r="CM241" s="762" t="s">
        <v>173</v>
      </c>
      <c r="CN241" s="774" t="s">
        <v>262</v>
      </c>
    </row>
    <row r="242" spans="1:92" x14ac:dyDescent="0.25">
      <c r="A242" s="763">
        <v>1</v>
      </c>
      <c r="B242" s="773"/>
      <c r="C242" s="868" t="str">
        <f>IF($B242,$B242*TreatyCatch!BF239/SUM(TreatyCatch!$BF239:$BG239,TreatyCatch!$BI239:$BJ239),"")</f>
        <v/>
      </c>
      <c r="D242" s="868" t="str">
        <f>IF($B242,$B242*TreatyCatch!BG239/SUM(TreatyCatch!$BF239:$BG239,TreatyCatch!$BI239:$BJ239),"")</f>
        <v/>
      </c>
      <c r="E242" s="869" t="str">
        <f>IFERROR(C242+0.0661*D242,"")</f>
        <v/>
      </c>
      <c r="F242" s="842" t="str">
        <f>IF($B242,$B242*TreatyCatch!BI239/SUM(TreatyCatch!$BF239:$BG239,TreatyCatch!$BI239:$BJ239),"")</f>
        <v/>
      </c>
      <c r="G242" s="865" t="str">
        <f>IF($B242,$B242*TreatyCatch!BJ239/SUM(TreatyCatch!$BF239:$BG239,TreatyCatch!$BI239:$BJ239),"")</f>
        <v/>
      </c>
      <c r="H242" s="839" t="str">
        <f>IFERROR(F242+0.0661*G242,"")</f>
        <v/>
      </c>
      <c r="I242" s="773">
        <v>13</v>
      </c>
      <c r="J242" s="850">
        <f>IF($I242,$I242*TreatyCatch!BL239/SUM(TreatyCatch!$BL239:$BM239,TreatyCatch!$BO239:$BP239),"")</f>
        <v>10.400000000000002</v>
      </c>
      <c r="K242" s="851">
        <f>IF($I242,$I242*TreatyCatch!BM239/SUM(TreatyCatch!$BL239:$BM239,TreatyCatch!$BO239:$BP239),"")</f>
        <v>0</v>
      </c>
      <c r="L242" s="845">
        <f t="shared" ref="L242:L258" si="107">IFERROR(J242+N$5*K242,"")</f>
        <v>10.400000000000002</v>
      </c>
      <c r="M242" s="891">
        <f>IF($I242,$I242*TreatyCatch!BO239/SUM(TreatyCatch!$BL239:$BM239,TreatyCatch!$BO239:$BP239),"")</f>
        <v>2.6000000000000005</v>
      </c>
      <c r="N242" s="892">
        <f>IF($I242,$I242*TreatyCatch!BP239/SUM(TreatyCatch!$BL239:$BM239,TreatyCatch!$BO239:$BP239),"")</f>
        <v>0</v>
      </c>
      <c r="O242" s="875">
        <f t="shared" ref="O242:O267" si="108">IFERROR(M242+N$5*N242,"")</f>
        <v>2.6000000000000005</v>
      </c>
      <c r="P242" s="773">
        <v>9</v>
      </c>
      <c r="Q242" s="880">
        <f>IF($P242,$P242*TreatyCatch!BR239/SUM(TreatyCatch!$BR239:$BS239,TreatyCatch!$BU239:$BV239),"")</f>
        <v>6</v>
      </c>
      <c r="R242" s="881">
        <f>IF($P242,$P242*TreatyCatch!BS239/SUM(TreatyCatch!$BR239:$BS239,TreatyCatch!$BU239:$BV239),"")</f>
        <v>0</v>
      </c>
      <c r="S242" s="869">
        <f>IFERROR(Q242+U$5*R242,"")</f>
        <v>6</v>
      </c>
      <c r="T242" s="863">
        <f>IF($P242,$P242*TreatyCatch!BU239/SUM(TreatyCatch!$BR239:$BS239,TreatyCatch!$BU239:$BV239),"")</f>
        <v>3</v>
      </c>
      <c r="U242" s="864">
        <f>IF($P242,$P242*TreatyCatch!BV239/SUM(TreatyCatch!$BR239:$BS239,TreatyCatch!$BU239:$BV239),"")</f>
        <v>0</v>
      </c>
      <c r="V242" s="839">
        <f>IFERROR(T242+U$5*U242,"")</f>
        <v>3</v>
      </c>
      <c r="W242" s="969"/>
      <c r="X242" s="850" t="str">
        <f>IF($W242,$W242*TreatyCatch!BX239/SUM(TreatyCatch!$BX239:$BY239,TreatyCatch!$CA239:$CB239),"")</f>
        <v/>
      </c>
      <c r="Y242" s="851" t="str">
        <f>IF($W242,$W242*TreatyCatch!BY239/SUM(TreatyCatch!$BX239:$BY239,TreatyCatch!$CA239:$CB239),"")</f>
        <v/>
      </c>
      <c r="Z242" s="845" t="str">
        <f>IFERROR(X242+AB$5*Y242,"")</f>
        <v/>
      </c>
      <c r="AA242" s="891" t="str">
        <f>IF($W242,$W242*TreatyCatch!CA239/SUM(TreatyCatch!$BX239:$BY239,TreatyCatch!$CA239:$CB239),"")</f>
        <v/>
      </c>
      <c r="AB242" s="892" t="str">
        <f>IF($W242,$W242*TreatyCatch!CB239/SUM(TreatyCatch!$BX239:$BY239,TreatyCatch!$CA239:$CB239),"")</f>
        <v/>
      </c>
      <c r="AC242" s="875" t="str">
        <f>IFERROR(AA242+AB$5*AB242,"")</f>
        <v/>
      </c>
      <c r="AD242" s="969"/>
      <c r="AE242" s="1050" t="str">
        <f>IF($AD242,$AD242*TreatyCatch!CD472/SUM(TreatyCatch!$CD472:$CE472,TreatyCatch!$CG472:$CH472),"")</f>
        <v/>
      </c>
      <c r="AF242" s="1051" t="str">
        <f>IF($AD242,$AD242*TreatyCatch!CE472/SUM(TreatyCatch!$CD472:$CE472,TreatyCatch!$CG472:$CH472),"")</f>
        <v/>
      </c>
      <c r="AG242" s="1052" t="str">
        <f>IFERROR(AE242+AI$5*AF242,"")</f>
        <v/>
      </c>
      <c r="AH242" s="1053" t="str">
        <f>IF($AD242,$AD242*TreatyCatch!CG472/SUM(TreatyCatch!$CD472:CE472,TreatyCatch!$CG472:$CH472),"")</f>
        <v/>
      </c>
      <c r="AI242" s="1053" t="str">
        <f>IF($AD242,$AD242*TreatyCatch!CH472/SUM(TreatyCatch!$CD472:CF472,TreatyCatch!$CG472:$CH472),"")</f>
        <v/>
      </c>
      <c r="AJ242" s="1055" t="str">
        <f>IFERROR(AH242+AI$5*AI242,"")</f>
        <v/>
      </c>
      <c r="AK242" s="969"/>
      <c r="AL242" s="850"/>
      <c r="AM242" s="851"/>
      <c r="AN242" s="845"/>
      <c r="AO242" s="891"/>
      <c r="AP242" s="892"/>
      <c r="AQ242" s="875"/>
      <c r="AR242" s="773"/>
      <c r="AS242" s="880"/>
      <c r="AT242" s="881"/>
      <c r="AU242" s="869"/>
      <c r="AV242" s="863"/>
      <c r="AW242" s="864"/>
      <c r="AX242" s="839"/>
      <c r="AY242" s="773"/>
      <c r="AZ242" s="850"/>
      <c r="BA242" s="851"/>
      <c r="BB242" s="845"/>
      <c r="BC242" s="891"/>
      <c r="BD242" s="892"/>
      <c r="BE242" s="875"/>
      <c r="BF242" s="773"/>
      <c r="BG242" s="880"/>
      <c r="BH242" s="881"/>
      <c r="BI242" s="869"/>
      <c r="BJ242" s="863"/>
      <c r="BK242" s="864"/>
      <c r="BL242" s="839"/>
      <c r="BM242" s="773"/>
      <c r="BN242" s="850"/>
      <c r="BO242" s="851"/>
      <c r="BP242" s="845"/>
      <c r="BQ242" s="891"/>
      <c r="BR242" s="892"/>
      <c r="BS242" s="875"/>
      <c r="BT242" s="773"/>
      <c r="BU242" s="880"/>
      <c r="BV242" s="881"/>
      <c r="BW242" s="869"/>
      <c r="BX242" s="863"/>
      <c r="BY242" s="864"/>
      <c r="BZ242" s="839"/>
      <c r="CA242" s="773"/>
      <c r="CB242" s="850"/>
      <c r="CC242" s="851"/>
      <c r="CD242" s="845"/>
      <c r="CE242" s="891"/>
      <c r="CF242" s="892"/>
      <c r="CG242" s="875"/>
      <c r="CH242" s="773"/>
      <c r="CI242" s="880"/>
      <c r="CJ242" s="881"/>
      <c r="CK242" s="869"/>
      <c r="CL242" s="863"/>
      <c r="CM242" s="864"/>
      <c r="CN242" s="839"/>
    </row>
    <row r="243" spans="1:92" x14ac:dyDescent="0.25">
      <c r="A243" s="757">
        <v>2</v>
      </c>
      <c r="B243" s="765"/>
      <c r="C243" s="870" t="str">
        <f>IF($B243,$B243*TreatyCatch!BF240/SUM(TreatyCatch!$BF240:$BG240,TreatyCatch!$BI240:$BJ240),"")</f>
        <v/>
      </c>
      <c r="D243" s="870" t="str">
        <f>IF($B243,$B243*TreatyCatch!BG240/SUM(TreatyCatch!$BF240:$BG240,TreatyCatch!$BI240:$BJ240),"")</f>
        <v/>
      </c>
      <c r="E243" s="871" t="str">
        <f t="shared" ref="E243:E258" si="109">IFERROR(C243+0.0661*D243,"")</f>
        <v/>
      </c>
      <c r="F243" s="838" t="str">
        <f>IF($B243,$B243*TreatyCatch!BI240/SUM(TreatyCatch!$BF240:$BG240,TreatyCatch!$BI240:$BJ240),"")</f>
        <v/>
      </c>
      <c r="G243" s="866" t="str">
        <f>IF($B243,$B243*TreatyCatch!BJ240/SUM(TreatyCatch!$BF240:$BG240,TreatyCatch!$BI240:$BJ240),"")</f>
        <v/>
      </c>
      <c r="H243" s="840" t="str">
        <f t="shared" ref="H243:H267" si="110">IFERROR(F243+0.0661*G243,"")</f>
        <v/>
      </c>
      <c r="I243" s="765">
        <v>18</v>
      </c>
      <c r="J243" s="852">
        <f>IF($I243,$I243*TreatyCatch!BL240/SUM(TreatyCatch!$BL240:$BM240,TreatyCatch!$BO240:$BP240),"")</f>
        <v>13.76470588235294</v>
      </c>
      <c r="K243" s="853">
        <f>IF($I243,$I243*TreatyCatch!BM240/SUM(TreatyCatch!$BL240:$BM240,TreatyCatch!$BO240:$BP240),"")</f>
        <v>1.0588235294117647</v>
      </c>
      <c r="L243" s="846">
        <f t="shared" si="107"/>
        <v>13.856294117647058</v>
      </c>
      <c r="M243" s="893">
        <f>IF($I243,$I243*TreatyCatch!BO240/SUM(TreatyCatch!$BL240:$BM240,TreatyCatch!$BO240:$BP240),"")</f>
        <v>3.1764705882352944</v>
      </c>
      <c r="N243" s="894">
        <f>IF($I243,$I243*TreatyCatch!BP240/SUM(TreatyCatch!$BL240:$BM240,TreatyCatch!$BO240:$BP240),"")</f>
        <v>0</v>
      </c>
      <c r="O243" s="877">
        <f t="shared" si="108"/>
        <v>3.1764705882352944</v>
      </c>
      <c r="P243" s="765">
        <v>2</v>
      </c>
      <c r="Q243" s="882">
        <f>IF($P243,$P243*TreatyCatch!BR240/SUM(TreatyCatch!$BR240:$BS240,TreatyCatch!$BU240:$BV240),"")</f>
        <v>1.3333333333333333</v>
      </c>
      <c r="R243" s="883">
        <f>IF($P243,$P243*TreatyCatch!BS240/SUM(TreatyCatch!$BR240:$BS240,TreatyCatch!$BU240:$BV240),"")</f>
        <v>0</v>
      </c>
      <c r="S243" s="871">
        <f t="shared" ref="S243:S258" si="111">IFERROR(Q243+U$5*R243,"")</f>
        <v>1.3333333333333333</v>
      </c>
      <c r="T243" s="858">
        <f>IF($P243,$P243*TreatyCatch!BU240/SUM(TreatyCatch!$BR240:$BS240,TreatyCatch!$BU240:$BV240),"")</f>
        <v>0.66666666666666663</v>
      </c>
      <c r="U243" s="859">
        <f>IF($P243,$P243*TreatyCatch!BV240/SUM(TreatyCatch!$BR240:$BS240,TreatyCatch!$BU240:$BV240),"")</f>
        <v>0</v>
      </c>
      <c r="V243" s="840">
        <f t="shared" ref="V243:V267" si="112">IFERROR(T243+U$5*U243,"")</f>
        <v>0.66666666666666663</v>
      </c>
      <c r="W243" s="958"/>
      <c r="X243" s="852" t="str">
        <f>IF($W243,$W243*TreatyCatch!BX240/SUM(TreatyCatch!$BX240:$BY240,TreatyCatch!$CA240:$CB240),"")</f>
        <v/>
      </c>
      <c r="Y243" s="853" t="str">
        <f>IF($W243,$W243*TreatyCatch!BY240/SUM(TreatyCatch!$BX240:$BY240,TreatyCatch!$CA240:$CB240),"")</f>
        <v/>
      </c>
      <c r="Z243" s="846" t="str">
        <f t="shared" ref="Z243:Z258" si="113">IFERROR(X243+AB$5*Y243,"")</f>
        <v/>
      </c>
      <c r="AA243" s="893" t="str">
        <f>IF($W243,$W243*TreatyCatch!CA240/SUM(TreatyCatch!$BX240:$BY240,TreatyCatch!$CA240:$CB240),"")</f>
        <v/>
      </c>
      <c r="AB243" s="894" t="str">
        <f>IF($W243,$W243*TreatyCatch!CB240/SUM(TreatyCatch!$BX240:$BY240,TreatyCatch!$CA240:$CB240),"")</f>
        <v/>
      </c>
      <c r="AC243" s="877" t="str">
        <f t="shared" ref="AC243:AC267" si="114">IFERROR(AA243+AB$5*AB243,"")</f>
        <v/>
      </c>
      <c r="AD243" s="958"/>
      <c r="AE243" s="1056" t="str">
        <f>IF($AD243,$AD243*TreatyCatch!CD473/SUM(TreatyCatch!$CD473:$CE473,TreatyCatch!$CG473:$CH473),"")</f>
        <v/>
      </c>
      <c r="AF243" s="1057" t="str">
        <f>IF($AD243,$AD243*TreatyCatch!CE473/SUM(TreatyCatch!$CD473:$CE473,TreatyCatch!$CG473:$CH473),"")</f>
        <v/>
      </c>
      <c r="AG243" s="1058" t="str">
        <f t="shared" ref="AG243:AG258" si="115">IFERROR(AE243+AI$5*AF243,"")</f>
        <v/>
      </c>
      <c r="AH243" s="1059" t="str">
        <f>IF($AD243,$AD243*TreatyCatch!CG473/SUM(TreatyCatch!$CD473:CE473,TreatyCatch!$CG473:$CH473),"")</f>
        <v/>
      </c>
      <c r="AI243" s="1060" t="str">
        <f>IF($AD243,$AD243*TreatyCatch!CH473/SUM(TreatyCatch!$CD473:CF473,TreatyCatch!$CG473:$CH473),"")</f>
        <v/>
      </c>
      <c r="AJ243" s="1061" t="str">
        <f t="shared" ref="AJ243:AJ267" si="116">IFERROR(AH243+AI$5*AI243,"")</f>
        <v/>
      </c>
      <c r="AK243" s="958"/>
      <c r="AL243" s="852"/>
      <c r="AM243" s="853"/>
      <c r="AN243" s="846"/>
      <c r="AO243" s="893"/>
      <c r="AP243" s="894"/>
      <c r="AQ243" s="877"/>
      <c r="AR243" s="765"/>
      <c r="AS243" s="882"/>
      <c r="AT243" s="883"/>
      <c r="AU243" s="871"/>
      <c r="AV243" s="858"/>
      <c r="AW243" s="859"/>
      <c r="AX243" s="840"/>
      <c r="AY243" s="765"/>
      <c r="AZ243" s="852"/>
      <c r="BA243" s="853"/>
      <c r="BB243" s="846"/>
      <c r="BC243" s="893"/>
      <c r="BD243" s="894"/>
      <c r="BE243" s="877"/>
      <c r="BF243" s="765"/>
      <c r="BG243" s="882"/>
      <c r="BH243" s="883"/>
      <c r="BI243" s="871"/>
      <c r="BJ243" s="858"/>
      <c r="BK243" s="859"/>
      <c r="BL243" s="840"/>
      <c r="BM243" s="765"/>
      <c r="BN243" s="852"/>
      <c r="BO243" s="853"/>
      <c r="BP243" s="846"/>
      <c r="BQ243" s="893"/>
      <c r="BR243" s="894"/>
      <c r="BS243" s="877"/>
      <c r="BT243" s="765"/>
      <c r="BU243" s="882"/>
      <c r="BV243" s="883"/>
      <c r="BW243" s="871"/>
      <c r="BX243" s="858"/>
      <c r="BY243" s="859"/>
      <c r="BZ243" s="840"/>
      <c r="CA243" s="765"/>
      <c r="CB243" s="852"/>
      <c r="CC243" s="853"/>
      <c r="CD243" s="846"/>
      <c r="CE243" s="893"/>
      <c r="CF243" s="894"/>
      <c r="CG243" s="877"/>
      <c r="CH243" s="765"/>
      <c r="CI243" s="882"/>
      <c r="CJ243" s="883"/>
      <c r="CK243" s="871"/>
      <c r="CL243" s="858"/>
      <c r="CM243" s="859"/>
      <c r="CN243" s="840"/>
    </row>
    <row r="244" spans="1:92" x14ac:dyDescent="0.25">
      <c r="A244" s="757">
        <v>3</v>
      </c>
      <c r="B244" s="765"/>
      <c r="C244" s="870" t="str">
        <f>IF($B244,$B244*TreatyCatch!BF241/SUM(TreatyCatch!$BF241:$BG241,TreatyCatch!$BI241:$BJ241),"")</f>
        <v/>
      </c>
      <c r="D244" s="870" t="str">
        <f>IF($B244,$B244*TreatyCatch!BG241/SUM(TreatyCatch!$BF241:$BG241,TreatyCatch!$BI241:$BJ241),"")</f>
        <v/>
      </c>
      <c r="E244" s="871" t="str">
        <f t="shared" si="109"/>
        <v/>
      </c>
      <c r="F244" s="838" t="str">
        <f>IF($B244,$B244*TreatyCatch!BI241/SUM(TreatyCatch!$BF241:$BG241,TreatyCatch!$BI241:$BJ241),"")</f>
        <v/>
      </c>
      <c r="G244" s="866" t="str">
        <f>IF($B244,$B244*TreatyCatch!BJ241/SUM(TreatyCatch!$BF241:$BG241,TreatyCatch!$BI241:$BJ241),"")</f>
        <v/>
      </c>
      <c r="H244" s="840" t="str">
        <f t="shared" si="110"/>
        <v/>
      </c>
      <c r="I244" s="765">
        <v>89</v>
      </c>
      <c r="J244" s="852">
        <f>IF($I244,$I244*TreatyCatch!BL241/SUM(TreatyCatch!$BL241:$BM241,TreatyCatch!$BO241:$BP241),"")</f>
        <v>33.758620689655167</v>
      </c>
      <c r="K244" s="853">
        <f>IF($I244,$I244*TreatyCatch!BM241/SUM(TreatyCatch!$BL241:$BM241,TreatyCatch!$BO241:$BP241),"")</f>
        <v>2.0459770114942528</v>
      </c>
      <c r="L244" s="846">
        <f t="shared" si="107"/>
        <v>33.935597701149419</v>
      </c>
      <c r="M244" s="893">
        <f>IF($I244,$I244*TreatyCatch!BO241/SUM(TreatyCatch!$BL241:$BM241,TreatyCatch!$BO241:$BP241),"")</f>
        <v>53.195402298850574</v>
      </c>
      <c r="N244" s="894">
        <f>IF($I244,$I244*TreatyCatch!BP241/SUM(TreatyCatch!$BL241:$BM241,TreatyCatch!$BO241:$BP241),"")</f>
        <v>0</v>
      </c>
      <c r="O244" s="877">
        <f t="shared" si="108"/>
        <v>53.195402298850574</v>
      </c>
      <c r="P244" s="765"/>
      <c r="Q244" s="882" t="str">
        <f>IF($P244,$P244*TreatyCatch!BR241/SUM(TreatyCatch!$BR241:$BS241,TreatyCatch!$BU241:$BV241),"")</f>
        <v/>
      </c>
      <c r="R244" s="883" t="str">
        <f>IF($P244,$P244*TreatyCatch!BS241/SUM(TreatyCatch!$BR241:$BS241,TreatyCatch!$BU241:$BV241),"")</f>
        <v/>
      </c>
      <c r="S244" s="871" t="str">
        <f t="shared" si="111"/>
        <v/>
      </c>
      <c r="T244" s="858" t="str">
        <f>IF($P244,$P244*TreatyCatch!BU241/SUM(TreatyCatch!$BR241:$BS241,TreatyCatch!$BU241:$BV241),"")</f>
        <v/>
      </c>
      <c r="U244" s="859" t="str">
        <f>IF($P244,$P244*TreatyCatch!BV241/SUM(TreatyCatch!$BR241:$BS241,TreatyCatch!$BU241:$BV241),"")</f>
        <v/>
      </c>
      <c r="V244" s="840" t="str">
        <f t="shared" si="112"/>
        <v/>
      </c>
      <c r="W244" s="958">
        <v>36</v>
      </c>
      <c r="X244" s="852">
        <f>IF($W244,$W244*TreatyCatch!BX241/SUM(TreatyCatch!$BX241:$BY241,TreatyCatch!$CA241:$CB241),"")</f>
        <v>18</v>
      </c>
      <c r="Y244" s="853">
        <f>IF($W244,$W244*TreatyCatch!BY241/SUM(TreatyCatch!$BX241:$BY241,TreatyCatch!$CA241:$CB241),"")</f>
        <v>4</v>
      </c>
      <c r="Z244" s="846">
        <f t="shared" si="113"/>
        <v>18.347200000000001</v>
      </c>
      <c r="AA244" s="893">
        <f>IF($W244,$W244*TreatyCatch!CA241/SUM(TreatyCatch!$BX241:$BY241,TreatyCatch!$CA241:$CB241),"")</f>
        <v>14</v>
      </c>
      <c r="AB244" s="894">
        <f>IF($W244,$W244*TreatyCatch!CB241/SUM(TreatyCatch!$BX241:$BY241,TreatyCatch!$CA241:$CB241),"")</f>
        <v>0</v>
      </c>
      <c r="AC244" s="877">
        <f t="shared" si="114"/>
        <v>14</v>
      </c>
      <c r="AD244" s="958"/>
      <c r="AE244" s="1056" t="str">
        <f>IF($AD244,$AD244*TreatyCatch!CD474/SUM(TreatyCatch!$CD474:$CE474,TreatyCatch!$CG474:$CH474),"")</f>
        <v/>
      </c>
      <c r="AF244" s="1057" t="str">
        <f>IF($AD244,$AD244*TreatyCatch!CE474/SUM(TreatyCatch!$CD474:$CE474,TreatyCatch!$CG474:$CH474),"")</f>
        <v/>
      </c>
      <c r="AG244" s="1058" t="str">
        <f t="shared" si="115"/>
        <v/>
      </c>
      <c r="AH244" s="1059" t="str">
        <f>IF($AD244,$AD244*TreatyCatch!CG474/SUM(TreatyCatch!$CD474:CE474,TreatyCatch!$CG474:$CH474),"")</f>
        <v/>
      </c>
      <c r="AI244" s="1060" t="str">
        <f>IF($AD244,$AD244*TreatyCatch!CH474/SUM(TreatyCatch!$CD474:CF474,TreatyCatch!$CG474:$CH474),"")</f>
        <v/>
      </c>
      <c r="AJ244" s="1061" t="str">
        <f t="shared" si="116"/>
        <v/>
      </c>
      <c r="AK244" s="958"/>
      <c r="AL244" s="852"/>
      <c r="AM244" s="853"/>
      <c r="AN244" s="846"/>
      <c r="AO244" s="893"/>
      <c r="AP244" s="894"/>
      <c r="AQ244" s="877"/>
      <c r="AR244" s="765"/>
      <c r="AS244" s="882"/>
      <c r="AT244" s="883"/>
      <c r="AU244" s="871"/>
      <c r="AV244" s="858"/>
      <c r="AW244" s="859"/>
      <c r="AX244" s="840"/>
      <c r="AY244" s="765"/>
      <c r="AZ244" s="852"/>
      <c r="BA244" s="853"/>
      <c r="BB244" s="846"/>
      <c r="BC244" s="893"/>
      <c r="BD244" s="894"/>
      <c r="BE244" s="877"/>
      <c r="BF244" s="765"/>
      <c r="BG244" s="882"/>
      <c r="BH244" s="883"/>
      <c r="BI244" s="871"/>
      <c r="BJ244" s="858"/>
      <c r="BK244" s="859"/>
      <c r="BL244" s="840"/>
      <c r="BM244" s="765"/>
      <c r="BN244" s="852"/>
      <c r="BO244" s="853"/>
      <c r="BP244" s="846"/>
      <c r="BQ244" s="893"/>
      <c r="BR244" s="894"/>
      <c r="BS244" s="877"/>
      <c r="BT244" s="765"/>
      <c r="BU244" s="882"/>
      <c r="BV244" s="883"/>
      <c r="BW244" s="871"/>
      <c r="BX244" s="858"/>
      <c r="BY244" s="859"/>
      <c r="BZ244" s="840"/>
      <c r="CA244" s="765"/>
      <c r="CB244" s="852"/>
      <c r="CC244" s="853"/>
      <c r="CD244" s="846"/>
      <c r="CE244" s="893"/>
      <c r="CF244" s="894"/>
      <c r="CG244" s="877"/>
      <c r="CH244" s="765"/>
      <c r="CI244" s="882"/>
      <c r="CJ244" s="883"/>
      <c r="CK244" s="871"/>
      <c r="CL244" s="858"/>
      <c r="CM244" s="859"/>
      <c r="CN244" s="840"/>
    </row>
    <row r="245" spans="1:92" x14ac:dyDescent="0.25">
      <c r="A245" s="757">
        <v>4</v>
      </c>
      <c r="B245" s="765"/>
      <c r="C245" s="870" t="str">
        <f>IF($B245,$B245*TreatyCatch!BF242/SUM(TreatyCatch!$BF242:$BG242,TreatyCatch!$BI242:$BJ242),"")</f>
        <v/>
      </c>
      <c r="D245" s="870" t="str">
        <f>IF($B245,$B245*TreatyCatch!BG242/SUM(TreatyCatch!$BF242:$BG242,TreatyCatch!$BI242:$BJ242),"")</f>
        <v/>
      </c>
      <c r="E245" s="871" t="str">
        <f t="shared" si="109"/>
        <v/>
      </c>
      <c r="F245" s="838" t="str">
        <f>IF($B245,$B245*TreatyCatch!BI242/SUM(TreatyCatch!$BF242:$BG242,TreatyCatch!$BI242:$BJ242),"")</f>
        <v/>
      </c>
      <c r="G245" s="866" t="str">
        <f>IF($B245,$B245*TreatyCatch!BJ242/SUM(TreatyCatch!$BF242:$BG242,TreatyCatch!$BI242:$BJ242),"")</f>
        <v/>
      </c>
      <c r="H245" s="840" t="str">
        <f t="shared" si="110"/>
        <v/>
      </c>
      <c r="I245" s="765"/>
      <c r="J245" s="852" t="str">
        <f>IF($I245,$I245*TreatyCatch!BL242/SUM(TreatyCatch!$BL242:$BM242,TreatyCatch!$BO242:$BP242),"")</f>
        <v/>
      </c>
      <c r="K245" s="853" t="str">
        <f>IF($I245,$I245*TreatyCatch!BM242/SUM(TreatyCatch!$BL242:$BM242,TreatyCatch!$BO242:$BP242),"")</f>
        <v/>
      </c>
      <c r="L245" s="846" t="str">
        <f t="shared" si="107"/>
        <v/>
      </c>
      <c r="M245" s="893" t="str">
        <f>IF($I245,$I245*TreatyCatch!BO242/SUM(TreatyCatch!$BL242:$BM242,TreatyCatch!$BO242:$BP242),"")</f>
        <v/>
      </c>
      <c r="N245" s="894" t="str">
        <f>IF($I245,$I245*TreatyCatch!BP242/SUM(TreatyCatch!$BL242:$BM242,TreatyCatch!$BO242:$BP242),"")</f>
        <v/>
      </c>
      <c r="O245" s="877" t="str">
        <f t="shared" si="108"/>
        <v/>
      </c>
      <c r="P245" s="765">
        <v>36</v>
      </c>
      <c r="Q245" s="882">
        <f>IF($P245,$P245*TreatyCatch!BR242/SUM(TreatyCatch!$BR242:$BS242,TreatyCatch!$BU242:$BV242),"")</f>
        <v>11</v>
      </c>
      <c r="R245" s="883">
        <f>IF($P245,$P245*TreatyCatch!BS242/SUM(TreatyCatch!$BR242:$BS242,TreatyCatch!$BU242:$BV242),"")</f>
        <v>5</v>
      </c>
      <c r="S245" s="871">
        <f t="shared" si="111"/>
        <v>11.44</v>
      </c>
      <c r="T245" s="858">
        <f>IF($P245,$P245*TreatyCatch!BU242/SUM(TreatyCatch!$BR242:$BS242,TreatyCatch!$BU242:$BV242),"")</f>
        <v>19</v>
      </c>
      <c r="U245" s="859">
        <f>IF($P245,$P245*TreatyCatch!BV242/SUM(TreatyCatch!$BR242:$BS242,TreatyCatch!$BU242:$BV242),"")</f>
        <v>1</v>
      </c>
      <c r="V245" s="840">
        <f t="shared" si="112"/>
        <v>19.088000000000001</v>
      </c>
      <c r="W245" s="958">
        <v>21</v>
      </c>
      <c r="X245" s="852">
        <f>IF($W245,$W245*TreatyCatch!BX242/SUM(TreatyCatch!$BX242:$BY242,TreatyCatch!$CA242:$CB242),"")</f>
        <v>13.588235294117649</v>
      </c>
      <c r="Y245" s="853">
        <f>IF($W245,$W245*TreatyCatch!BY242/SUM(TreatyCatch!$BX242:$BY242,TreatyCatch!$CA242:$CB242),"")</f>
        <v>0</v>
      </c>
      <c r="Z245" s="846">
        <f t="shared" si="113"/>
        <v>13.588235294117649</v>
      </c>
      <c r="AA245" s="893">
        <f>IF($W245,$W245*TreatyCatch!CA242/SUM(TreatyCatch!$BX242:$BY242,TreatyCatch!$CA242:$CB242),"")</f>
        <v>7.4117647058823533</v>
      </c>
      <c r="AB245" s="894">
        <f>IF($W245,$W245*TreatyCatch!CB242/SUM(TreatyCatch!$BX242:$BY242,TreatyCatch!$CA242:$CB242),"")</f>
        <v>0</v>
      </c>
      <c r="AC245" s="877">
        <f t="shared" si="114"/>
        <v>7.4117647058823533</v>
      </c>
      <c r="AD245" s="958"/>
      <c r="AE245" s="1056" t="str">
        <f>IF($AD245,$AD245*TreatyCatch!CD475/SUM(TreatyCatch!$CD475:$CE475,TreatyCatch!$CG475:$CH475),"")</f>
        <v/>
      </c>
      <c r="AF245" s="1057" t="str">
        <f>IF($AD245,$AD245*TreatyCatch!CE475/SUM(TreatyCatch!$CD475:$CE475,TreatyCatch!$CG475:$CH475),"")</f>
        <v/>
      </c>
      <c r="AG245" s="1058" t="str">
        <f t="shared" si="115"/>
        <v/>
      </c>
      <c r="AH245" s="1059" t="str">
        <f>IF($AD245,$AD245*TreatyCatch!CG475/SUM(TreatyCatch!$CD475:CE475,TreatyCatch!$CG475:$CH475),"")</f>
        <v/>
      </c>
      <c r="AI245" s="1060" t="str">
        <f>IF($AD245,$AD245*TreatyCatch!CH475/SUM(TreatyCatch!$CD475:CF475,TreatyCatch!$CG475:$CH475),"")</f>
        <v/>
      </c>
      <c r="AJ245" s="1061" t="str">
        <f t="shared" si="116"/>
        <v/>
      </c>
      <c r="AK245" s="958"/>
      <c r="AL245" s="852"/>
      <c r="AM245" s="853"/>
      <c r="AN245" s="846"/>
      <c r="AO245" s="893"/>
      <c r="AP245" s="894"/>
      <c r="AQ245" s="877"/>
      <c r="AR245" s="765"/>
      <c r="AS245" s="882"/>
      <c r="AT245" s="883"/>
      <c r="AU245" s="871"/>
      <c r="AV245" s="858"/>
      <c r="AW245" s="859"/>
      <c r="AX245" s="840"/>
      <c r="AY245" s="765"/>
      <c r="AZ245" s="852"/>
      <c r="BA245" s="853"/>
      <c r="BB245" s="846"/>
      <c r="BC245" s="893"/>
      <c r="BD245" s="894"/>
      <c r="BE245" s="877"/>
      <c r="BF245" s="765"/>
      <c r="BG245" s="882"/>
      <c r="BH245" s="883"/>
      <c r="BI245" s="871"/>
      <c r="BJ245" s="858"/>
      <c r="BK245" s="859"/>
      <c r="BL245" s="840"/>
      <c r="BM245" s="765"/>
      <c r="BN245" s="852"/>
      <c r="BO245" s="853"/>
      <c r="BP245" s="846"/>
      <c r="BQ245" s="893"/>
      <c r="BR245" s="894"/>
      <c r="BS245" s="877"/>
      <c r="BT245" s="765"/>
      <c r="BU245" s="882"/>
      <c r="BV245" s="883"/>
      <c r="BW245" s="871"/>
      <c r="BX245" s="858"/>
      <c r="BY245" s="859"/>
      <c r="BZ245" s="840"/>
      <c r="CA245" s="765"/>
      <c r="CB245" s="852"/>
      <c r="CC245" s="853"/>
      <c r="CD245" s="846"/>
      <c r="CE245" s="893"/>
      <c r="CF245" s="894"/>
      <c r="CG245" s="877"/>
      <c r="CH245" s="765"/>
      <c r="CI245" s="882"/>
      <c r="CJ245" s="883"/>
      <c r="CK245" s="871"/>
      <c r="CL245" s="858"/>
      <c r="CM245" s="859"/>
      <c r="CN245" s="840"/>
    </row>
    <row r="246" spans="1:92" x14ac:dyDescent="0.25">
      <c r="A246" s="757">
        <v>5</v>
      </c>
      <c r="B246" s="765"/>
      <c r="C246" s="870" t="str">
        <f>IF($B246,$B246*TreatyCatch!BF243/SUM(TreatyCatch!$BF243:$BG243,TreatyCatch!$BI243:$BJ243),"")</f>
        <v/>
      </c>
      <c r="D246" s="870" t="str">
        <f>IF($B246,$B246*TreatyCatch!BG243/SUM(TreatyCatch!$BF243:$BG243,TreatyCatch!$BI243:$BJ243),"")</f>
        <v/>
      </c>
      <c r="E246" s="871" t="str">
        <f t="shared" si="109"/>
        <v/>
      </c>
      <c r="F246" s="838" t="str">
        <f>IF($B246,$B246*TreatyCatch!BI243/SUM(TreatyCatch!$BF243:$BG243,TreatyCatch!$BI243:$BJ243),"")</f>
        <v/>
      </c>
      <c r="G246" s="866" t="str">
        <f>IF($B246,$B246*TreatyCatch!BJ243/SUM(TreatyCatch!$BF243:$BG243,TreatyCatch!$BI243:$BJ243),"")</f>
        <v/>
      </c>
      <c r="H246" s="840" t="str">
        <f t="shared" si="110"/>
        <v/>
      </c>
      <c r="I246" s="765"/>
      <c r="J246" s="852" t="str">
        <f>IF($I246,$I246*TreatyCatch!BL243/SUM(TreatyCatch!$BL243:$BM243,TreatyCatch!$BO243:$BP243),"")</f>
        <v/>
      </c>
      <c r="K246" s="853" t="str">
        <f>IF($I246,$I246*TreatyCatch!BM243/SUM(TreatyCatch!$BL243:$BM243,TreatyCatch!$BO243:$BP243),"")</f>
        <v/>
      </c>
      <c r="L246" s="846" t="str">
        <f t="shared" si="107"/>
        <v/>
      </c>
      <c r="M246" s="893" t="str">
        <f>IF($I246,$I246*TreatyCatch!BO243/SUM(TreatyCatch!$BL243:$BM243,TreatyCatch!$BO243:$BP243),"")</f>
        <v/>
      </c>
      <c r="N246" s="894" t="str">
        <f>IF($I246,$I246*TreatyCatch!BP243/SUM(TreatyCatch!$BL243:$BM243,TreatyCatch!$BO243:$BP243),"")</f>
        <v/>
      </c>
      <c r="O246" s="877" t="str">
        <f t="shared" si="108"/>
        <v/>
      </c>
      <c r="P246" s="765">
        <v>12</v>
      </c>
      <c r="Q246" s="882">
        <f>IF($P246,$P246*TreatyCatch!BR243/SUM(TreatyCatch!$BR243:$BS243,TreatyCatch!$BU243:$BV243),"")</f>
        <v>2</v>
      </c>
      <c r="R246" s="883">
        <f>IF($P246,$P246*TreatyCatch!BS243/SUM(TreatyCatch!$BR243:$BS243,TreatyCatch!$BU243:$BV243),"")</f>
        <v>0</v>
      </c>
      <c r="S246" s="871">
        <f t="shared" si="111"/>
        <v>2</v>
      </c>
      <c r="T246" s="858">
        <f>IF($P246,$P246*TreatyCatch!BU243/SUM(TreatyCatch!$BR243:$BS243,TreatyCatch!$BU243:$BV243),"")</f>
        <v>10</v>
      </c>
      <c r="U246" s="859">
        <f>IF($P246,$P246*TreatyCatch!BV243/SUM(TreatyCatch!$BR243:$BS243,TreatyCatch!$BU243:$BV243),"")</f>
        <v>0</v>
      </c>
      <c r="V246" s="840">
        <f t="shared" si="112"/>
        <v>10</v>
      </c>
      <c r="W246" s="958">
        <v>9</v>
      </c>
      <c r="X246" s="852">
        <f>IF($W246,$W246*TreatyCatch!BX243/SUM(TreatyCatch!$BX243:$BY243,TreatyCatch!$CA243:$CB243),"")</f>
        <v>2.5714285714285712</v>
      </c>
      <c r="Y246" s="853">
        <f>IF($W246,$W246*TreatyCatch!BY243/SUM(TreatyCatch!$BX243:$BY243,TreatyCatch!$CA243:$CB243),"")</f>
        <v>0</v>
      </c>
      <c r="Z246" s="846">
        <f t="shared" si="113"/>
        <v>2.5714285714285712</v>
      </c>
      <c r="AA246" s="893">
        <f>IF($W246,$W246*TreatyCatch!CA243/SUM(TreatyCatch!$BX243:$BY243,TreatyCatch!$CA243:$CB243),"")</f>
        <v>5.1428571428571423</v>
      </c>
      <c r="AB246" s="894">
        <f>IF($W246,$W246*TreatyCatch!CB243/SUM(TreatyCatch!$BX243:$BY243,TreatyCatch!$CA243:$CB243),"")</f>
        <v>1.2857142857142856</v>
      </c>
      <c r="AC246" s="877">
        <f t="shared" si="114"/>
        <v>5.2544571428571425</v>
      </c>
      <c r="AD246" s="958"/>
      <c r="AE246" s="1056" t="str">
        <f>IF($AD246,$AD246*TreatyCatch!CD476/SUM(TreatyCatch!$CD476:$CE476,TreatyCatch!$CG476:$CH476),"")</f>
        <v/>
      </c>
      <c r="AF246" s="1057" t="str">
        <f>IF($AD246,$AD246*TreatyCatch!CE476/SUM(TreatyCatch!$CD476:$CE476,TreatyCatch!$CG476:$CH476),"")</f>
        <v/>
      </c>
      <c r="AG246" s="1058" t="str">
        <f t="shared" si="115"/>
        <v/>
      </c>
      <c r="AH246" s="1059" t="str">
        <f>IF($AD246,$AD246*TreatyCatch!CG476/SUM(TreatyCatch!$CD476:CE476,TreatyCatch!$CG476:$CH476),"")</f>
        <v/>
      </c>
      <c r="AI246" s="1060" t="str">
        <f>IF($AD246,$AD246*TreatyCatch!CH476/SUM(TreatyCatch!$CD476:CF476,TreatyCatch!$CG476:$CH476),"")</f>
        <v/>
      </c>
      <c r="AJ246" s="1061" t="str">
        <f t="shared" si="116"/>
        <v/>
      </c>
      <c r="AK246" s="958"/>
      <c r="AL246" s="852"/>
      <c r="AM246" s="853"/>
      <c r="AN246" s="846"/>
      <c r="AO246" s="893"/>
      <c r="AP246" s="894"/>
      <c r="AQ246" s="877"/>
      <c r="AR246" s="765"/>
      <c r="AS246" s="882"/>
      <c r="AT246" s="883"/>
      <c r="AU246" s="871"/>
      <c r="AV246" s="858"/>
      <c r="AW246" s="859"/>
      <c r="AX246" s="840"/>
      <c r="AY246" s="765"/>
      <c r="AZ246" s="852"/>
      <c r="BA246" s="853"/>
      <c r="BB246" s="846"/>
      <c r="BC246" s="893"/>
      <c r="BD246" s="894"/>
      <c r="BE246" s="877"/>
      <c r="BF246" s="765"/>
      <c r="BG246" s="882"/>
      <c r="BH246" s="883"/>
      <c r="BI246" s="871"/>
      <c r="BJ246" s="858"/>
      <c r="BK246" s="859"/>
      <c r="BL246" s="840"/>
      <c r="BM246" s="765"/>
      <c r="BN246" s="852"/>
      <c r="BO246" s="853"/>
      <c r="BP246" s="846"/>
      <c r="BQ246" s="893"/>
      <c r="BR246" s="894"/>
      <c r="BS246" s="877"/>
      <c r="BT246" s="765"/>
      <c r="BU246" s="882"/>
      <c r="BV246" s="883"/>
      <c r="BW246" s="871"/>
      <c r="BX246" s="858"/>
      <c r="BY246" s="859"/>
      <c r="BZ246" s="840"/>
      <c r="CA246" s="765"/>
      <c r="CB246" s="852"/>
      <c r="CC246" s="853"/>
      <c r="CD246" s="846"/>
      <c r="CE246" s="893"/>
      <c r="CF246" s="894"/>
      <c r="CG246" s="877"/>
      <c r="CH246" s="765"/>
      <c r="CI246" s="882"/>
      <c r="CJ246" s="883"/>
      <c r="CK246" s="871"/>
      <c r="CL246" s="858"/>
      <c r="CM246" s="859"/>
      <c r="CN246" s="840"/>
    </row>
    <row r="247" spans="1:92" x14ac:dyDescent="0.25">
      <c r="A247" s="757">
        <v>6</v>
      </c>
      <c r="B247" s="765"/>
      <c r="C247" s="870" t="str">
        <f>IF($B247,$B247*TreatyCatch!BF244/SUM(TreatyCatch!$BF244:$BG244,TreatyCatch!$BI244:$BJ244),"")</f>
        <v/>
      </c>
      <c r="D247" s="870" t="str">
        <f>IF($B247,$B247*TreatyCatch!BG244/SUM(TreatyCatch!$BF244:$BG244,TreatyCatch!$BI244:$BJ244),"")</f>
        <v/>
      </c>
      <c r="E247" s="871" t="str">
        <f t="shared" si="109"/>
        <v/>
      </c>
      <c r="F247" s="838" t="str">
        <f>IF($B247,$B247*TreatyCatch!BI244/SUM(TreatyCatch!$BF244:$BG244,TreatyCatch!$BI244:$BJ244),"")</f>
        <v/>
      </c>
      <c r="G247" s="866" t="str">
        <f>IF($B247,$B247*TreatyCatch!BJ244/SUM(TreatyCatch!$BF244:$BG244,TreatyCatch!$BI244:$BJ244),"")</f>
        <v/>
      </c>
      <c r="H247" s="840" t="str">
        <f t="shared" si="110"/>
        <v/>
      </c>
      <c r="I247" s="765"/>
      <c r="J247" s="852" t="str">
        <f>IF($I247,$I247*TreatyCatch!BL244/SUM(TreatyCatch!$BL244:$BM244,TreatyCatch!$BO244:$BP244),"")</f>
        <v/>
      </c>
      <c r="K247" s="853" t="str">
        <f>IF($I247,$I247*TreatyCatch!BM244/SUM(TreatyCatch!$BL244:$BM244,TreatyCatch!$BO244:$BP244),"")</f>
        <v/>
      </c>
      <c r="L247" s="846" t="str">
        <f t="shared" si="107"/>
        <v/>
      </c>
      <c r="M247" s="893" t="str">
        <f>IF($I247,$I247*TreatyCatch!BO244/SUM(TreatyCatch!$BL244:$BM244,TreatyCatch!$BO244:$BP244),"")</f>
        <v/>
      </c>
      <c r="N247" s="894" t="str">
        <f>IF($I247,$I247*TreatyCatch!BP244/SUM(TreatyCatch!$BL244:$BM244,TreatyCatch!$BO244:$BP244),"")</f>
        <v/>
      </c>
      <c r="O247" s="877" t="str">
        <f t="shared" si="108"/>
        <v/>
      </c>
      <c r="P247" s="765">
        <v>22</v>
      </c>
      <c r="Q247" s="882">
        <f>IF($P247,$P247*TreatyCatch!BR244/SUM(TreatyCatch!$BR244:$BS244,TreatyCatch!$BU244:$BV244),"")</f>
        <v>1</v>
      </c>
      <c r="R247" s="883">
        <f>IF($P247,$P247*TreatyCatch!BS244/SUM(TreatyCatch!$BR244:$BS244,TreatyCatch!$BU244:$BV244),"")</f>
        <v>3</v>
      </c>
      <c r="S247" s="871">
        <f t="shared" si="111"/>
        <v>1.264</v>
      </c>
      <c r="T247" s="858">
        <f>IF($P247,$P247*TreatyCatch!BU244/SUM(TreatyCatch!$BR244:$BS244,TreatyCatch!$BU244:$BV244),"")</f>
        <v>18</v>
      </c>
      <c r="U247" s="859">
        <f>IF($P247,$P247*TreatyCatch!BV244/SUM(TreatyCatch!$BR244:$BS244,TreatyCatch!$BU244:$BV244),"")</f>
        <v>0</v>
      </c>
      <c r="V247" s="840">
        <f t="shared" si="112"/>
        <v>18</v>
      </c>
      <c r="W247" s="958">
        <v>3</v>
      </c>
      <c r="X247" s="852">
        <f>IF($W247,$W247*TreatyCatch!BX244/SUM(TreatyCatch!$BX244:$BY244,TreatyCatch!$CA244:$CB244),"")</f>
        <v>0.85714285714285721</v>
      </c>
      <c r="Y247" s="853">
        <f>IF($W247,$W247*TreatyCatch!BY244/SUM(TreatyCatch!$BX244:$BY244,TreatyCatch!$CA244:$CB244),"")</f>
        <v>0</v>
      </c>
      <c r="Z247" s="846">
        <f t="shared" si="113"/>
        <v>0.85714285714285721</v>
      </c>
      <c r="AA247" s="893">
        <f>IF($W247,$W247*TreatyCatch!CA244/SUM(TreatyCatch!$BX244:$BY244,TreatyCatch!$CA244:$CB244),"")</f>
        <v>1.7142857142857144</v>
      </c>
      <c r="AB247" s="894">
        <f>IF($W247,$W247*TreatyCatch!CB244/SUM(TreatyCatch!$BX244:$BY244,TreatyCatch!$CA244:$CB244),"")</f>
        <v>0.4285714285714286</v>
      </c>
      <c r="AC247" s="877">
        <f t="shared" si="114"/>
        <v>1.7514857142857143</v>
      </c>
      <c r="AD247" s="958"/>
      <c r="AE247" s="1056" t="str">
        <f>IF($AD247,$AD247*TreatyCatch!CD477/SUM(TreatyCatch!$CD477:$CE477,TreatyCatch!$CG477:$CH477),"")</f>
        <v/>
      </c>
      <c r="AF247" s="1057" t="str">
        <f>IF($AD247,$AD247*TreatyCatch!CE477/SUM(TreatyCatch!$CD477:$CE477,TreatyCatch!$CG477:$CH477),"")</f>
        <v/>
      </c>
      <c r="AG247" s="1058" t="str">
        <f t="shared" si="115"/>
        <v/>
      </c>
      <c r="AH247" s="1059" t="str">
        <f>IF($AD247,$AD247*TreatyCatch!CG477/SUM(TreatyCatch!$CD477:CE477,TreatyCatch!$CG477:$CH477),"")</f>
        <v/>
      </c>
      <c r="AI247" s="1060" t="str">
        <f>IF($AD247,$AD247*TreatyCatch!CH477/SUM(TreatyCatch!$CD477:CF477,TreatyCatch!$CG477:$CH477),"")</f>
        <v/>
      </c>
      <c r="AJ247" s="1061" t="str">
        <f t="shared" si="116"/>
        <v/>
      </c>
      <c r="AK247" s="958"/>
      <c r="AL247" s="852"/>
      <c r="AM247" s="853"/>
      <c r="AN247" s="846"/>
      <c r="AO247" s="893"/>
      <c r="AP247" s="894"/>
      <c r="AQ247" s="877"/>
      <c r="AR247" s="765"/>
      <c r="AS247" s="882"/>
      <c r="AT247" s="883"/>
      <c r="AU247" s="871"/>
      <c r="AV247" s="858"/>
      <c r="AW247" s="859"/>
      <c r="AX247" s="840"/>
      <c r="AY247" s="765"/>
      <c r="AZ247" s="852"/>
      <c r="BA247" s="853"/>
      <c r="BB247" s="846"/>
      <c r="BC247" s="893"/>
      <c r="BD247" s="894"/>
      <c r="BE247" s="877"/>
      <c r="BF247" s="765"/>
      <c r="BG247" s="882"/>
      <c r="BH247" s="883"/>
      <c r="BI247" s="871"/>
      <c r="BJ247" s="858"/>
      <c r="BK247" s="859"/>
      <c r="BL247" s="840"/>
      <c r="BM247" s="765"/>
      <c r="BN247" s="852"/>
      <c r="BO247" s="853"/>
      <c r="BP247" s="846"/>
      <c r="BQ247" s="893"/>
      <c r="BR247" s="894"/>
      <c r="BS247" s="877"/>
      <c r="BT247" s="765"/>
      <c r="BU247" s="882"/>
      <c r="BV247" s="883"/>
      <c r="BW247" s="871"/>
      <c r="BX247" s="858"/>
      <c r="BY247" s="859"/>
      <c r="BZ247" s="840"/>
      <c r="CA247" s="765"/>
      <c r="CB247" s="852"/>
      <c r="CC247" s="853"/>
      <c r="CD247" s="846"/>
      <c r="CE247" s="893"/>
      <c r="CF247" s="894"/>
      <c r="CG247" s="877"/>
      <c r="CH247" s="765"/>
      <c r="CI247" s="882"/>
      <c r="CJ247" s="883"/>
      <c r="CK247" s="871"/>
      <c r="CL247" s="858"/>
      <c r="CM247" s="859"/>
      <c r="CN247" s="840"/>
    </row>
    <row r="248" spans="1:92" x14ac:dyDescent="0.25">
      <c r="A248" s="757">
        <v>7</v>
      </c>
      <c r="B248" s="765"/>
      <c r="C248" s="870" t="str">
        <f>IF($B248,$B248*TreatyCatch!BF245/SUM(TreatyCatch!$BF245:$BG245,TreatyCatch!$BI245:$BJ245),"")</f>
        <v/>
      </c>
      <c r="D248" s="870" t="str">
        <f>IF($B248,$B248*TreatyCatch!BG245/SUM(TreatyCatch!$BF245:$BG245,TreatyCatch!$BI245:$BJ245),"")</f>
        <v/>
      </c>
      <c r="E248" s="871" t="str">
        <f t="shared" si="109"/>
        <v/>
      </c>
      <c r="F248" s="838" t="str">
        <f>IF($B248,$B248*TreatyCatch!BI245/SUM(TreatyCatch!$BF245:$BG245,TreatyCatch!$BI245:$BJ245),"")</f>
        <v/>
      </c>
      <c r="G248" s="866" t="str">
        <f>IF($B248,$B248*TreatyCatch!BJ245/SUM(TreatyCatch!$BF245:$BG245,TreatyCatch!$BI245:$BJ245),"")</f>
        <v/>
      </c>
      <c r="H248" s="840" t="str">
        <f t="shared" si="110"/>
        <v/>
      </c>
      <c r="I248" s="765"/>
      <c r="J248" s="852" t="str">
        <f>IF($I248,$I248*TreatyCatch!BL245/SUM(TreatyCatch!$BL245:$BM245,TreatyCatch!$BO245:$BP245),"")</f>
        <v/>
      </c>
      <c r="K248" s="853" t="str">
        <f>IF($I248,$I248*TreatyCatch!BM245/SUM(TreatyCatch!$BL245:$BM245,TreatyCatch!$BO245:$BP245),"")</f>
        <v/>
      </c>
      <c r="L248" s="846" t="str">
        <f t="shared" si="107"/>
        <v/>
      </c>
      <c r="M248" s="893" t="str">
        <f>IF($I248,$I248*TreatyCatch!BO245/SUM(TreatyCatch!$BL245:$BM245,TreatyCatch!$BO245:$BP245),"")</f>
        <v/>
      </c>
      <c r="N248" s="894" t="str">
        <f>IF($I248,$I248*TreatyCatch!BP245/SUM(TreatyCatch!$BL245:$BM245,TreatyCatch!$BO245:$BP245),"")</f>
        <v/>
      </c>
      <c r="O248" s="877" t="str">
        <f t="shared" si="108"/>
        <v/>
      </c>
      <c r="P248" s="765">
        <v>59</v>
      </c>
      <c r="Q248" s="882">
        <f>IF($P248,$P248*TreatyCatch!BR245/SUM(TreatyCatch!$BR245:$BS245,TreatyCatch!$BU245:$BV245),"")</f>
        <v>6.1034482758620694</v>
      </c>
      <c r="R248" s="883">
        <f>IF($P248,$P248*TreatyCatch!BS245/SUM(TreatyCatch!$BR245:$BS245,TreatyCatch!$BU245:$BV245),"")</f>
        <v>4.0689655172413799</v>
      </c>
      <c r="S248" s="871">
        <f t="shared" si="111"/>
        <v>6.4615172413793109</v>
      </c>
      <c r="T248" s="858">
        <f>IF($P248,$P248*TreatyCatch!BU245/SUM(TreatyCatch!$BR245:$BS245,TreatyCatch!$BU245:$BV245),"")</f>
        <v>47.810344827586214</v>
      </c>
      <c r="U248" s="859">
        <f>IF($P248,$P248*TreatyCatch!BV245/SUM(TreatyCatch!$BR245:$BS245,TreatyCatch!$BU245:$BV245),"")</f>
        <v>1.017241379310345</v>
      </c>
      <c r="V248" s="840">
        <f t="shared" si="112"/>
        <v>47.899862068965525</v>
      </c>
      <c r="W248" s="958"/>
      <c r="X248" s="852" t="str">
        <f>IF($W248,$W248*TreatyCatch!BX245/SUM(TreatyCatch!$BX245:$BY245,TreatyCatch!$CA245:$CB245),"")</f>
        <v/>
      </c>
      <c r="Y248" s="853" t="str">
        <f>IF($W248,$W248*TreatyCatch!BY245/SUM(TreatyCatch!$BX245:$BY245,TreatyCatch!$CA245:$CB245),"")</f>
        <v/>
      </c>
      <c r="Z248" s="846" t="str">
        <f t="shared" si="113"/>
        <v/>
      </c>
      <c r="AA248" s="893" t="str">
        <f>IF($W248,$W248*TreatyCatch!CA245/SUM(TreatyCatch!$BX245:$BY245,TreatyCatch!$CA245:$CB245),"")</f>
        <v/>
      </c>
      <c r="AB248" s="894" t="str">
        <f>IF($W248,$W248*TreatyCatch!CB245/SUM(TreatyCatch!$BX245:$BY245,TreatyCatch!$CA245:$CB245),"")</f>
        <v/>
      </c>
      <c r="AC248" s="877" t="str">
        <f t="shared" si="114"/>
        <v/>
      </c>
      <c r="AD248" s="958"/>
      <c r="AE248" s="1056" t="str">
        <f>IF($AD248,$AD248*TreatyCatch!CD478/SUM(TreatyCatch!$CD478:$CE478,TreatyCatch!$CG478:$CH478),"")</f>
        <v/>
      </c>
      <c r="AF248" s="1057" t="str">
        <f>IF($AD248,$AD248*TreatyCatch!CE478/SUM(TreatyCatch!$CD478:$CE478,TreatyCatch!$CG478:$CH478),"")</f>
        <v/>
      </c>
      <c r="AG248" s="1058" t="str">
        <f t="shared" si="115"/>
        <v/>
      </c>
      <c r="AH248" s="1059" t="str">
        <f>IF($AD248,$AD248*TreatyCatch!CG478/SUM(TreatyCatch!$CD478:CE478,TreatyCatch!$CG478:$CH478),"")</f>
        <v/>
      </c>
      <c r="AI248" s="1060" t="str">
        <f>IF($AD248,$AD248*TreatyCatch!CH478/SUM(TreatyCatch!$CD478:CF478,TreatyCatch!$CG478:$CH478),"")</f>
        <v/>
      </c>
      <c r="AJ248" s="1061" t="str">
        <f t="shared" si="116"/>
        <v/>
      </c>
      <c r="AK248" s="958"/>
      <c r="AL248" s="852"/>
      <c r="AM248" s="853"/>
      <c r="AN248" s="846"/>
      <c r="AO248" s="893"/>
      <c r="AP248" s="894"/>
      <c r="AQ248" s="877"/>
      <c r="AR248" s="765"/>
      <c r="AS248" s="882"/>
      <c r="AT248" s="883"/>
      <c r="AU248" s="871"/>
      <c r="AV248" s="858"/>
      <c r="AW248" s="859"/>
      <c r="AX248" s="840"/>
      <c r="AY248" s="765"/>
      <c r="AZ248" s="852"/>
      <c r="BA248" s="853"/>
      <c r="BB248" s="846"/>
      <c r="BC248" s="893"/>
      <c r="BD248" s="894"/>
      <c r="BE248" s="877"/>
      <c r="BF248" s="765"/>
      <c r="BG248" s="882"/>
      <c r="BH248" s="883"/>
      <c r="BI248" s="871"/>
      <c r="BJ248" s="858"/>
      <c r="BK248" s="859"/>
      <c r="BL248" s="840"/>
      <c r="BM248" s="765"/>
      <c r="BN248" s="852"/>
      <c r="BO248" s="853"/>
      <c r="BP248" s="846"/>
      <c r="BQ248" s="893"/>
      <c r="BR248" s="894"/>
      <c r="BS248" s="877"/>
      <c r="BT248" s="765"/>
      <c r="BU248" s="882"/>
      <c r="BV248" s="883"/>
      <c r="BW248" s="871"/>
      <c r="BX248" s="858"/>
      <c r="BY248" s="859"/>
      <c r="BZ248" s="840"/>
      <c r="CA248" s="765"/>
      <c r="CB248" s="852"/>
      <c r="CC248" s="853"/>
      <c r="CD248" s="846"/>
      <c r="CE248" s="893"/>
      <c r="CF248" s="894"/>
      <c r="CG248" s="877"/>
      <c r="CH248" s="765"/>
      <c r="CI248" s="882"/>
      <c r="CJ248" s="883"/>
      <c r="CK248" s="871"/>
      <c r="CL248" s="858"/>
      <c r="CM248" s="859"/>
      <c r="CN248" s="840"/>
    </row>
    <row r="249" spans="1:92" x14ac:dyDescent="0.25">
      <c r="A249" s="757">
        <v>8</v>
      </c>
      <c r="B249" s="765"/>
      <c r="C249" s="870" t="str">
        <f>IF($B249,$B249*TreatyCatch!BF246/SUM(TreatyCatch!$BF246:$BG246,TreatyCatch!$BI246:$BJ246),"")</f>
        <v/>
      </c>
      <c r="D249" s="870" t="str">
        <f>IF($B249,$B249*TreatyCatch!BG246/SUM(TreatyCatch!$BF246:$BG246,TreatyCatch!$BI246:$BJ246),"")</f>
        <v/>
      </c>
      <c r="E249" s="871" t="str">
        <f t="shared" si="109"/>
        <v/>
      </c>
      <c r="F249" s="838" t="str">
        <f>IF($B249,$B249*TreatyCatch!BI246/SUM(TreatyCatch!$BF246:$BG246,TreatyCatch!$BI246:$BJ246),"")</f>
        <v/>
      </c>
      <c r="G249" s="866" t="str">
        <f>IF($B249,$B249*TreatyCatch!BJ246/SUM(TreatyCatch!$BF246:$BG246,TreatyCatch!$BI246:$BJ246),"")</f>
        <v/>
      </c>
      <c r="H249" s="840" t="str">
        <f t="shared" si="110"/>
        <v/>
      </c>
      <c r="I249" s="765"/>
      <c r="J249" s="852" t="str">
        <f>IF($I249,$I249*TreatyCatch!BL246/SUM(TreatyCatch!$BL246:$BM246,TreatyCatch!$BO246:$BP246),"")</f>
        <v/>
      </c>
      <c r="K249" s="853" t="str">
        <f>IF($I249,$I249*TreatyCatch!BM246/SUM(TreatyCatch!$BL246:$BM246,TreatyCatch!$BO246:$BP246),"")</f>
        <v/>
      </c>
      <c r="L249" s="846" t="str">
        <f t="shared" si="107"/>
        <v/>
      </c>
      <c r="M249" s="893" t="str">
        <f>IF($I249,$I249*TreatyCatch!BO246/SUM(TreatyCatch!$BL246:$BM246,TreatyCatch!$BO246:$BP246),"")</f>
        <v/>
      </c>
      <c r="N249" s="894" t="str">
        <f>IF($I249,$I249*TreatyCatch!BP246/SUM(TreatyCatch!$BL246:$BM246,TreatyCatch!$BO246:$BP246),"")</f>
        <v/>
      </c>
      <c r="O249" s="877" t="str">
        <f t="shared" si="108"/>
        <v/>
      </c>
      <c r="P249" s="765"/>
      <c r="Q249" s="882" t="str">
        <f>IF($P249,$P249*TreatyCatch!BR246/SUM(TreatyCatch!$BR246:$BS246,TreatyCatch!$BU246:$BV246),"")</f>
        <v/>
      </c>
      <c r="R249" s="883" t="str">
        <f>IF($P249,$P249*TreatyCatch!BS246/SUM(TreatyCatch!$BR246:$BS246,TreatyCatch!$BU246:$BV246),"")</f>
        <v/>
      </c>
      <c r="S249" s="871" t="str">
        <f t="shared" si="111"/>
        <v/>
      </c>
      <c r="T249" s="858" t="str">
        <f>IF($P249,$P249*TreatyCatch!BU246/SUM(TreatyCatch!$BR246:$BS246,TreatyCatch!$BU246:$BV246),"")</f>
        <v/>
      </c>
      <c r="U249" s="859" t="str">
        <f>IF($P249,$P249*TreatyCatch!BV246/SUM(TreatyCatch!$BR246:$BS246,TreatyCatch!$BU246:$BV246),"")</f>
        <v/>
      </c>
      <c r="V249" s="840" t="str">
        <f t="shared" si="112"/>
        <v/>
      </c>
      <c r="W249" s="958"/>
      <c r="X249" s="852" t="str">
        <f>IF($W249,$W249*TreatyCatch!BX246/SUM(TreatyCatch!$BX246:$BY246,TreatyCatch!$CA246:$CB246),"")</f>
        <v/>
      </c>
      <c r="Y249" s="853" t="str">
        <f>IF($W249,$W249*TreatyCatch!BY246/SUM(TreatyCatch!$BX246:$BY246,TreatyCatch!$CA246:$CB246),"")</f>
        <v/>
      </c>
      <c r="Z249" s="846" t="str">
        <f t="shared" si="113"/>
        <v/>
      </c>
      <c r="AA249" s="893" t="str">
        <f>IF($W249,$W249*TreatyCatch!CA246/SUM(TreatyCatch!$BX246:$BY246,TreatyCatch!$CA246:$CB246),"")</f>
        <v/>
      </c>
      <c r="AB249" s="894" t="str">
        <f>IF($W249,$W249*TreatyCatch!CB246/SUM(TreatyCatch!$BX246:$BY246,TreatyCatch!$CA246:$CB246),"")</f>
        <v/>
      </c>
      <c r="AC249" s="877" t="str">
        <f t="shared" si="114"/>
        <v/>
      </c>
      <c r="AD249" s="958"/>
      <c r="AE249" s="1056" t="str">
        <f>IF($AD249,$AD249*TreatyCatch!CD479/SUM(TreatyCatch!$CD479:$CE479,TreatyCatch!$CG479:$CH479),"")</f>
        <v/>
      </c>
      <c r="AF249" s="1057" t="str">
        <f>IF($AD249,$AD249*TreatyCatch!CE479/SUM(TreatyCatch!$CD479:$CE479,TreatyCatch!$CG479:$CH479),"")</f>
        <v/>
      </c>
      <c r="AG249" s="1058" t="str">
        <f t="shared" si="115"/>
        <v/>
      </c>
      <c r="AH249" s="1059" t="str">
        <f>IF($AD249,$AD249*TreatyCatch!CG479/SUM(TreatyCatch!$CD479:CE479,TreatyCatch!$CG479:$CH479),"")</f>
        <v/>
      </c>
      <c r="AI249" s="1060" t="str">
        <f>IF($AD249,$AD249*TreatyCatch!CH479/SUM(TreatyCatch!$CD479:CF479,TreatyCatch!$CG479:$CH479),"")</f>
        <v/>
      </c>
      <c r="AJ249" s="1061" t="str">
        <f t="shared" si="116"/>
        <v/>
      </c>
      <c r="AK249" s="958"/>
      <c r="AL249" s="852"/>
      <c r="AM249" s="853"/>
      <c r="AN249" s="846"/>
      <c r="AO249" s="893"/>
      <c r="AP249" s="894"/>
      <c r="AQ249" s="877"/>
      <c r="AR249" s="765"/>
      <c r="AS249" s="882"/>
      <c r="AT249" s="883"/>
      <c r="AU249" s="871"/>
      <c r="AV249" s="858"/>
      <c r="AW249" s="859"/>
      <c r="AX249" s="840"/>
      <c r="AY249" s="1657">
        <f>SUM(AZ249:BA249,BC249:BD249)</f>
        <v>67</v>
      </c>
      <c r="AZ249" s="852">
        <v>0</v>
      </c>
      <c r="BA249" s="853">
        <v>0</v>
      </c>
      <c r="BB249" s="1073">
        <f>IFERROR(AZ249+BD$5*BA249,"")</f>
        <v>0</v>
      </c>
      <c r="BC249" s="893">
        <v>58.3</v>
      </c>
      <c r="BD249" s="894">
        <v>8.6999999999999993</v>
      </c>
      <c r="BE249" s="1080">
        <f>IFERROR(BC249+BD$5*BD249,"")</f>
        <v>59.077779999999997</v>
      </c>
      <c r="BF249" s="765"/>
      <c r="BG249" s="882"/>
      <c r="BH249" s="883"/>
      <c r="BI249" s="871"/>
      <c r="BJ249" s="858"/>
      <c r="BK249" s="859"/>
      <c r="BL249" s="840"/>
      <c r="BM249" s="1687">
        <f>SUM(BN249:BO250,BQ249:BR249)</f>
        <v>8</v>
      </c>
      <c r="BN249" s="852">
        <v>0</v>
      </c>
      <c r="BO249" s="853">
        <v>0</v>
      </c>
      <c r="BP249" s="1073">
        <f>BN249+BO249*BR$5</f>
        <v>0</v>
      </c>
      <c r="BQ249" s="893">
        <v>8</v>
      </c>
      <c r="BR249" s="894">
        <v>0</v>
      </c>
      <c r="BS249" s="1080">
        <f>BQ249+BR249*BR$5</f>
        <v>8</v>
      </c>
      <c r="BT249" s="765"/>
      <c r="BU249" s="882"/>
      <c r="BV249" s="883"/>
      <c r="BW249" s="871"/>
      <c r="BX249" s="858"/>
      <c r="BY249" s="859"/>
      <c r="BZ249" s="840"/>
      <c r="CA249" s="1657"/>
      <c r="CB249" s="852"/>
      <c r="CC249" s="853"/>
      <c r="CD249" s="1073"/>
      <c r="CE249" s="893"/>
      <c r="CF249" s="894"/>
      <c r="CG249" s="1080"/>
      <c r="CH249" s="765"/>
      <c r="CI249" s="882"/>
      <c r="CJ249" s="883"/>
      <c r="CK249" s="871"/>
      <c r="CL249" s="858"/>
      <c r="CM249" s="859"/>
      <c r="CN249" s="840"/>
    </row>
    <row r="250" spans="1:92" x14ac:dyDescent="0.25">
      <c r="A250" s="757">
        <v>9</v>
      </c>
      <c r="B250" s="765"/>
      <c r="C250" s="870" t="str">
        <f>IF($B250,$B250*TreatyCatch!BF247/SUM(TreatyCatch!$BF247:$BG247,TreatyCatch!$BI247:$BJ247),"")</f>
        <v/>
      </c>
      <c r="D250" s="870" t="str">
        <f>IF($B250,$B250*TreatyCatch!BG247/SUM(TreatyCatch!$BF247:$BG247,TreatyCatch!$BI247:$BJ247),"")</f>
        <v/>
      </c>
      <c r="E250" s="871" t="str">
        <f t="shared" si="109"/>
        <v/>
      </c>
      <c r="F250" s="838" t="str">
        <f>IF($B250,$B250*TreatyCatch!BI247/SUM(TreatyCatch!$BF247:$BG247,TreatyCatch!$BI247:$BJ247),"")</f>
        <v/>
      </c>
      <c r="G250" s="866" t="str">
        <f>IF($B250,$B250*TreatyCatch!BJ247/SUM(TreatyCatch!$BF247:$BG247,TreatyCatch!$BI247:$BJ247),"")</f>
        <v/>
      </c>
      <c r="H250" s="840" t="str">
        <f t="shared" si="110"/>
        <v/>
      </c>
      <c r="I250" s="765"/>
      <c r="J250" s="852" t="str">
        <f>IF($I250,$I250*TreatyCatch!BL247/SUM(TreatyCatch!$BL247:$BM247,TreatyCatch!$BO247:$BP247),"")</f>
        <v/>
      </c>
      <c r="K250" s="853" t="str">
        <f>IF($I250,$I250*TreatyCatch!BM247/SUM(TreatyCatch!$BL247:$BM247,TreatyCatch!$BO247:$BP247),"")</f>
        <v/>
      </c>
      <c r="L250" s="846" t="str">
        <f t="shared" si="107"/>
        <v/>
      </c>
      <c r="M250" s="893" t="str">
        <f>IF($I250,$I250*TreatyCatch!BO247/SUM(TreatyCatch!$BL247:$BM247,TreatyCatch!$BO247:$BP247),"")</f>
        <v/>
      </c>
      <c r="N250" s="894" t="str">
        <f>IF($I250,$I250*TreatyCatch!BP247/SUM(TreatyCatch!$BL247:$BM247,TreatyCatch!$BO247:$BP247),"")</f>
        <v/>
      </c>
      <c r="O250" s="877" t="str">
        <f t="shared" si="108"/>
        <v/>
      </c>
      <c r="P250" s="765"/>
      <c r="Q250" s="882" t="str">
        <f>IF($P250,$P250*TreatyCatch!BR247/SUM(TreatyCatch!$BR247:$BS247,TreatyCatch!$BU247:$BV247),"")</f>
        <v/>
      </c>
      <c r="R250" s="883" t="str">
        <f>IF($P250,$P250*TreatyCatch!BS247/SUM(TreatyCatch!$BR247:$BS247,TreatyCatch!$BU247:$BV247),"")</f>
        <v/>
      </c>
      <c r="S250" s="871" t="str">
        <f t="shared" si="111"/>
        <v/>
      </c>
      <c r="T250" s="858" t="str">
        <f>IF($P250,$P250*TreatyCatch!BU247/SUM(TreatyCatch!$BR247:$BS247,TreatyCatch!$BU247:$BV247),"")</f>
        <v/>
      </c>
      <c r="U250" s="859" t="str">
        <f>IF($P250,$P250*TreatyCatch!BV247/SUM(TreatyCatch!$BR247:$BS247,TreatyCatch!$BU247:$BV247),"")</f>
        <v/>
      </c>
      <c r="V250" s="840" t="str">
        <f t="shared" si="112"/>
        <v/>
      </c>
      <c r="W250" s="958"/>
      <c r="X250" s="852" t="str">
        <f>IF($W250,$W250*TreatyCatch!BX247/SUM(TreatyCatch!$BX247:$BY247,TreatyCatch!$CA247:$CB247),"")</f>
        <v/>
      </c>
      <c r="Y250" s="853" t="str">
        <f>IF($W250,$W250*TreatyCatch!BY247/SUM(TreatyCatch!$BX247:$BY247,TreatyCatch!$CA247:$CB247),"")</f>
        <v/>
      </c>
      <c r="Z250" s="846" t="str">
        <f t="shared" si="113"/>
        <v/>
      </c>
      <c r="AA250" s="893" t="str">
        <f>IF($W250,$W250*TreatyCatch!CA247/SUM(TreatyCatch!$BX247:$BY247,TreatyCatch!$CA247:$CB247),"")</f>
        <v/>
      </c>
      <c r="AB250" s="894" t="str">
        <f>IF($W250,$W250*TreatyCatch!CB247/SUM(TreatyCatch!$BX247:$BY247,TreatyCatch!$CA247:$CB247),"")</f>
        <v/>
      </c>
      <c r="AC250" s="877" t="str">
        <f t="shared" si="114"/>
        <v/>
      </c>
      <c r="AD250" s="958"/>
      <c r="AE250" s="1056" t="str">
        <f>IF($AD250,$AD250*TreatyCatch!CD480/SUM(TreatyCatch!$CD480:$CE480,TreatyCatch!$CG480:$CH480),"")</f>
        <v/>
      </c>
      <c r="AF250" s="1057" t="str">
        <f>IF($AD250,$AD250*TreatyCatch!CE480/SUM(TreatyCatch!$CD480:$CE480,TreatyCatch!$CG480:$CH480),"")</f>
        <v/>
      </c>
      <c r="AG250" s="1058" t="str">
        <f t="shared" si="115"/>
        <v/>
      </c>
      <c r="AH250" s="1059" t="str">
        <f>IF($AD250,$AD250*TreatyCatch!CG480/SUM(TreatyCatch!$CD480:CE480,TreatyCatch!$CG480:$CH480),"")</f>
        <v/>
      </c>
      <c r="AI250" s="1060" t="str">
        <f>IF($AD250,$AD250*TreatyCatch!CH480/SUM(TreatyCatch!$CD480:CF480,TreatyCatch!$CG480:$CH480),"")</f>
        <v/>
      </c>
      <c r="AJ250" s="1061" t="str">
        <f t="shared" si="116"/>
        <v/>
      </c>
      <c r="AK250" s="958"/>
      <c r="AL250" s="852"/>
      <c r="AM250" s="853"/>
      <c r="AN250" s="846"/>
      <c r="AO250" s="893"/>
      <c r="AP250" s="894"/>
      <c r="AQ250" s="877"/>
      <c r="AR250" s="765"/>
      <c r="AS250" s="882"/>
      <c r="AT250" s="883"/>
      <c r="AU250" s="871"/>
      <c r="AV250" s="858"/>
      <c r="AW250" s="859"/>
      <c r="AX250" s="840"/>
      <c r="AY250" s="765"/>
      <c r="AZ250" s="852"/>
      <c r="BA250" s="853"/>
      <c r="BB250" s="846"/>
      <c r="BC250" s="893"/>
      <c r="BD250" s="894"/>
      <c r="BE250" s="877"/>
      <c r="BF250" s="765"/>
      <c r="BG250" s="882"/>
      <c r="BH250" s="883"/>
      <c r="BI250" s="871"/>
      <c r="BJ250" s="858"/>
      <c r="BK250" s="859"/>
      <c r="BL250" s="840"/>
      <c r="BM250" s="1687"/>
      <c r="BN250" s="852"/>
      <c r="BO250" s="853"/>
      <c r="BP250" s="1073"/>
      <c r="BQ250" s="893"/>
      <c r="BR250" s="894"/>
      <c r="BS250" s="1080"/>
      <c r="BT250" s="765"/>
      <c r="BU250" s="882"/>
      <c r="BV250" s="883"/>
      <c r="BW250" s="871"/>
      <c r="BX250" s="858"/>
      <c r="BY250" s="859"/>
      <c r="BZ250" s="840"/>
      <c r="CA250" s="765"/>
      <c r="CB250" s="852"/>
      <c r="CC250" s="853"/>
      <c r="CD250" s="846"/>
      <c r="CE250" s="893"/>
      <c r="CF250" s="894"/>
      <c r="CG250" s="877"/>
      <c r="CH250" s="765"/>
      <c r="CI250" s="882"/>
      <c r="CJ250" s="883"/>
      <c r="CK250" s="871"/>
      <c r="CL250" s="858"/>
      <c r="CM250" s="859"/>
      <c r="CN250" s="840"/>
    </row>
    <row r="251" spans="1:92" x14ac:dyDescent="0.25">
      <c r="A251" s="757">
        <v>10</v>
      </c>
      <c r="B251" s="765"/>
      <c r="C251" s="870" t="str">
        <f>IF($B251,$B251*TreatyCatch!BF248/SUM(TreatyCatch!$BF248:$BG248,TreatyCatch!$BI248:$BJ248),"")</f>
        <v/>
      </c>
      <c r="D251" s="870" t="str">
        <f>IF($B251,$B251*TreatyCatch!BG248/SUM(TreatyCatch!$BF248:$BG248,TreatyCatch!$BI248:$BJ248),"")</f>
        <v/>
      </c>
      <c r="E251" s="871" t="str">
        <f t="shared" si="109"/>
        <v/>
      </c>
      <c r="F251" s="838" t="str">
        <f>IF($B251,$B251*TreatyCatch!BI248/SUM(TreatyCatch!$BF248:$BG248,TreatyCatch!$BI248:$BJ248),"")</f>
        <v/>
      </c>
      <c r="G251" s="866" t="str">
        <f>IF($B251,$B251*TreatyCatch!BJ248/SUM(TreatyCatch!$BF248:$BG248,TreatyCatch!$BI248:$BJ248),"")</f>
        <v/>
      </c>
      <c r="H251" s="840" t="str">
        <f t="shared" si="110"/>
        <v/>
      </c>
      <c r="I251" s="765"/>
      <c r="J251" s="852" t="str">
        <f>IF($I251,$I251*TreatyCatch!BL248/SUM(TreatyCatch!$BL248:$BM248,TreatyCatch!$BO248:$BP248),"")</f>
        <v/>
      </c>
      <c r="K251" s="853" t="str">
        <f>IF($I251,$I251*TreatyCatch!BM248/SUM(TreatyCatch!$BL248:$BM248,TreatyCatch!$BO248:$BP248),"")</f>
        <v/>
      </c>
      <c r="L251" s="846" t="str">
        <f t="shared" si="107"/>
        <v/>
      </c>
      <c r="M251" s="893" t="str">
        <f>IF($I251,$I251*TreatyCatch!BO248/SUM(TreatyCatch!$BL248:$BM248,TreatyCatch!$BO248:$BP248),"")</f>
        <v/>
      </c>
      <c r="N251" s="894" t="str">
        <f>IF($I251,$I251*TreatyCatch!BP248/SUM(TreatyCatch!$BL248:$BM248,TreatyCatch!$BO248:$BP248),"")</f>
        <v/>
      </c>
      <c r="O251" s="877" t="str">
        <f t="shared" si="108"/>
        <v/>
      </c>
      <c r="P251" s="765"/>
      <c r="Q251" s="882" t="str">
        <f>IF($P251,$P251*TreatyCatch!BR248/SUM(TreatyCatch!$BR248:$BS248,TreatyCatch!$BU248:$BV248),"")</f>
        <v/>
      </c>
      <c r="R251" s="883" t="str">
        <f>IF($P251,$P251*TreatyCatch!BS248/SUM(TreatyCatch!$BR248:$BS248,TreatyCatch!$BU248:$BV248),"")</f>
        <v/>
      </c>
      <c r="S251" s="871" t="str">
        <f t="shared" si="111"/>
        <v/>
      </c>
      <c r="T251" s="858" t="str">
        <f>IF($P251,$P251*TreatyCatch!BU248/SUM(TreatyCatch!$BR248:$BS248,TreatyCatch!$BU248:$BV248),"")</f>
        <v/>
      </c>
      <c r="U251" s="859" t="str">
        <f>IF($P251,$P251*TreatyCatch!BV248/SUM(TreatyCatch!$BR248:$BS248,TreatyCatch!$BU248:$BV248),"")</f>
        <v/>
      </c>
      <c r="V251" s="840" t="str">
        <f t="shared" si="112"/>
        <v/>
      </c>
      <c r="W251" s="958"/>
      <c r="X251" s="852" t="str">
        <f>IF($W251,$W251*TreatyCatch!BX248/SUM(TreatyCatch!$BX248:$BY248,TreatyCatch!$CA248:$CB248),"")</f>
        <v/>
      </c>
      <c r="Y251" s="853" t="str">
        <f>IF($W251,$W251*TreatyCatch!BY248/SUM(TreatyCatch!$BX248:$BY248,TreatyCatch!$CA248:$CB248),"")</f>
        <v/>
      </c>
      <c r="Z251" s="846" t="str">
        <f t="shared" si="113"/>
        <v/>
      </c>
      <c r="AA251" s="893" t="str">
        <f>IF($W251,$W251*TreatyCatch!CA248/SUM(TreatyCatch!$BX248:$BY248,TreatyCatch!$CA248:$CB248),"")</f>
        <v/>
      </c>
      <c r="AB251" s="894" t="str">
        <f>IF($W251,$W251*TreatyCatch!CB248/SUM(TreatyCatch!$BX248:$BY248,TreatyCatch!$CA248:$CB248),"")</f>
        <v/>
      </c>
      <c r="AC251" s="877" t="str">
        <f t="shared" si="114"/>
        <v/>
      </c>
      <c r="AD251" s="958"/>
      <c r="AE251" s="1056" t="str">
        <f>IF($AD251,$AD251*TreatyCatch!CD481/SUM(TreatyCatch!$CD481:$CE481,TreatyCatch!$CG481:$CH481),"")</f>
        <v/>
      </c>
      <c r="AF251" s="1057" t="str">
        <f>IF($AD251,$AD251*TreatyCatch!CE481/SUM(TreatyCatch!$CD481:$CE481,TreatyCatch!$CG481:$CH481),"")</f>
        <v/>
      </c>
      <c r="AG251" s="1058" t="str">
        <f t="shared" si="115"/>
        <v/>
      </c>
      <c r="AH251" s="1059" t="str">
        <f>IF($AD251,$AD251*TreatyCatch!CG481/SUM(TreatyCatch!$CD481:CE481,TreatyCatch!$CG481:$CH481),"")</f>
        <v/>
      </c>
      <c r="AI251" s="1060" t="str">
        <f>IF($AD251,$AD251*TreatyCatch!CH481/SUM(TreatyCatch!$CD481:CF481,TreatyCatch!$CG481:$CH481),"")</f>
        <v/>
      </c>
      <c r="AJ251" s="1061" t="str">
        <f t="shared" si="116"/>
        <v/>
      </c>
      <c r="AK251" s="958"/>
      <c r="AL251" s="852"/>
      <c r="AM251" s="853"/>
      <c r="AN251" s="846"/>
      <c r="AO251" s="893"/>
      <c r="AP251" s="894"/>
      <c r="AQ251" s="877"/>
      <c r="AR251" s="765"/>
      <c r="AS251" s="882"/>
      <c r="AT251" s="883"/>
      <c r="AU251" s="871"/>
      <c r="AV251" s="858"/>
      <c r="AW251" s="859"/>
      <c r="AX251" s="840"/>
      <c r="AY251" s="765"/>
      <c r="AZ251" s="852"/>
      <c r="BA251" s="853"/>
      <c r="BB251" s="846"/>
      <c r="BC251" s="893"/>
      <c r="BD251" s="894"/>
      <c r="BE251" s="877"/>
      <c r="BF251" s="765"/>
      <c r="BG251" s="882"/>
      <c r="BH251" s="883"/>
      <c r="BI251" s="871"/>
      <c r="BJ251" s="858"/>
      <c r="BK251" s="859"/>
      <c r="BL251" s="840"/>
      <c r="BM251" s="1687">
        <f>SUM(BN251:BO252,BQ251:BR251)</f>
        <v>33</v>
      </c>
      <c r="BN251" s="852">
        <v>0</v>
      </c>
      <c r="BO251" s="853">
        <v>0</v>
      </c>
      <c r="BP251" s="1073">
        <f t="shared" ref="BP251:BP252" si="117">BN251+BO251*BR$5</f>
        <v>0</v>
      </c>
      <c r="BQ251" s="893">
        <v>33</v>
      </c>
      <c r="BR251" s="894">
        <v>0</v>
      </c>
      <c r="BS251" s="1080">
        <f>BQ251+BR251*BR$5</f>
        <v>33</v>
      </c>
      <c r="BT251" s="765"/>
      <c r="BU251" s="882"/>
      <c r="BV251" s="883"/>
      <c r="BW251" s="871"/>
      <c r="BX251" s="858"/>
      <c r="BY251" s="859"/>
      <c r="BZ251" s="840"/>
      <c r="CA251" s="765"/>
      <c r="CB251" s="852"/>
      <c r="CC251" s="853"/>
      <c r="CD251" s="846"/>
      <c r="CE251" s="893"/>
      <c r="CF251" s="894"/>
      <c r="CG251" s="877"/>
      <c r="CH251" s="765"/>
      <c r="CI251" s="882"/>
      <c r="CJ251" s="883"/>
      <c r="CK251" s="871"/>
      <c r="CL251" s="858"/>
      <c r="CM251" s="859"/>
      <c r="CN251" s="840"/>
    </row>
    <row r="252" spans="1:92" x14ac:dyDescent="0.25">
      <c r="A252" s="757">
        <v>11</v>
      </c>
      <c r="B252" s="765"/>
      <c r="C252" s="870" t="str">
        <f>IF($B252,$B252*TreatyCatch!BF249/SUM(TreatyCatch!$BF249:$BG249,TreatyCatch!$BI249:$BJ249),"")</f>
        <v/>
      </c>
      <c r="D252" s="870" t="str">
        <f>IF($B252,$B252*TreatyCatch!BG249/SUM(TreatyCatch!$BF249:$BG249,TreatyCatch!$BI249:$BJ249),"")</f>
        <v/>
      </c>
      <c r="E252" s="871" t="str">
        <f t="shared" si="109"/>
        <v/>
      </c>
      <c r="F252" s="838" t="str">
        <f>IF($B252,$B252*TreatyCatch!BI249/SUM(TreatyCatch!$BF249:$BG249,TreatyCatch!$BI249:$BJ249),"")</f>
        <v/>
      </c>
      <c r="G252" s="866" t="str">
        <f>IF($B252,$B252*TreatyCatch!BJ249/SUM(TreatyCatch!$BF249:$BG249,TreatyCatch!$BI249:$BJ249),"")</f>
        <v/>
      </c>
      <c r="H252" s="840" t="str">
        <f t="shared" si="110"/>
        <v/>
      </c>
      <c r="I252" s="765"/>
      <c r="J252" s="852" t="str">
        <f>IF($I252,$I252*TreatyCatch!BL249/SUM(TreatyCatch!$BL249:$BM249,TreatyCatch!$BO249:$BP249),"")</f>
        <v/>
      </c>
      <c r="K252" s="853" t="str">
        <f>IF($I252,$I252*TreatyCatch!BM249/SUM(TreatyCatch!$BL249:$BM249,TreatyCatch!$BO249:$BP249),"")</f>
        <v/>
      </c>
      <c r="L252" s="846" t="str">
        <f t="shared" si="107"/>
        <v/>
      </c>
      <c r="M252" s="893" t="str">
        <f>IF($I252,$I252*TreatyCatch!BO249/SUM(TreatyCatch!$BL249:$BM249,TreatyCatch!$BO249:$BP249),"")</f>
        <v/>
      </c>
      <c r="N252" s="894" t="str">
        <f>IF($I252,$I252*TreatyCatch!BP249/SUM(TreatyCatch!$BL249:$BM249,TreatyCatch!$BO249:$BP249),"")</f>
        <v/>
      </c>
      <c r="O252" s="877" t="str">
        <f t="shared" si="108"/>
        <v/>
      </c>
      <c r="P252" s="765"/>
      <c r="Q252" s="882" t="str">
        <f>IF($P252,$P252*TreatyCatch!BR249/SUM(TreatyCatch!$BR249:$BS249,TreatyCatch!$BU249:$BV249),"")</f>
        <v/>
      </c>
      <c r="R252" s="883" t="str">
        <f>IF($P252,$P252*TreatyCatch!BS249/SUM(TreatyCatch!$BR249:$BS249,TreatyCatch!$BU249:$BV249),"")</f>
        <v/>
      </c>
      <c r="S252" s="871" t="str">
        <f t="shared" si="111"/>
        <v/>
      </c>
      <c r="T252" s="858" t="str">
        <f>IF($P252,$P252*TreatyCatch!BU249/SUM(TreatyCatch!$BR249:$BS249,TreatyCatch!$BU249:$BV249),"")</f>
        <v/>
      </c>
      <c r="U252" s="859" t="str">
        <f>IF($P252,$P252*TreatyCatch!BV249/SUM(TreatyCatch!$BR249:$BS249,TreatyCatch!$BU249:$BV249),"")</f>
        <v/>
      </c>
      <c r="V252" s="840" t="str">
        <f t="shared" si="112"/>
        <v/>
      </c>
      <c r="W252" s="958"/>
      <c r="X252" s="852" t="str">
        <f>IF($W252,$W252*TreatyCatch!BX249/SUM(TreatyCatch!$BX249:$BY249,TreatyCatch!$CA249:$CB249),"")</f>
        <v/>
      </c>
      <c r="Y252" s="853" t="str">
        <f>IF($W252,$W252*TreatyCatch!BY249/SUM(TreatyCatch!$BX249:$BY249,TreatyCatch!$CA249:$CB249),"")</f>
        <v/>
      </c>
      <c r="Z252" s="846" t="str">
        <f t="shared" si="113"/>
        <v/>
      </c>
      <c r="AA252" s="893" t="str">
        <f>IF($W252,$W252*TreatyCatch!CA249/SUM(TreatyCatch!$BX249:$BY249,TreatyCatch!$CA249:$CB249),"")</f>
        <v/>
      </c>
      <c r="AB252" s="894" t="str">
        <f>IF($W252,$W252*TreatyCatch!CB249/SUM(TreatyCatch!$BX249:$BY249,TreatyCatch!$CA249:$CB249),"")</f>
        <v/>
      </c>
      <c r="AC252" s="877" t="str">
        <f t="shared" si="114"/>
        <v/>
      </c>
      <c r="AD252" s="958"/>
      <c r="AE252" s="1056" t="str">
        <f>IF($AD252,$AD252*TreatyCatch!CD482/SUM(TreatyCatch!$CD482:$CE482,TreatyCatch!$CG482:$CH482),"")</f>
        <v/>
      </c>
      <c r="AF252" s="1057" t="str">
        <f>IF($AD252,$AD252*TreatyCatch!CE482/SUM(TreatyCatch!$CD482:$CE482,TreatyCatch!$CG482:$CH482),"")</f>
        <v/>
      </c>
      <c r="AG252" s="1058" t="str">
        <f t="shared" si="115"/>
        <v/>
      </c>
      <c r="AH252" s="1059" t="str">
        <f>IF($AD252,$AD252*TreatyCatch!CG482/SUM(TreatyCatch!$CD482:CE482,TreatyCatch!$CG482:$CH482),"")</f>
        <v/>
      </c>
      <c r="AI252" s="1060" t="str">
        <f>IF($AD252,$AD252*TreatyCatch!CH482/SUM(TreatyCatch!$CD482:CF482,TreatyCatch!$CG482:$CH482),"")</f>
        <v/>
      </c>
      <c r="AJ252" s="1061" t="str">
        <f t="shared" si="116"/>
        <v/>
      </c>
      <c r="AK252" s="958"/>
      <c r="AL252" s="852"/>
      <c r="AM252" s="853"/>
      <c r="AN252" s="846"/>
      <c r="AO252" s="893"/>
      <c r="AP252" s="894"/>
      <c r="AQ252" s="877"/>
      <c r="AR252" s="765"/>
      <c r="AS252" s="882"/>
      <c r="AT252" s="883"/>
      <c r="AU252" s="871"/>
      <c r="AV252" s="858"/>
      <c r="AW252" s="859"/>
      <c r="AX252" s="840"/>
      <c r="AY252" s="765"/>
      <c r="AZ252" s="852"/>
      <c r="BA252" s="853"/>
      <c r="BB252" s="846"/>
      <c r="BC252" s="893"/>
      <c r="BD252" s="894"/>
      <c r="BE252" s="877"/>
      <c r="BF252" s="765"/>
      <c r="BG252" s="882"/>
      <c r="BH252" s="883"/>
      <c r="BI252" s="871"/>
      <c r="BJ252" s="858"/>
      <c r="BK252" s="859"/>
      <c r="BL252" s="840"/>
      <c r="BM252" s="1687">
        <f>SUM(BN252:BO253,BQ252:BR252)</f>
        <v>27</v>
      </c>
      <c r="BN252" s="1496">
        <v>0</v>
      </c>
      <c r="BO252" s="1497">
        <v>0</v>
      </c>
      <c r="BP252" s="1073">
        <f t="shared" si="117"/>
        <v>0</v>
      </c>
      <c r="BQ252" s="1497">
        <v>27</v>
      </c>
      <c r="BR252" s="1498">
        <v>0</v>
      </c>
      <c r="BS252" s="1080">
        <f>BQ252+BR252*BR$5</f>
        <v>27</v>
      </c>
      <c r="BT252" s="765"/>
      <c r="BU252" s="882"/>
      <c r="BV252" s="883"/>
      <c r="BW252" s="871"/>
      <c r="BX252" s="858"/>
      <c r="BY252" s="859"/>
      <c r="BZ252" s="840"/>
      <c r="CA252" s="765"/>
      <c r="CB252" s="852"/>
      <c r="CC252" s="853"/>
      <c r="CD252" s="846"/>
      <c r="CE252" s="893"/>
      <c r="CF252" s="894"/>
      <c r="CG252" s="877"/>
      <c r="CH252" s="765"/>
      <c r="CI252" s="882"/>
      <c r="CJ252" s="883"/>
      <c r="CK252" s="871"/>
      <c r="CL252" s="858"/>
      <c r="CM252" s="859"/>
      <c r="CN252" s="840"/>
    </row>
    <row r="253" spans="1:92" x14ac:dyDescent="0.25">
      <c r="A253" s="757">
        <v>12</v>
      </c>
      <c r="B253" s="765"/>
      <c r="C253" s="870" t="str">
        <f>IF($B253,$B253*TreatyCatch!BF250/SUM(TreatyCatch!$BF250:$BG250,TreatyCatch!$BI250:$BJ250),"")</f>
        <v/>
      </c>
      <c r="D253" s="870" t="str">
        <f>IF($B253,$B253*TreatyCatch!BG250/SUM(TreatyCatch!$BF250:$BG250,TreatyCatch!$BI250:$BJ250),"")</f>
        <v/>
      </c>
      <c r="E253" s="871" t="str">
        <f t="shared" si="109"/>
        <v/>
      </c>
      <c r="F253" s="838" t="str">
        <f>IF($B253,$B253*TreatyCatch!BI250/SUM(TreatyCatch!$BF250:$BG250,TreatyCatch!$BI250:$BJ250),"")</f>
        <v/>
      </c>
      <c r="G253" s="866" t="str">
        <f>IF($B253,$B253*TreatyCatch!BJ250/SUM(TreatyCatch!$BF250:$BG250,TreatyCatch!$BI250:$BJ250),"")</f>
        <v/>
      </c>
      <c r="H253" s="840" t="str">
        <f t="shared" si="110"/>
        <v/>
      </c>
      <c r="I253" s="765"/>
      <c r="J253" s="852" t="str">
        <f>IF($I253,$I253*TreatyCatch!BL250/SUM(TreatyCatch!$BL250:$BM250,TreatyCatch!$BO250:$BP250),"")</f>
        <v/>
      </c>
      <c r="K253" s="853" t="str">
        <f>IF($I253,$I253*TreatyCatch!BM250/SUM(TreatyCatch!$BL250:$BM250,TreatyCatch!$BO250:$BP250),"")</f>
        <v/>
      </c>
      <c r="L253" s="846" t="str">
        <f t="shared" si="107"/>
        <v/>
      </c>
      <c r="M253" s="893" t="str">
        <f>IF($I253,$I253*TreatyCatch!BO250/SUM(TreatyCatch!$BL250:$BM250,TreatyCatch!$BO250:$BP250),"")</f>
        <v/>
      </c>
      <c r="N253" s="894" t="str">
        <f>IF($I253,$I253*TreatyCatch!BP250/SUM(TreatyCatch!$BL250:$BM250,TreatyCatch!$BO250:$BP250),"")</f>
        <v/>
      </c>
      <c r="O253" s="877" t="str">
        <f t="shared" si="108"/>
        <v/>
      </c>
      <c r="P253" s="765"/>
      <c r="Q253" s="882" t="str">
        <f>IF($P253,$P253*TreatyCatch!BR250/SUM(TreatyCatch!$BR250:$BS250,TreatyCatch!$BU250:$BV250),"")</f>
        <v/>
      </c>
      <c r="R253" s="883" t="str">
        <f>IF($P253,$P253*TreatyCatch!BS250/SUM(TreatyCatch!$BR250:$BS250,TreatyCatch!$BU250:$BV250),"")</f>
        <v/>
      </c>
      <c r="S253" s="871" t="str">
        <f t="shared" si="111"/>
        <v/>
      </c>
      <c r="T253" s="858" t="str">
        <f>IF($P253,$P253*TreatyCatch!BU250/SUM(TreatyCatch!$BR250:$BS250,TreatyCatch!$BU250:$BV250),"")</f>
        <v/>
      </c>
      <c r="U253" s="859" t="str">
        <f>IF($P253,$P253*TreatyCatch!BV250/SUM(TreatyCatch!$BR250:$BS250,TreatyCatch!$BU250:$BV250),"")</f>
        <v/>
      </c>
      <c r="V253" s="840" t="str">
        <f t="shared" si="112"/>
        <v/>
      </c>
      <c r="W253" s="958"/>
      <c r="X253" s="852" t="str">
        <f>IF($W253,$W253*TreatyCatch!BX250/SUM(TreatyCatch!$BX250:$BY250,TreatyCatch!$CA250:$CB250),"")</f>
        <v/>
      </c>
      <c r="Y253" s="853" t="str">
        <f>IF($W253,$W253*TreatyCatch!BY250/SUM(TreatyCatch!$BX250:$BY250,TreatyCatch!$CA250:$CB250),"")</f>
        <v/>
      </c>
      <c r="Z253" s="846" t="str">
        <f t="shared" si="113"/>
        <v/>
      </c>
      <c r="AA253" s="893" t="str">
        <f>IF($W253,$W253*TreatyCatch!CA250/SUM(TreatyCatch!$BX250:$BY250,TreatyCatch!$CA250:$CB250),"")</f>
        <v/>
      </c>
      <c r="AB253" s="894" t="str">
        <f>IF($W253,$W253*TreatyCatch!CB250/SUM(TreatyCatch!$BX250:$BY250,TreatyCatch!$CA250:$CB250),"")</f>
        <v/>
      </c>
      <c r="AC253" s="877" t="str">
        <f t="shared" si="114"/>
        <v/>
      </c>
      <c r="AD253" s="958"/>
      <c r="AE253" s="1056" t="str">
        <f>IF($AD253,$AD253*TreatyCatch!CD483/SUM(TreatyCatch!$CD483:$CE483,TreatyCatch!$CG483:$CH483),"")</f>
        <v/>
      </c>
      <c r="AF253" s="1057" t="str">
        <f>IF($AD253,$AD253*TreatyCatch!CE483/SUM(TreatyCatch!$CD483:$CE483,TreatyCatch!$CG483:$CH483),"")</f>
        <v/>
      </c>
      <c r="AG253" s="1058" t="str">
        <f t="shared" si="115"/>
        <v/>
      </c>
      <c r="AH253" s="1059" t="str">
        <f>IF($AD253,$AD253*TreatyCatch!CG483/SUM(TreatyCatch!$CD483:CE483,TreatyCatch!$CG483:$CH483),"")</f>
        <v/>
      </c>
      <c r="AI253" s="1060" t="str">
        <f>IF($AD253,$AD253*TreatyCatch!CH483/SUM(TreatyCatch!$CD483:CF483,TreatyCatch!$CG483:$CH483),"")</f>
        <v/>
      </c>
      <c r="AJ253" s="1061" t="str">
        <f t="shared" si="116"/>
        <v/>
      </c>
      <c r="AK253" s="958"/>
      <c r="AL253" s="852"/>
      <c r="AM253" s="853"/>
      <c r="AN253" s="846"/>
      <c r="AO253" s="893"/>
      <c r="AP253" s="894"/>
      <c r="AQ253" s="877"/>
      <c r="AR253" s="765"/>
      <c r="AS253" s="882"/>
      <c r="AT253" s="883"/>
      <c r="AU253" s="871"/>
      <c r="AV253" s="858"/>
      <c r="AW253" s="859"/>
      <c r="AX253" s="840"/>
      <c r="AY253" s="765"/>
      <c r="AZ253" s="852"/>
      <c r="BA253" s="853"/>
      <c r="BB253" s="846"/>
      <c r="BC253" s="893"/>
      <c r="BD253" s="894"/>
      <c r="BE253" s="877"/>
      <c r="BF253" s="765"/>
      <c r="BG253" s="882"/>
      <c r="BH253" s="883"/>
      <c r="BI253" s="871"/>
      <c r="BJ253" s="858"/>
      <c r="BK253" s="859"/>
      <c r="BL253" s="840"/>
      <c r="BM253" s="765"/>
      <c r="BN253" s="852"/>
      <c r="BO253" s="853"/>
      <c r="BP253" s="846"/>
      <c r="BQ253" s="893"/>
      <c r="BR253" s="894"/>
      <c r="BS253" s="877"/>
      <c r="BT253" s="765"/>
      <c r="BU253" s="882"/>
      <c r="BV253" s="883"/>
      <c r="BW253" s="871"/>
      <c r="BX253" s="858"/>
      <c r="BY253" s="859"/>
      <c r="BZ253" s="840"/>
      <c r="CA253" s="765"/>
      <c r="CB253" s="852"/>
      <c r="CC253" s="853"/>
      <c r="CD253" s="846"/>
      <c r="CE253" s="893"/>
      <c r="CF253" s="894"/>
      <c r="CG253" s="877"/>
      <c r="CH253" s="765"/>
      <c r="CI253" s="882"/>
      <c r="CJ253" s="883"/>
      <c r="CK253" s="871"/>
      <c r="CL253" s="858"/>
      <c r="CM253" s="859"/>
      <c r="CN253" s="840"/>
    </row>
    <row r="254" spans="1:92" x14ac:dyDescent="0.25">
      <c r="A254" s="757">
        <v>13</v>
      </c>
      <c r="B254" s="765"/>
      <c r="C254" s="870" t="str">
        <f>IF($B254,$B254*TreatyCatch!BF251/SUM(TreatyCatch!$BF251:$BG251,TreatyCatch!$BI251:$BJ251),"")</f>
        <v/>
      </c>
      <c r="D254" s="870" t="str">
        <f>IF($B254,$B254*TreatyCatch!BG251/SUM(TreatyCatch!$BF251:$BG251,TreatyCatch!$BI251:$BJ251),"")</f>
        <v/>
      </c>
      <c r="E254" s="871" t="str">
        <f t="shared" si="109"/>
        <v/>
      </c>
      <c r="F254" s="838" t="str">
        <f>IF($B254,$B254*TreatyCatch!BI251/SUM(TreatyCatch!$BF251:$BG251,TreatyCatch!$BI251:$BJ251),"")</f>
        <v/>
      </c>
      <c r="G254" s="866" t="str">
        <f>IF($B254,$B254*TreatyCatch!BJ251/SUM(TreatyCatch!$BF251:$BG251,TreatyCatch!$BI251:$BJ251),"")</f>
        <v/>
      </c>
      <c r="H254" s="840" t="str">
        <f t="shared" si="110"/>
        <v/>
      </c>
      <c r="I254" s="765"/>
      <c r="J254" s="852" t="str">
        <f>IF($I254,$I254*TreatyCatch!BL251/SUM(TreatyCatch!$BL251:$BM251,TreatyCatch!$BO251:$BP251),"")</f>
        <v/>
      </c>
      <c r="K254" s="853" t="str">
        <f>IF($I254,$I254*TreatyCatch!BM251/SUM(TreatyCatch!$BL251:$BM251,TreatyCatch!$BO251:$BP251),"")</f>
        <v/>
      </c>
      <c r="L254" s="846" t="str">
        <f t="shared" si="107"/>
        <v/>
      </c>
      <c r="M254" s="893" t="str">
        <f>IF($I254,$I254*TreatyCatch!BO251/SUM(TreatyCatch!$BL251:$BM251,TreatyCatch!$BO251:$BP251),"")</f>
        <v/>
      </c>
      <c r="N254" s="894" t="str">
        <f>IF($I254,$I254*TreatyCatch!BP251/SUM(TreatyCatch!$BL251:$BM251,TreatyCatch!$BO251:$BP251),"")</f>
        <v/>
      </c>
      <c r="O254" s="877" t="str">
        <f t="shared" si="108"/>
        <v/>
      </c>
      <c r="P254" s="765"/>
      <c r="Q254" s="882" t="str">
        <f>IF($P254,$P254*TreatyCatch!BR251/SUM(TreatyCatch!$BR251:$BS251,TreatyCatch!$BU251:$BV251),"")</f>
        <v/>
      </c>
      <c r="R254" s="883" t="str">
        <f>IF($P254,$P254*TreatyCatch!BS251/SUM(TreatyCatch!$BR251:$BS251,TreatyCatch!$BU251:$BV251),"")</f>
        <v/>
      </c>
      <c r="S254" s="871" t="str">
        <f t="shared" si="111"/>
        <v/>
      </c>
      <c r="T254" s="858" t="str">
        <f>IF($P254,$P254*TreatyCatch!BU251/SUM(TreatyCatch!$BR251:$BS251,TreatyCatch!$BU251:$BV251),"")</f>
        <v/>
      </c>
      <c r="U254" s="859" t="str">
        <f>IF($P254,$P254*TreatyCatch!BV251/SUM(TreatyCatch!$BR251:$BS251,TreatyCatch!$BU251:$BV251),"")</f>
        <v/>
      </c>
      <c r="V254" s="840" t="str">
        <f t="shared" si="112"/>
        <v/>
      </c>
      <c r="W254" s="958"/>
      <c r="X254" s="852" t="str">
        <f>IF($W254,$W254*TreatyCatch!BX251/SUM(TreatyCatch!$BX251:$BY251,TreatyCatch!$CA251:$CB251),"")</f>
        <v/>
      </c>
      <c r="Y254" s="853" t="str">
        <f>IF($W254,$W254*TreatyCatch!BY251/SUM(TreatyCatch!$BX251:$BY251,TreatyCatch!$CA251:$CB251),"")</f>
        <v/>
      </c>
      <c r="Z254" s="846" t="str">
        <f t="shared" si="113"/>
        <v/>
      </c>
      <c r="AA254" s="893" t="str">
        <f>IF($W254,$W254*TreatyCatch!CA251/SUM(TreatyCatch!$BX251:$BY251,TreatyCatch!$CA251:$CB251),"")</f>
        <v/>
      </c>
      <c r="AB254" s="894" t="str">
        <f>IF($W254,$W254*TreatyCatch!CB251/SUM(TreatyCatch!$BX251:$BY251,TreatyCatch!$CA251:$CB251),"")</f>
        <v/>
      </c>
      <c r="AC254" s="877" t="str">
        <f t="shared" si="114"/>
        <v/>
      </c>
      <c r="AD254" s="958"/>
      <c r="AE254" s="1056" t="str">
        <f>IF($AD254,$AD254*TreatyCatch!CD484/SUM(TreatyCatch!$CD484:$CE484,TreatyCatch!$CG484:$CH484),"")</f>
        <v/>
      </c>
      <c r="AF254" s="1057" t="str">
        <f>IF($AD254,$AD254*TreatyCatch!CE484/SUM(TreatyCatch!$CD484:$CE484,TreatyCatch!$CG484:$CH484),"")</f>
        <v/>
      </c>
      <c r="AG254" s="1058" t="str">
        <f t="shared" si="115"/>
        <v/>
      </c>
      <c r="AH254" s="1059" t="str">
        <f>IF($AD254,$AD254*TreatyCatch!CG484/SUM(TreatyCatch!$CD484:CE484,TreatyCatch!$CG484:$CH484),"")</f>
        <v/>
      </c>
      <c r="AI254" s="1060" t="str">
        <f>IF($AD254,$AD254*TreatyCatch!CH484/SUM(TreatyCatch!$CD484:CF484,TreatyCatch!$CG484:$CH484),"")</f>
        <v/>
      </c>
      <c r="AJ254" s="1061" t="str">
        <f t="shared" si="116"/>
        <v/>
      </c>
      <c r="AK254" s="958"/>
      <c r="AL254" s="852"/>
      <c r="AM254" s="853"/>
      <c r="AN254" s="846"/>
      <c r="AO254" s="893"/>
      <c r="AP254" s="894"/>
      <c r="AQ254" s="877"/>
      <c r="AR254" s="765"/>
      <c r="AS254" s="882"/>
      <c r="AT254" s="883"/>
      <c r="AU254" s="871"/>
      <c r="AV254" s="858"/>
      <c r="AW254" s="859"/>
      <c r="AX254" s="840"/>
      <c r="AY254" s="765"/>
      <c r="AZ254" s="852"/>
      <c r="BA254" s="853"/>
      <c r="BB254" s="846"/>
      <c r="BC254" s="893"/>
      <c r="BD254" s="894"/>
      <c r="BE254" s="877"/>
      <c r="BF254" s="765"/>
      <c r="BG254" s="882"/>
      <c r="BH254" s="883"/>
      <c r="BI254" s="871"/>
      <c r="BJ254" s="858"/>
      <c r="BK254" s="859"/>
      <c r="BL254" s="840"/>
      <c r="BM254" s="765"/>
      <c r="BN254" s="852"/>
      <c r="BO254" s="853"/>
      <c r="BP254" s="846"/>
      <c r="BQ254" s="893"/>
      <c r="BR254" s="894"/>
      <c r="BS254" s="877"/>
      <c r="BT254" s="765"/>
      <c r="BU254" s="882"/>
      <c r="BV254" s="883"/>
      <c r="BW254" s="871"/>
      <c r="BX254" s="858"/>
      <c r="BY254" s="859"/>
      <c r="BZ254" s="840"/>
      <c r="CA254" s="765"/>
      <c r="CB254" s="852"/>
      <c r="CC254" s="853"/>
      <c r="CD254" s="846"/>
      <c r="CE254" s="893"/>
      <c r="CF254" s="894"/>
      <c r="CG254" s="877"/>
      <c r="CH254" s="765"/>
      <c r="CI254" s="882"/>
      <c r="CJ254" s="883"/>
      <c r="CK254" s="871"/>
      <c r="CL254" s="858"/>
      <c r="CM254" s="859"/>
      <c r="CN254" s="840"/>
    </row>
    <row r="255" spans="1:92" x14ac:dyDescent="0.25">
      <c r="A255" s="757">
        <v>14</v>
      </c>
      <c r="B255" s="765"/>
      <c r="C255" s="870" t="str">
        <f>IF($B255,$B255*TreatyCatch!BF252/SUM(TreatyCatch!$BF252:$BG252,TreatyCatch!$BI252:$BJ252),"")</f>
        <v/>
      </c>
      <c r="D255" s="870" t="str">
        <f>IF($B255,$B255*TreatyCatch!BG252/SUM(TreatyCatch!$BF252:$BG252,TreatyCatch!$BI252:$BJ252),"")</f>
        <v/>
      </c>
      <c r="E255" s="871" t="str">
        <f t="shared" si="109"/>
        <v/>
      </c>
      <c r="F255" s="838" t="str">
        <f>IF($B255,$B255*TreatyCatch!BI252/SUM(TreatyCatch!$BF252:$BG252,TreatyCatch!$BI252:$BJ252),"")</f>
        <v/>
      </c>
      <c r="G255" s="866" t="str">
        <f>IF($B255,$B255*TreatyCatch!BJ252/SUM(TreatyCatch!$BF252:$BG252,TreatyCatch!$BI252:$BJ252),"")</f>
        <v/>
      </c>
      <c r="H255" s="840" t="str">
        <f t="shared" si="110"/>
        <v/>
      </c>
      <c r="I255" s="765"/>
      <c r="J255" s="852" t="str">
        <f>IF($I255,$I255*TreatyCatch!BL252/SUM(TreatyCatch!$BL252:$BM252,TreatyCatch!$BO252:$BP252),"")</f>
        <v/>
      </c>
      <c r="K255" s="853" t="str">
        <f>IF($I255,$I255*TreatyCatch!BM252/SUM(TreatyCatch!$BL252:$BM252,TreatyCatch!$BO252:$BP252),"")</f>
        <v/>
      </c>
      <c r="L255" s="846" t="str">
        <f t="shared" si="107"/>
        <v/>
      </c>
      <c r="M255" s="893" t="str">
        <f>IF($I255,$I255*TreatyCatch!BO252/SUM(TreatyCatch!$BL252:$BM252,TreatyCatch!$BO252:$BP252),"")</f>
        <v/>
      </c>
      <c r="N255" s="894" t="str">
        <f>IF($I255,$I255*TreatyCatch!BP252/SUM(TreatyCatch!$BL252:$BM252,TreatyCatch!$BO252:$BP252),"")</f>
        <v/>
      </c>
      <c r="O255" s="877" t="str">
        <f t="shared" si="108"/>
        <v/>
      </c>
      <c r="P255" s="765"/>
      <c r="Q255" s="882" t="str">
        <f>IF($P255,$P255*TreatyCatch!BR252/SUM(TreatyCatch!$BR252:$BS252,TreatyCatch!$BU252:$BV252),"")</f>
        <v/>
      </c>
      <c r="R255" s="883" t="str">
        <f>IF($P255,$P255*TreatyCatch!BS252/SUM(TreatyCatch!$BR252:$BS252,TreatyCatch!$BU252:$BV252),"")</f>
        <v/>
      </c>
      <c r="S255" s="871" t="str">
        <f t="shared" si="111"/>
        <v/>
      </c>
      <c r="T255" s="858" t="str">
        <f>IF($P255,$P255*TreatyCatch!BU252/SUM(TreatyCatch!$BR252:$BS252,TreatyCatch!$BU252:$BV252),"")</f>
        <v/>
      </c>
      <c r="U255" s="859" t="str">
        <f>IF($P255,$P255*TreatyCatch!BV252/SUM(TreatyCatch!$BR252:$BS252,TreatyCatch!$BU252:$BV252),"")</f>
        <v/>
      </c>
      <c r="V255" s="840" t="str">
        <f t="shared" si="112"/>
        <v/>
      </c>
      <c r="W255" s="958"/>
      <c r="X255" s="852" t="str">
        <f>IF($W255,$W255*TreatyCatch!BX252/SUM(TreatyCatch!$BX252:$BY252,TreatyCatch!$CA252:$CB252),"")</f>
        <v/>
      </c>
      <c r="Y255" s="853" t="str">
        <f>IF($W255,$W255*TreatyCatch!BY252/SUM(TreatyCatch!$BX252:$BY252,TreatyCatch!$CA252:$CB252),"")</f>
        <v/>
      </c>
      <c r="Z255" s="846" t="str">
        <f t="shared" si="113"/>
        <v/>
      </c>
      <c r="AA255" s="893" t="str">
        <f>IF($W255,$W255*TreatyCatch!CA252/SUM(TreatyCatch!$BX252:$BY252,TreatyCatch!$CA252:$CB252),"")</f>
        <v/>
      </c>
      <c r="AB255" s="894" t="str">
        <f>IF($W255,$W255*TreatyCatch!CB252/SUM(TreatyCatch!$BX252:$BY252,TreatyCatch!$CA252:$CB252),"")</f>
        <v/>
      </c>
      <c r="AC255" s="877" t="str">
        <f t="shared" si="114"/>
        <v/>
      </c>
      <c r="AD255" s="958"/>
      <c r="AE255" s="1056" t="str">
        <f>IF($AD255,$AD255*TreatyCatch!CD485/SUM(TreatyCatch!$CD485:$CE485,TreatyCatch!$CG485:$CH485),"")</f>
        <v/>
      </c>
      <c r="AF255" s="1057" t="str">
        <f>IF($AD255,$AD255*TreatyCatch!CE485/SUM(TreatyCatch!$CD485:$CE485,TreatyCatch!$CG485:$CH485),"")</f>
        <v/>
      </c>
      <c r="AG255" s="1058" t="str">
        <f t="shared" si="115"/>
        <v/>
      </c>
      <c r="AH255" s="1059" t="str">
        <f>IF($AD255,$AD255*TreatyCatch!CG485/SUM(TreatyCatch!$CD485:CE485,TreatyCatch!$CG485:$CH485),"")</f>
        <v/>
      </c>
      <c r="AI255" s="1060" t="str">
        <f>IF($AD255,$AD255*TreatyCatch!CH485/SUM(TreatyCatch!$CD485:CF485,TreatyCatch!$CG485:$CH485),"")</f>
        <v/>
      </c>
      <c r="AJ255" s="1061" t="str">
        <f t="shared" si="116"/>
        <v/>
      </c>
      <c r="AK255" s="958"/>
      <c r="AL255" s="852"/>
      <c r="AM255" s="853"/>
      <c r="AN255" s="846"/>
      <c r="AO255" s="893"/>
      <c r="AP255" s="894"/>
      <c r="AQ255" s="877"/>
      <c r="AR255" s="765"/>
      <c r="AS255" s="882"/>
      <c r="AT255" s="883"/>
      <c r="AU255" s="871"/>
      <c r="AV255" s="858"/>
      <c r="AW255" s="859"/>
      <c r="AX255" s="840"/>
      <c r="AY255" s="765"/>
      <c r="AZ255" s="852"/>
      <c r="BA255" s="853"/>
      <c r="BB255" s="846"/>
      <c r="BC255" s="893"/>
      <c r="BD255" s="894"/>
      <c r="BE255" s="877"/>
      <c r="BF255" s="765"/>
      <c r="BG255" s="882"/>
      <c r="BH255" s="883"/>
      <c r="BI255" s="871"/>
      <c r="BJ255" s="858"/>
      <c r="BK255" s="859"/>
      <c r="BL255" s="840"/>
      <c r="BM255" s="765"/>
      <c r="BN255" s="852"/>
      <c r="BO255" s="853"/>
      <c r="BP255" s="846"/>
      <c r="BQ255" s="893"/>
      <c r="BR255" s="894"/>
      <c r="BS255" s="877"/>
      <c r="BT255" s="765"/>
      <c r="BU255" s="882"/>
      <c r="BV255" s="883"/>
      <c r="BW255" s="871"/>
      <c r="BX255" s="858"/>
      <c r="BY255" s="859"/>
      <c r="BZ255" s="840"/>
      <c r="CA255" s="765"/>
      <c r="CB255" s="852"/>
      <c r="CC255" s="853"/>
      <c r="CD255" s="846"/>
      <c r="CE255" s="893"/>
      <c r="CF255" s="894"/>
      <c r="CG255" s="877"/>
      <c r="CH255" s="765"/>
      <c r="CI255" s="882"/>
      <c r="CJ255" s="883"/>
      <c r="CK255" s="871"/>
      <c r="CL255" s="858"/>
      <c r="CM255" s="859"/>
      <c r="CN255" s="840"/>
    </row>
    <row r="256" spans="1:92" x14ac:dyDescent="0.25">
      <c r="A256" s="757">
        <v>15</v>
      </c>
      <c r="B256" s="765"/>
      <c r="C256" s="870" t="str">
        <f>IF($B256,$B256*TreatyCatch!BF253/SUM(TreatyCatch!$BF253:$BG253,TreatyCatch!$BI253:$BJ253),"")</f>
        <v/>
      </c>
      <c r="D256" s="870" t="str">
        <f>IF($B256,$B256*TreatyCatch!BG253/SUM(TreatyCatch!$BF253:$BG253,TreatyCatch!$BI253:$BJ253),"")</f>
        <v/>
      </c>
      <c r="E256" s="871" t="str">
        <f t="shared" si="109"/>
        <v/>
      </c>
      <c r="F256" s="838" t="str">
        <f>IF($B256,$B256*TreatyCatch!BI253/SUM(TreatyCatch!$BF253:$BG253,TreatyCatch!$BI253:$BJ253),"")</f>
        <v/>
      </c>
      <c r="G256" s="866" t="str">
        <f>IF($B256,$B256*TreatyCatch!BJ253/SUM(TreatyCatch!$BF253:$BG253,TreatyCatch!$BI253:$BJ253),"")</f>
        <v/>
      </c>
      <c r="H256" s="840" t="str">
        <f t="shared" si="110"/>
        <v/>
      </c>
      <c r="I256" s="765"/>
      <c r="J256" s="852" t="str">
        <f>IF($I256,$I256*TreatyCatch!BL253/SUM(TreatyCatch!$BL253:$BM253,TreatyCatch!$BO253:$BP253),"")</f>
        <v/>
      </c>
      <c r="K256" s="853" t="str">
        <f>IF($I256,$I256*TreatyCatch!BM253/SUM(TreatyCatch!$BL253:$BM253,TreatyCatch!$BO253:$BP253),"")</f>
        <v/>
      </c>
      <c r="L256" s="846" t="str">
        <f t="shared" si="107"/>
        <v/>
      </c>
      <c r="M256" s="893" t="str">
        <f>IF($I256,$I256*TreatyCatch!BO253/SUM(TreatyCatch!$BL253:$BM253,TreatyCatch!$BO253:$BP253),"")</f>
        <v/>
      </c>
      <c r="N256" s="894" t="str">
        <f>IF($I256,$I256*TreatyCatch!BP253/SUM(TreatyCatch!$BL253:$BM253,TreatyCatch!$BO253:$BP253),"")</f>
        <v/>
      </c>
      <c r="O256" s="877" t="str">
        <f t="shared" si="108"/>
        <v/>
      </c>
      <c r="P256" s="765"/>
      <c r="Q256" s="882" t="str">
        <f>IF($P256,$P256*TreatyCatch!BR253/SUM(TreatyCatch!$BR253:$BS253,TreatyCatch!$BU253:$BV253),"")</f>
        <v/>
      </c>
      <c r="R256" s="883" t="str">
        <f>IF($P256,$P256*TreatyCatch!BS253/SUM(TreatyCatch!$BR253:$BS253,TreatyCatch!$BU253:$BV253),"")</f>
        <v/>
      </c>
      <c r="S256" s="871" t="str">
        <f t="shared" si="111"/>
        <v/>
      </c>
      <c r="T256" s="858" t="str">
        <f>IF($P256,$P256*TreatyCatch!BU253/SUM(TreatyCatch!$BR253:$BS253,TreatyCatch!$BU253:$BV253),"")</f>
        <v/>
      </c>
      <c r="U256" s="859" t="str">
        <f>IF($P256,$P256*TreatyCatch!BV253/SUM(TreatyCatch!$BR253:$BS253,TreatyCatch!$BU253:$BV253),"")</f>
        <v/>
      </c>
      <c r="V256" s="840" t="str">
        <f t="shared" si="112"/>
        <v/>
      </c>
      <c r="W256" s="958"/>
      <c r="X256" s="852" t="str">
        <f>IF($W256,$W256*TreatyCatch!BX253/SUM(TreatyCatch!$BX253:$BY253,TreatyCatch!$CA253:$CB253),"")</f>
        <v/>
      </c>
      <c r="Y256" s="853" t="str">
        <f>IF($W256,$W256*TreatyCatch!BY253/SUM(TreatyCatch!$BX253:$BY253,TreatyCatch!$CA253:$CB253),"")</f>
        <v/>
      </c>
      <c r="Z256" s="846" t="str">
        <f t="shared" si="113"/>
        <v/>
      </c>
      <c r="AA256" s="893" t="str">
        <f>IF($W256,$W256*TreatyCatch!CA253/SUM(TreatyCatch!$BX253:$BY253,TreatyCatch!$CA253:$CB253),"")</f>
        <v/>
      </c>
      <c r="AB256" s="894" t="str">
        <f>IF($W256,$W256*TreatyCatch!CB253/SUM(TreatyCatch!$BX253:$BY253,TreatyCatch!$CA253:$CB253),"")</f>
        <v/>
      </c>
      <c r="AC256" s="957" t="str">
        <f t="shared" si="114"/>
        <v/>
      </c>
      <c r="AD256" s="958"/>
      <c r="AE256" s="1056" t="str">
        <f>IF($AD256,$AD256*TreatyCatch!CD486/SUM(TreatyCatch!$CD486:$CE486,TreatyCatch!$CG486:$CH486),"")</f>
        <v/>
      </c>
      <c r="AF256" s="1057" t="str">
        <f>IF($AD256,$AD256*TreatyCatch!CE486/SUM(TreatyCatch!$CD486:$CE486,TreatyCatch!$CG486:$CH486),"")</f>
        <v/>
      </c>
      <c r="AG256" s="1058" t="str">
        <f t="shared" si="115"/>
        <v/>
      </c>
      <c r="AH256" s="1059" t="str">
        <f>IF($AD256,$AD256*TreatyCatch!CG486/SUM(TreatyCatch!$CD486:CE486,TreatyCatch!$CG486:$CH486),"")</f>
        <v/>
      </c>
      <c r="AI256" s="1060" t="str">
        <f>IF($AD256,$AD256*TreatyCatch!CH486/SUM(TreatyCatch!$CD486:CF486,TreatyCatch!$CG486:$CH486),"")</f>
        <v/>
      </c>
      <c r="AJ256" s="1061" t="str">
        <f t="shared" si="116"/>
        <v/>
      </c>
      <c r="AK256" s="958"/>
      <c r="AL256" s="852"/>
      <c r="AM256" s="853"/>
      <c r="AN256" s="846"/>
      <c r="AO256" s="893"/>
      <c r="AP256" s="894"/>
      <c r="AQ256" s="957"/>
      <c r="AR256" s="765"/>
      <c r="AS256" s="882"/>
      <c r="AT256" s="883"/>
      <c r="AU256" s="871"/>
      <c r="AV256" s="858"/>
      <c r="AW256" s="859"/>
      <c r="AX256" s="840"/>
      <c r="AY256" s="765"/>
      <c r="AZ256" s="852"/>
      <c r="BA256" s="853"/>
      <c r="BB256" s="846"/>
      <c r="BC256" s="893"/>
      <c r="BD256" s="894"/>
      <c r="BE256" s="957"/>
      <c r="BF256" s="765"/>
      <c r="BG256" s="882"/>
      <c r="BH256" s="883"/>
      <c r="BI256" s="871"/>
      <c r="BJ256" s="858"/>
      <c r="BK256" s="859"/>
      <c r="BL256" s="840"/>
      <c r="BM256" s="765"/>
      <c r="BN256" s="852"/>
      <c r="BO256" s="853"/>
      <c r="BP256" s="846"/>
      <c r="BQ256" s="893"/>
      <c r="BR256" s="894"/>
      <c r="BS256" s="957"/>
      <c r="BT256" s="765"/>
      <c r="BU256" s="882"/>
      <c r="BV256" s="883"/>
      <c r="BW256" s="871"/>
      <c r="BX256" s="858"/>
      <c r="BY256" s="859"/>
      <c r="BZ256" s="840"/>
      <c r="CA256" s="1687">
        <f>SUM(CB256:CC257,CE256:CF256)</f>
        <v>12</v>
      </c>
      <c r="CB256" s="852">
        <v>0</v>
      </c>
      <c r="CC256" s="853">
        <v>0</v>
      </c>
      <c r="CD256" s="1073">
        <f t="shared" ref="CD256" si="118">CB256+CC256*CF$5</f>
        <v>0</v>
      </c>
      <c r="CE256" s="893">
        <v>11</v>
      </c>
      <c r="CF256" s="894">
        <v>1</v>
      </c>
      <c r="CG256" s="1080">
        <f>CE256+CF256*CF$5</f>
        <v>11.086600000000001</v>
      </c>
      <c r="CH256" s="765"/>
      <c r="CI256" s="882"/>
      <c r="CJ256" s="883"/>
      <c r="CK256" s="871"/>
      <c r="CL256" s="858"/>
      <c r="CM256" s="859"/>
      <c r="CN256" s="840"/>
    </row>
    <row r="257" spans="1:92" x14ac:dyDescent="0.25">
      <c r="A257" s="757">
        <v>16</v>
      </c>
      <c r="B257" s="765"/>
      <c r="C257" s="870" t="str">
        <f>IF($B257,$B257*TreatyCatch!BF254/SUM(TreatyCatch!$BF254:$BG254,TreatyCatch!$BI254:$BJ254),"")</f>
        <v/>
      </c>
      <c r="D257" s="870" t="str">
        <f>IF($B257,$B257*TreatyCatch!BG254/SUM(TreatyCatch!$BF254:$BG254,TreatyCatch!$BI254:$BJ254),"")</f>
        <v/>
      </c>
      <c r="E257" s="871" t="str">
        <f t="shared" si="109"/>
        <v/>
      </c>
      <c r="F257" s="838" t="str">
        <f>IF($B257,$B257*TreatyCatch!BI254/SUM(TreatyCatch!$BF254:$BG254,TreatyCatch!$BI254:$BJ254),"")</f>
        <v/>
      </c>
      <c r="G257" s="866" t="str">
        <f>IF($B257,$B257*TreatyCatch!BJ254/SUM(TreatyCatch!$BF254:$BG254,TreatyCatch!$BI254:$BJ254),"")</f>
        <v/>
      </c>
      <c r="H257" s="840" t="str">
        <f t="shared" si="110"/>
        <v/>
      </c>
      <c r="I257" s="765"/>
      <c r="J257" s="852" t="str">
        <f>IF($I257,$I257*TreatyCatch!BL254/SUM(TreatyCatch!$BL254:$BM254,TreatyCatch!$BO254:$BP254),"")</f>
        <v/>
      </c>
      <c r="K257" s="853" t="str">
        <f>IF($I257,$I257*TreatyCatch!BM254/SUM(TreatyCatch!$BL254:$BM254,TreatyCatch!$BO254:$BP254),"")</f>
        <v/>
      </c>
      <c r="L257" s="846" t="str">
        <f t="shared" si="107"/>
        <v/>
      </c>
      <c r="M257" s="893" t="str">
        <f>IF($I257,$I257*TreatyCatch!BO254/SUM(TreatyCatch!$BL254:$BM254,TreatyCatch!$BO254:$BP254),"")</f>
        <v/>
      </c>
      <c r="N257" s="894" t="str">
        <f>IF($I257,$I257*TreatyCatch!BP254/SUM(TreatyCatch!$BL254:$BM254,TreatyCatch!$BO254:$BP254),"")</f>
        <v/>
      </c>
      <c r="O257" s="877" t="str">
        <f t="shared" si="108"/>
        <v/>
      </c>
      <c r="P257" s="765"/>
      <c r="Q257" s="882" t="str">
        <f>IF($P257,$P257*TreatyCatch!BR254/SUM(TreatyCatch!$BR254:$BS254,TreatyCatch!$BU254:$BV254),"")</f>
        <v/>
      </c>
      <c r="R257" s="883" t="str">
        <f>IF($P257,$P257*TreatyCatch!BS254/SUM(TreatyCatch!$BR254:$BS254,TreatyCatch!$BU254:$BV254),"")</f>
        <v/>
      </c>
      <c r="S257" s="871" t="str">
        <f t="shared" si="111"/>
        <v/>
      </c>
      <c r="T257" s="858" t="str">
        <f>IF($P257,$P257*TreatyCatch!BU254/SUM(TreatyCatch!$BR254:$BS254,TreatyCatch!$BU254:$BV254),"")</f>
        <v/>
      </c>
      <c r="U257" s="859" t="str">
        <f>IF($P257,$P257*TreatyCatch!BV254/SUM(TreatyCatch!$BR254:$BS254,TreatyCatch!$BU254:$BV254),"")</f>
        <v/>
      </c>
      <c r="V257" s="840" t="str">
        <f t="shared" si="112"/>
        <v/>
      </c>
      <c r="W257" s="958"/>
      <c r="X257" s="852" t="str">
        <f>IF($W257,$W257*TreatyCatch!BX254/SUM(TreatyCatch!$BX254:$BY254,TreatyCatch!$CA254:$CB254),"")</f>
        <v/>
      </c>
      <c r="Y257" s="853" t="str">
        <f>IF($W257,$W257*TreatyCatch!BY254/SUM(TreatyCatch!$BX254:$BY254,TreatyCatch!$CA254:$CB254),"")</f>
        <v/>
      </c>
      <c r="Z257" s="846" t="str">
        <f t="shared" si="113"/>
        <v/>
      </c>
      <c r="AA257" s="893" t="str">
        <f>IF($W257,$W257*TreatyCatch!CA254/SUM(TreatyCatch!$BX254:$BY254,TreatyCatch!$CA254:$CB254),"")</f>
        <v/>
      </c>
      <c r="AB257" s="894" t="str">
        <f>IF($W257,$W257*TreatyCatch!CB254/SUM(TreatyCatch!$BX254:$BY254,TreatyCatch!$CA254:$CB254),"")</f>
        <v/>
      </c>
      <c r="AC257" s="957" t="str">
        <f t="shared" si="114"/>
        <v/>
      </c>
      <c r="AD257" s="958"/>
      <c r="AE257" s="1056" t="str">
        <f>IF($AD257,$AD257*TreatyCatch!CD487/SUM(TreatyCatch!$CD487:$CE487,TreatyCatch!$CG487:$CH487),"")</f>
        <v/>
      </c>
      <c r="AF257" s="1057" t="str">
        <f>IF($AD257,$AD257*TreatyCatch!CE487/SUM(TreatyCatch!$CD487:$CE487,TreatyCatch!$CG487:$CH487),"")</f>
        <v/>
      </c>
      <c r="AG257" s="1058" t="str">
        <f t="shared" si="115"/>
        <v/>
      </c>
      <c r="AH257" s="1059" t="str">
        <f>IF($AD257,$AD257*TreatyCatch!CG487/SUM(TreatyCatch!$CD487:CE487,TreatyCatch!$CG487:$CH487),"")</f>
        <v/>
      </c>
      <c r="AI257" s="1060" t="str">
        <f>IF($AD257,$AD257*TreatyCatch!CH487/SUM(TreatyCatch!$CD487:CF487,TreatyCatch!$CG487:$CH487),"")</f>
        <v/>
      </c>
      <c r="AJ257" s="1061" t="str">
        <f t="shared" si="116"/>
        <v/>
      </c>
      <c r="AK257" s="958"/>
      <c r="AL257" s="852"/>
      <c r="AM257" s="853"/>
      <c r="AN257" s="846"/>
      <c r="AO257" s="893"/>
      <c r="AP257" s="894"/>
      <c r="AQ257" s="957"/>
      <c r="AR257" s="765"/>
      <c r="AS257" s="882"/>
      <c r="AT257" s="883"/>
      <c r="AU257" s="871"/>
      <c r="AV257" s="858"/>
      <c r="AW257" s="859"/>
      <c r="AX257" s="840"/>
      <c r="AY257" s="765"/>
      <c r="AZ257" s="852"/>
      <c r="BA257" s="853"/>
      <c r="BB257" s="846"/>
      <c r="BC257" s="893"/>
      <c r="BD257" s="894"/>
      <c r="BE257" s="957"/>
      <c r="BF257" s="765"/>
      <c r="BG257" s="882"/>
      <c r="BH257" s="883"/>
      <c r="BI257" s="871"/>
      <c r="BJ257" s="858"/>
      <c r="BK257" s="859"/>
      <c r="BL257" s="840"/>
      <c r="BM257" s="765"/>
      <c r="BN257" s="852"/>
      <c r="BO257" s="853"/>
      <c r="BP257" s="846"/>
      <c r="BQ257" s="893"/>
      <c r="BR257" s="894"/>
      <c r="BS257" s="957"/>
      <c r="BT257" s="765"/>
      <c r="BU257" s="882"/>
      <c r="BV257" s="883"/>
      <c r="BW257" s="871"/>
      <c r="BX257" s="858"/>
      <c r="BY257" s="859"/>
      <c r="BZ257" s="840"/>
      <c r="CA257" s="765"/>
      <c r="CB257" s="852"/>
      <c r="CC257" s="853"/>
      <c r="CD257" s="846"/>
      <c r="CE257" s="893"/>
      <c r="CF257" s="894"/>
      <c r="CG257" s="957"/>
      <c r="CH257" s="765"/>
      <c r="CI257" s="882"/>
      <c r="CJ257" s="883"/>
      <c r="CK257" s="871"/>
      <c r="CL257" s="858"/>
      <c r="CM257" s="859"/>
      <c r="CN257" s="840"/>
    </row>
    <row r="258" spans="1:92" x14ac:dyDescent="0.25">
      <c r="A258" s="758">
        <v>17</v>
      </c>
      <c r="B258" s="766"/>
      <c r="C258" s="872" t="str">
        <f>IF($B258,$B258*TreatyCatch!BF255/SUM(TreatyCatch!$BF255:$BG255,TreatyCatch!$BI255:$BJ255),"")</f>
        <v/>
      </c>
      <c r="D258" s="872" t="str">
        <f>IF($B258,$B258*TreatyCatch!BG255/SUM(TreatyCatch!$BF255:$BG255,TreatyCatch!$BI255:$BJ255),"")</f>
        <v/>
      </c>
      <c r="E258" s="873" t="str">
        <f t="shared" si="109"/>
        <v/>
      </c>
      <c r="F258" s="843" t="str">
        <f>IF($B258,$B258*TreatyCatch!BI255/SUM(TreatyCatch!$BF255:$BG255,TreatyCatch!$BI255:$BJ255),"")</f>
        <v/>
      </c>
      <c r="G258" s="867" t="str">
        <f>IF($B258,$B258*TreatyCatch!BJ255/SUM(TreatyCatch!$BF255:$BG255,TreatyCatch!$BI255:$BJ255),"")</f>
        <v/>
      </c>
      <c r="H258" s="841" t="str">
        <f t="shared" si="110"/>
        <v/>
      </c>
      <c r="I258" s="766"/>
      <c r="J258" s="854" t="str">
        <f>IF($I258,$I258*TreatyCatch!BL255/SUM(TreatyCatch!$BL255:$BM255,TreatyCatch!$BO255:$BP255),"")</f>
        <v/>
      </c>
      <c r="K258" s="855" t="str">
        <f>IF($I258,$I258*TreatyCatch!BM255/SUM(TreatyCatch!$BL255:$BM255,TreatyCatch!$BO255:$BP255),"")</f>
        <v/>
      </c>
      <c r="L258" s="847" t="str">
        <f t="shared" si="107"/>
        <v/>
      </c>
      <c r="M258" s="895" t="str">
        <f>IF($I258,$I258*TreatyCatch!BO255/SUM(TreatyCatch!$BL255:$BM255,TreatyCatch!$BO255:$BP255),"")</f>
        <v/>
      </c>
      <c r="N258" s="896" t="str">
        <f>IF($I258,$I258*TreatyCatch!BP255/SUM(TreatyCatch!$BL255:$BM255,TreatyCatch!$BO255:$BP255),"")</f>
        <v/>
      </c>
      <c r="O258" s="879" t="str">
        <f t="shared" si="108"/>
        <v/>
      </c>
      <c r="P258" s="766"/>
      <c r="Q258" s="885" t="str">
        <f>IF($P258,$P258*TreatyCatch!BR255/SUM(TreatyCatch!$BR255:$BS255,TreatyCatch!$BU255:$BV255),"")</f>
        <v/>
      </c>
      <c r="R258" s="886" t="str">
        <f>IF($P258,$P258*TreatyCatch!BS255/SUM(TreatyCatch!$BR255:$BS255,TreatyCatch!$BU255:$BV255),"")</f>
        <v/>
      </c>
      <c r="S258" s="873" t="str">
        <f t="shared" si="111"/>
        <v/>
      </c>
      <c r="T258" s="861" t="str">
        <f>IF($P258,$P258*TreatyCatch!BU255/SUM(TreatyCatch!$BR255:$BS255,TreatyCatch!$BU255:$BV255),"")</f>
        <v/>
      </c>
      <c r="U258" s="862" t="str">
        <f>IF($P258,$P258*TreatyCatch!BV255/SUM(TreatyCatch!$BR255:$BS255,TreatyCatch!$BU255:$BV255),"")</f>
        <v/>
      </c>
      <c r="V258" s="841" t="str">
        <f t="shared" si="112"/>
        <v/>
      </c>
      <c r="W258" s="964"/>
      <c r="X258" s="854" t="str">
        <f>IF($W258,$W258*TreatyCatch!BX255/SUM(TreatyCatch!$BX255:$BY255,TreatyCatch!$CA255:$CB255),"")</f>
        <v/>
      </c>
      <c r="Y258" s="855" t="str">
        <f>IF($W258,$W258*TreatyCatch!BY255/SUM(TreatyCatch!$BX255:$BY255,TreatyCatch!$CA255:$CB255),"")</f>
        <v/>
      </c>
      <c r="Z258" s="847" t="str">
        <f t="shared" si="113"/>
        <v/>
      </c>
      <c r="AA258" s="895" t="str">
        <f>IF($W258,$W258*TreatyCatch!CA255/SUM(TreatyCatch!$BX255:$BY255,TreatyCatch!$CA255:$CB255),"")</f>
        <v/>
      </c>
      <c r="AB258" s="896" t="str">
        <f>IF($W258,$W258*TreatyCatch!CB255/SUM(TreatyCatch!$BX255:$BY255,TreatyCatch!$CA255:$CB255),"")</f>
        <v/>
      </c>
      <c r="AC258" s="963" t="str">
        <f t="shared" si="114"/>
        <v/>
      </c>
      <c r="AD258" s="964"/>
      <c r="AE258" s="1062" t="str">
        <f>IF($AD258,$AD258*TreatyCatch!CD488/SUM(TreatyCatch!$CD488:$CE488,TreatyCatch!$CG488:$CH488),"")</f>
        <v/>
      </c>
      <c r="AF258" s="1063" t="str">
        <f>IF($AD258,$AD258*TreatyCatch!CE488/SUM(TreatyCatch!$CD488:$CE488,TreatyCatch!$CG488:$CH488),"")</f>
        <v/>
      </c>
      <c r="AG258" s="1064" t="str">
        <f t="shared" si="115"/>
        <v/>
      </c>
      <c r="AH258" s="1065" t="str">
        <f>IF($AD258,$AD258*TreatyCatch!CG488/SUM(TreatyCatch!$CD488:CE488,TreatyCatch!$CG488:$CH488),"")</f>
        <v/>
      </c>
      <c r="AI258" s="1066" t="str">
        <f>IF($AD258,$AD258*TreatyCatch!CH488/SUM(TreatyCatch!$CD488:CF488,TreatyCatch!$CG488:$CH488),"")</f>
        <v/>
      </c>
      <c r="AJ258" s="1067" t="str">
        <f t="shared" si="116"/>
        <v/>
      </c>
      <c r="AK258" s="964"/>
      <c r="AL258" s="854"/>
      <c r="AM258" s="855"/>
      <c r="AN258" s="847"/>
      <c r="AO258" s="895"/>
      <c r="AP258" s="896"/>
      <c r="AQ258" s="963"/>
      <c r="AR258" s="766"/>
      <c r="AS258" s="885"/>
      <c r="AT258" s="886"/>
      <c r="AU258" s="873"/>
      <c r="AV258" s="861"/>
      <c r="AW258" s="862"/>
      <c r="AX258" s="841"/>
      <c r="AY258" s="766"/>
      <c r="AZ258" s="854"/>
      <c r="BA258" s="855"/>
      <c r="BB258" s="847"/>
      <c r="BC258" s="895"/>
      <c r="BD258" s="896"/>
      <c r="BE258" s="963"/>
      <c r="BF258" s="766"/>
      <c r="BG258" s="885"/>
      <c r="BH258" s="886"/>
      <c r="BI258" s="873"/>
      <c r="BJ258" s="861"/>
      <c r="BK258" s="862"/>
      <c r="BL258" s="841"/>
      <c r="BM258" s="766"/>
      <c r="BN258" s="854"/>
      <c r="BO258" s="855"/>
      <c r="BP258" s="847"/>
      <c r="BQ258" s="895"/>
      <c r="BR258" s="896"/>
      <c r="BS258" s="963"/>
      <c r="BT258" s="766"/>
      <c r="BU258" s="885"/>
      <c r="BV258" s="886"/>
      <c r="BW258" s="873"/>
      <c r="BX258" s="861"/>
      <c r="BY258" s="862"/>
      <c r="BZ258" s="841"/>
      <c r="CA258" s="766"/>
      <c r="CB258" s="854"/>
      <c r="CC258" s="855"/>
      <c r="CD258" s="847"/>
      <c r="CE258" s="895"/>
      <c r="CF258" s="896"/>
      <c r="CG258" s="963"/>
      <c r="CH258" s="766"/>
      <c r="CI258" s="885"/>
      <c r="CJ258" s="886"/>
      <c r="CK258" s="873"/>
      <c r="CL258" s="861"/>
      <c r="CM258" s="862"/>
      <c r="CN258" s="841"/>
    </row>
    <row r="259" spans="1:92" x14ac:dyDescent="0.25">
      <c r="A259" s="757">
        <v>18</v>
      </c>
      <c r="B259" s="765"/>
      <c r="C259" s="898" t="str">
        <f>IF($B259,$B259*TreatyCatch!BF256/SUM(TreatyCatch!$BF256:$BG256,TreatyCatch!$BI256:$BJ256),"")</f>
        <v/>
      </c>
      <c r="D259" s="844" t="str">
        <f>IF($B259,$B259*TreatyCatch!BG256/SUM(TreatyCatch!$BF256:$BG256,TreatyCatch!$BI256:$BJ256),"")</f>
        <v/>
      </c>
      <c r="E259" s="846" t="str">
        <f>IFERROR(C259+N$5*D259,"")</f>
        <v/>
      </c>
      <c r="F259" s="838" t="str">
        <f>IF($B259,$B259*TreatyCatch!BI256/SUM(TreatyCatch!$BF256:$BG256,TreatyCatch!$BI256:$BJ256),"")</f>
        <v/>
      </c>
      <c r="G259" s="866" t="str">
        <f>IF($B259,$B259*TreatyCatch!BJ256/SUM(TreatyCatch!$BF256:$BG256,TreatyCatch!$BI256:$BJ256),"")</f>
        <v/>
      </c>
      <c r="H259" s="840" t="str">
        <f t="shared" si="110"/>
        <v/>
      </c>
      <c r="I259" s="765"/>
      <c r="J259" s="882" t="str">
        <f>IF($I259,$I259*TreatyCatch!BL256/SUM(TreatyCatch!$BL256:$BM256,TreatyCatch!$BO256:$BP256),"")</f>
        <v/>
      </c>
      <c r="K259" s="883" t="str">
        <f>IF($I259,$I259*TreatyCatch!BM256/SUM(TreatyCatch!$BL256:$BM256,TreatyCatch!$BO256:$BP256),"")</f>
        <v/>
      </c>
      <c r="L259" s="901" t="str">
        <f>IFERROR(J259+U$5*K259,"")</f>
        <v/>
      </c>
      <c r="M259" s="893" t="str">
        <f>IF($I259,$I259*TreatyCatch!BO256/SUM(TreatyCatch!$BL256:$BM256,TreatyCatch!$BO256:$BP256),"")</f>
        <v/>
      </c>
      <c r="N259" s="894" t="str">
        <f>IF($I259,$I259*TreatyCatch!BP256/SUM(TreatyCatch!$BL256:$BM256,TreatyCatch!$BO256:$BP256),"")</f>
        <v/>
      </c>
      <c r="O259" s="877" t="str">
        <f t="shared" si="108"/>
        <v/>
      </c>
      <c r="P259" s="765"/>
      <c r="Q259" s="852" t="str">
        <f>IF($P259,$P259*TreatyCatch!BR256/SUM(TreatyCatch!$BR256:$BS256,TreatyCatch!$BU256:$BV256),"")</f>
        <v/>
      </c>
      <c r="R259" s="853" t="str">
        <f>IF($P259,$P259*TreatyCatch!BS256/SUM(TreatyCatch!$BR256:$BS256,TreatyCatch!$BU256:$BV256),"")</f>
        <v/>
      </c>
      <c r="S259" s="846" t="str">
        <f>IFERROR(Q259+V$5*AB259,"")</f>
        <v/>
      </c>
      <c r="T259" s="858" t="str">
        <f>IF($P259,$P259*TreatyCatch!BU256/SUM(TreatyCatch!$BR256:$BS256,TreatyCatch!$BU256:$BV256),"")</f>
        <v/>
      </c>
      <c r="U259" s="859" t="str">
        <f>IF($P259,$P259*TreatyCatch!BV256/SUM(TreatyCatch!$BR256:$BS256,TreatyCatch!$BU256:$BV256),"")</f>
        <v/>
      </c>
      <c r="V259" s="840" t="str">
        <f t="shared" si="112"/>
        <v/>
      </c>
      <c r="W259" s="958"/>
      <c r="X259" s="880" t="str">
        <f>IF($W259,$W259*TreatyCatch!BX256/SUM(TreatyCatch!$BX256:$BY256,TreatyCatch!$CA256:$CB256),"")</f>
        <v/>
      </c>
      <c r="Y259" s="881" t="str">
        <f>IF($W259,$W259*TreatyCatch!BY256/SUM(TreatyCatch!$BX256:$BY256,TreatyCatch!$CA256:$CB256),"")</f>
        <v/>
      </c>
      <c r="Z259" s="900" t="str">
        <f>IFERROR(X259+AC$5*AI259,"")</f>
        <v/>
      </c>
      <c r="AA259" s="891" t="str">
        <f>IF($W259,$W259*TreatyCatch!CA256/SUM(TreatyCatch!$BX256:$BY256,TreatyCatch!$CA256:$CB256),"")</f>
        <v/>
      </c>
      <c r="AB259" s="892" t="str">
        <f>IF($W259,$W259*TreatyCatch!CB256/SUM(TreatyCatch!$BX256:$BY256,TreatyCatch!$CA256:$CB256),"")</f>
        <v/>
      </c>
      <c r="AC259" s="956" t="str">
        <f t="shared" si="114"/>
        <v/>
      </c>
      <c r="AD259" s="958"/>
      <c r="AE259" s="1071" t="str">
        <f>IF($AD259,$AD259*TreatyCatch!CD489/SUM(TreatyCatch!$CD489:$CE489,TreatyCatch!$CG489:$CH489),"")</f>
        <v/>
      </c>
      <c r="AF259" s="1072" t="str">
        <f>IF($AD259,$AD259*TreatyCatch!CE489/SUM(TreatyCatch!$CD489:$CE489,TreatyCatch!$CG489:$CH489),"")</f>
        <v/>
      </c>
      <c r="AG259" s="1073" t="str">
        <f>IFERROR(AE259+AP$5*AF259,"")</f>
        <v/>
      </c>
      <c r="AH259" s="1059" t="str">
        <f>IF($AD259,$AD259*TreatyCatch!CG489/SUM(TreatyCatch!$CD489:CE489,TreatyCatch!$CG489:$CH489),"")</f>
        <v/>
      </c>
      <c r="AI259" s="1060" t="str">
        <f>IF($AD259,$AD259*TreatyCatch!CH489/SUM(TreatyCatch!$CD489:CF489,TreatyCatch!$CG489:$CH489),"")</f>
        <v/>
      </c>
      <c r="AJ259" s="1061" t="str">
        <f t="shared" si="116"/>
        <v/>
      </c>
      <c r="AK259" s="969"/>
      <c r="AL259" s="880"/>
      <c r="AM259" s="881"/>
      <c r="AN259" s="900"/>
      <c r="AO259" s="891"/>
      <c r="AP259" s="892"/>
      <c r="AQ259" s="956"/>
      <c r="AR259" s="765"/>
      <c r="AS259" s="852"/>
      <c r="AT259" s="853"/>
      <c r="AU259" s="846"/>
      <c r="AV259" s="858"/>
      <c r="AW259" s="859"/>
      <c r="AX259" s="840"/>
      <c r="AY259" s="765"/>
      <c r="AZ259" s="880"/>
      <c r="BA259" s="881"/>
      <c r="BB259" s="900"/>
      <c r="BC259" s="891"/>
      <c r="BD259" s="892"/>
      <c r="BE259" s="956"/>
      <c r="BF259" s="765"/>
      <c r="BG259" s="852"/>
      <c r="BH259" s="853"/>
      <c r="BI259" s="846"/>
      <c r="BJ259" s="858"/>
      <c r="BK259" s="859"/>
      <c r="BL259" s="840"/>
      <c r="BM259" s="765"/>
      <c r="BN259" s="880"/>
      <c r="BO259" s="881"/>
      <c r="BP259" s="900"/>
      <c r="BQ259" s="891"/>
      <c r="BR259" s="892"/>
      <c r="BS259" s="956"/>
      <c r="BT259" s="765"/>
      <c r="BU259" s="852"/>
      <c r="BV259" s="853"/>
      <c r="BW259" s="846"/>
      <c r="BX259" s="858"/>
      <c r="BY259" s="859"/>
      <c r="BZ259" s="840"/>
      <c r="CA259" s="765"/>
      <c r="CB259" s="880"/>
      <c r="CC259" s="881"/>
      <c r="CD259" s="900"/>
      <c r="CE259" s="891"/>
      <c r="CF259" s="892"/>
      <c r="CG259" s="956"/>
      <c r="CH259" s="765"/>
      <c r="CI259" s="852"/>
      <c r="CJ259" s="853"/>
      <c r="CK259" s="846"/>
      <c r="CL259" s="858"/>
      <c r="CM259" s="859"/>
      <c r="CN259" s="840"/>
    </row>
    <row r="260" spans="1:92" x14ac:dyDescent="0.25">
      <c r="A260" s="757">
        <v>19</v>
      </c>
      <c r="B260" s="765"/>
      <c r="C260" s="844" t="str">
        <f>IF($B260,$B260*TreatyCatch!BF257/SUM(TreatyCatch!$BF257:$BG257,TreatyCatch!$BI257:$BJ257),"")</f>
        <v/>
      </c>
      <c r="D260" s="844" t="str">
        <f>IF($B260,$B260*TreatyCatch!BG257/SUM(TreatyCatch!$BF257:$BG257,TreatyCatch!$BI257:$BJ257),"")</f>
        <v/>
      </c>
      <c r="E260" s="846" t="str">
        <f t="shared" ref="E260:E294" si="119">IFERROR(C260+N$5*D260,"")</f>
        <v/>
      </c>
      <c r="F260" s="838" t="str">
        <f>IF($B260,$B260*TreatyCatch!BI257/SUM(TreatyCatch!$BF257:$BG257,TreatyCatch!$BI257:$BJ257),"")</f>
        <v/>
      </c>
      <c r="G260" s="866" t="str">
        <f>IF($B260,$B260*TreatyCatch!BJ257/SUM(TreatyCatch!$BF257:$BG257,TreatyCatch!$BI257:$BJ257),"")</f>
        <v/>
      </c>
      <c r="H260" s="840" t="str">
        <f t="shared" si="110"/>
        <v/>
      </c>
      <c r="I260" s="765"/>
      <c r="J260" s="882" t="str">
        <f>IF($I260,$I260*TreatyCatch!BL257/SUM(TreatyCatch!$BL257:$BM257,TreatyCatch!$BO257:$BP257),"")</f>
        <v/>
      </c>
      <c r="K260" s="883" t="str">
        <f>IF($I260,$I260*TreatyCatch!BM257/SUM(TreatyCatch!$BL257:$BM257,TreatyCatch!$BO257:$BP257),"")</f>
        <v/>
      </c>
      <c r="L260" s="901" t="str">
        <f t="shared" ref="L260:L294" si="120">IFERROR(J260+U$5*K260,"")</f>
        <v/>
      </c>
      <c r="M260" s="893" t="str">
        <f>IF($I260,$I260*TreatyCatch!BO257/SUM(TreatyCatch!$BL257:$BM257,TreatyCatch!$BO257:$BP257),"")</f>
        <v/>
      </c>
      <c r="N260" s="894" t="str">
        <f>IF($I260,$I260*TreatyCatch!BP257/SUM(TreatyCatch!$BL257:$BM257,TreatyCatch!$BO257:$BP257),"")</f>
        <v/>
      </c>
      <c r="O260" s="877" t="str">
        <f t="shared" si="108"/>
        <v/>
      </c>
      <c r="P260" s="765"/>
      <c r="Q260" s="852" t="str">
        <f>IF($P260,$P260*TreatyCatch!BR257/SUM(TreatyCatch!$BR257:$BS257,TreatyCatch!$BU257:$BV257),"")</f>
        <v/>
      </c>
      <c r="R260" s="853" t="str">
        <f>IF($P260,$P260*TreatyCatch!BS257/SUM(TreatyCatch!$BR257:$BS257,TreatyCatch!$BU257:$BV257),"")</f>
        <v/>
      </c>
      <c r="S260" s="856" t="str">
        <f t="shared" ref="S260:S294" si="121">IFERROR(Q260+V$5*AB260,"")</f>
        <v/>
      </c>
      <c r="T260" s="858" t="str">
        <f>IF($P260,$P260*TreatyCatch!BU257/SUM(TreatyCatch!$BR257:$BS257,TreatyCatch!$BU257:$BV257),"")</f>
        <v/>
      </c>
      <c r="U260" s="859" t="str">
        <f>IF($P260,$P260*TreatyCatch!BV257/SUM(TreatyCatch!$BR257:$BS257,TreatyCatch!$BU257:$BV257),"")</f>
        <v/>
      </c>
      <c r="V260" s="840" t="str">
        <f t="shared" si="112"/>
        <v/>
      </c>
      <c r="W260" s="958"/>
      <c r="X260" s="882" t="str">
        <f>IF($W260,$W260*TreatyCatch!BX257/SUM(TreatyCatch!$BX257:$BY257,TreatyCatch!$CA257:$CB257),"")</f>
        <v/>
      </c>
      <c r="Y260" s="883" t="str">
        <f>IF($W260,$W260*TreatyCatch!BY257/SUM(TreatyCatch!$BX257:$BY257,TreatyCatch!$CA257:$CB257),"")</f>
        <v/>
      </c>
      <c r="Z260" s="901" t="str">
        <f t="shared" ref="Z260:Z294" si="122">IFERROR(X260+AC$5*AI260,"")</f>
        <v/>
      </c>
      <c r="AA260" s="893" t="str">
        <f>IF($W260,$W260*TreatyCatch!CA257/SUM(TreatyCatch!$BX257:$BY257,TreatyCatch!$CA257:$CB257),"")</f>
        <v/>
      </c>
      <c r="AB260" s="894" t="str">
        <f>IF($W260,$W260*TreatyCatch!CB257/SUM(TreatyCatch!$BX257:$BY257,TreatyCatch!$CA257:$CB257),"")</f>
        <v/>
      </c>
      <c r="AC260" s="957" t="str">
        <f t="shared" si="114"/>
        <v/>
      </c>
      <c r="AD260" s="958"/>
      <c r="AE260" s="1071" t="str">
        <f>IF($AD260,$AD260*TreatyCatch!CD490/SUM(TreatyCatch!$CD490:$CE490,TreatyCatch!$CG490:$CH490),"")</f>
        <v/>
      </c>
      <c r="AF260" s="1072" t="str">
        <f>IF($AD260,$AD260*TreatyCatch!CE490/SUM(TreatyCatch!$CD490:$CE490,TreatyCatch!$CG490:$CH490),"")</f>
        <v/>
      </c>
      <c r="AG260" s="1073" t="str">
        <f t="shared" ref="AG260:AG294" si="123">IFERROR(AE260+AP$5*AF260,"")</f>
        <v/>
      </c>
      <c r="AH260" s="1059" t="str">
        <f>IF($AD260,$AD260*TreatyCatch!CG490/SUM(TreatyCatch!$CD490:CE490,TreatyCatch!$CG490:$CH490),"")</f>
        <v/>
      </c>
      <c r="AI260" s="1060" t="str">
        <f>IF($AD260,$AD260*TreatyCatch!CH490/SUM(TreatyCatch!$CD490:CF490,TreatyCatch!$CG490:$CH490),"")</f>
        <v/>
      </c>
      <c r="AJ260" s="1061" t="str">
        <f t="shared" si="116"/>
        <v/>
      </c>
      <c r="AK260" s="958">
        <v>39</v>
      </c>
      <c r="AL260" s="882">
        <v>0</v>
      </c>
      <c r="AM260" s="883">
        <v>0</v>
      </c>
      <c r="AN260" s="901">
        <f t="shared" ref="AN260:AN261" si="124">IFERROR(AL260+AW$5*AM260,"")</f>
        <v>0</v>
      </c>
      <c r="AO260" s="893">
        <v>0</v>
      </c>
      <c r="AP260" s="894">
        <v>39</v>
      </c>
      <c r="AQ260" s="957">
        <f t="shared" ref="AQ260:AQ261" si="125">IFERROR(AO260+AP$5*AP260,"")</f>
        <v>3.4241999999999999</v>
      </c>
      <c r="AR260" s="765">
        <v>28</v>
      </c>
      <c r="AS260" s="852">
        <v>0</v>
      </c>
      <c r="AT260" s="853">
        <v>0</v>
      </c>
      <c r="AU260" s="1073">
        <f t="shared" ref="AU260:AU261" si="126">IFERROR(AS260+BD$5*AT260,"")</f>
        <v>0</v>
      </c>
      <c r="AV260" s="858">
        <v>14.7</v>
      </c>
      <c r="AW260" s="859">
        <v>10.3</v>
      </c>
      <c r="AX260" s="1061">
        <f t="shared" ref="AX260:AX261" si="127">IFERROR(AV260+AW$5*AW260,"")</f>
        <v>15.59404</v>
      </c>
      <c r="AY260" s="1657">
        <f>SUM(AZ260:BA260,BC260:BD260)</f>
        <v>94</v>
      </c>
      <c r="AZ260" s="882">
        <v>0</v>
      </c>
      <c r="BA260" s="883">
        <v>1.3</v>
      </c>
      <c r="BB260" s="1058">
        <f t="shared" ref="BB260:BB262" si="128">IFERROR(AZ260+BK$5*BA260,"")</f>
        <v>0.11102000000000001</v>
      </c>
      <c r="BC260" s="893">
        <v>36.6</v>
      </c>
      <c r="BD260" s="894">
        <v>56.1</v>
      </c>
      <c r="BE260" s="1080">
        <f>IFERROR(BC260+BD$5*BD260,"")</f>
        <v>41.615340000000003</v>
      </c>
      <c r="BF260" s="765">
        <v>45</v>
      </c>
      <c r="BG260" s="852">
        <v>0</v>
      </c>
      <c r="BH260" s="853">
        <v>0</v>
      </c>
      <c r="BI260" s="1073">
        <f t="shared" ref="BI260" si="129">IFERROR(BG260+BR$5*BH260,"")</f>
        <v>0</v>
      </c>
      <c r="BJ260" s="858">
        <v>24.5</v>
      </c>
      <c r="BK260" s="859">
        <v>20.5</v>
      </c>
      <c r="BL260" s="1061">
        <f>IFERROR(BJ260+BK$5*BK260,"")</f>
        <v>26.250700000000002</v>
      </c>
      <c r="BM260" s="1657"/>
      <c r="BN260" s="882"/>
      <c r="BO260" s="883"/>
      <c r="BP260" s="1058"/>
      <c r="BQ260" s="893"/>
      <c r="BR260" s="894"/>
      <c r="BS260" s="1080"/>
      <c r="BT260" s="765"/>
      <c r="BU260" s="852"/>
      <c r="BV260" s="853"/>
      <c r="BW260" s="1073"/>
      <c r="BX260" s="858"/>
      <c r="BY260" s="859"/>
      <c r="BZ260" s="1061"/>
      <c r="CA260" s="765">
        <f>SUM(CB260:CC261,CE260:CF260)</f>
        <v>42</v>
      </c>
      <c r="CB260" s="882">
        <v>0</v>
      </c>
      <c r="CC260" s="883">
        <v>0</v>
      </c>
      <c r="CD260" s="1058">
        <f>CB260+CC260*CM$5</f>
        <v>0</v>
      </c>
      <c r="CE260" s="893">
        <v>18.8</v>
      </c>
      <c r="CF260" s="894">
        <v>23.2</v>
      </c>
      <c r="CG260" s="1080">
        <f>CE260+CF260*CF$5</f>
        <v>20.80912</v>
      </c>
      <c r="CH260" s="765"/>
      <c r="CI260" s="852"/>
      <c r="CJ260" s="853"/>
      <c r="CK260" s="1073"/>
      <c r="CL260" s="858"/>
      <c r="CM260" s="859"/>
      <c r="CN260" s="1061"/>
    </row>
    <row r="261" spans="1:92" x14ac:dyDescent="0.25">
      <c r="A261" s="757">
        <v>20</v>
      </c>
      <c r="B261" s="765">
        <v>57</v>
      </c>
      <c r="C261" s="844">
        <f>IF($B261,$B261*TreatyCatch!BF258/SUM(TreatyCatch!$BF258:$BG258,TreatyCatch!$BI258:$BJ258),"")</f>
        <v>1.0363636363636364</v>
      </c>
      <c r="D261" s="844">
        <f>IF($B261,$B261*TreatyCatch!BG258/SUM(TreatyCatch!$BF258:$BG258,TreatyCatch!$BI258:$BJ258),"")</f>
        <v>1.0363636363636364</v>
      </c>
      <c r="E261" s="846">
        <f t="shared" si="119"/>
        <v>1.126009090909091</v>
      </c>
      <c r="F261" s="838">
        <f>IF($B261,$B261*TreatyCatch!BI258/SUM(TreatyCatch!$BF258:$BG258,TreatyCatch!$BI258:$BJ258),"")</f>
        <v>17.618181818181817</v>
      </c>
      <c r="G261" s="866">
        <f>IF($B261,$B261*TreatyCatch!BJ258/SUM(TreatyCatch!$BF258:$BG258,TreatyCatch!$BI258:$BJ258),"")</f>
        <v>37.309090909090912</v>
      </c>
      <c r="H261" s="840">
        <f t="shared" si="110"/>
        <v>20.084312727272728</v>
      </c>
      <c r="I261" s="765">
        <v>84</v>
      </c>
      <c r="J261" s="882">
        <f>IF($I261,$I261*TreatyCatch!BL258/SUM(TreatyCatch!$BL258:$BM258,TreatyCatch!$BO258:$BP258),"")</f>
        <v>1.8876404494382022</v>
      </c>
      <c r="K261" s="883">
        <f>IF($I261,$I261*TreatyCatch!BM258/SUM(TreatyCatch!$BL258:$BM258,TreatyCatch!$BO258:$BP258),"")</f>
        <v>0</v>
      </c>
      <c r="L261" s="901">
        <f t="shared" si="120"/>
        <v>1.8876404494382022</v>
      </c>
      <c r="M261" s="893">
        <f>IF($I261,$I261*TreatyCatch!BO258/SUM(TreatyCatch!$BL258:$BM258,TreatyCatch!$BO258:$BP258),"")</f>
        <v>26.0827495042961</v>
      </c>
      <c r="N261" s="894">
        <f>IF($I261,$I261*TreatyCatch!BP258/SUM(TreatyCatch!$BL258:$BM258,TreatyCatch!$BO258:$BP258),"")</f>
        <v>56.029610046265695</v>
      </c>
      <c r="O261" s="877">
        <f t="shared" si="108"/>
        <v>30.929310773298081</v>
      </c>
      <c r="P261" s="765">
        <v>63</v>
      </c>
      <c r="Q261" s="852">
        <f>IF($P261,$P261*TreatyCatch!BR258/SUM(TreatyCatch!$BR258:$BS258,TreatyCatch!$BU258:$BV258),"")</f>
        <v>0</v>
      </c>
      <c r="R261" s="853">
        <f>IF($P261,$P261*TreatyCatch!BS258/SUM(TreatyCatch!$BR258:$BS258,TreatyCatch!$BU258:$BV258),"")</f>
        <v>0</v>
      </c>
      <c r="S261" s="952">
        <f t="shared" si="121"/>
        <v>0</v>
      </c>
      <c r="T261" s="858">
        <f>IF($P261,$P261*TreatyCatch!BU258/SUM(TreatyCatch!$BR258:$BS258,TreatyCatch!$BU258:$BV258),"")</f>
        <v>23.999999999999996</v>
      </c>
      <c r="U261" s="859">
        <f>IF($P261,$P261*TreatyCatch!BV258/SUM(TreatyCatch!$BR258:$BS258,TreatyCatch!$BU258:$BV258),"")</f>
        <v>39</v>
      </c>
      <c r="V261" s="840">
        <f t="shared" si="112"/>
        <v>27.431999999999995</v>
      </c>
      <c r="W261" s="958">
        <v>31</v>
      </c>
      <c r="X261" s="882">
        <v>0</v>
      </c>
      <c r="Y261" s="883">
        <v>0</v>
      </c>
      <c r="Z261" s="901">
        <f t="shared" si="122"/>
        <v>0</v>
      </c>
      <c r="AA261" s="893">
        <v>16.91</v>
      </c>
      <c r="AB261" s="894">
        <v>14.09</v>
      </c>
      <c r="AC261" s="957">
        <f t="shared" si="114"/>
        <v>18.133012000000001</v>
      </c>
      <c r="AD261" s="958">
        <v>12</v>
      </c>
      <c r="AE261" s="1071">
        <v>0</v>
      </c>
      <c r="AF261" s="1072">
        <v>0</v>
      </c>
      <c r="AG261" s="1073">
        <f t="shared" si="123"/>
        <v>0</v>
      </c>
      <c r="AH261" s="1059">
        <v>4</v>
      </c>
      <c r="AI261" s="1060">
        <v>8</v>
      </c>
      <c r="AJ261" s="1061">
        <f t="shared" si="116"/>
        <v>4.7080000000000002</v>
      </c>
      <c r="AK261" s="958">
        <v>30</v>
      </c>
      <c r="AL261" s="882">
        <v>0</v>
      </c>
      <c r="AM261" s="883">
        <v>0</v>
      </c>
      <c r="AN261" s="901">
        <f t="shared" si="124"/>
        <v>0</v>
      </c>
      <c r="AO261" s="893">
        <v>12</v>
      </c>
      <c r="AP261" s="894">
        <v>18</v>
      </c>
      <c r="AQ261" s="957">
        <f t="shared" si="125"/>
        <v>13.580400000000001</v>
      </c>
      <c r="AR261" s="765">
        <v>23</v>
      </c>
      <c r="AS261" s="852">
        <v>2</v>
      </c>
      <c r="AT261" s="853">
        <v>0</v>
      </c>
      <c r="AU261" s="1073">
        <f t="shared" si="126"/>
        <v>2</v>
      </c>
      <c r="AV261" s="858">
        <v>7</v>
      </c>
      <c r="AW261" s="859">
        <v>14</v>
      </c>
      <c r="AX261" s="1061">
        <f t="shared" si="127"/>
        <v>8.2151999999999994</v>
      </c>
      <c r="AY261" s="1657">
        <f t="shared" ref="AY261:AY262" si="130">SUM(AZ261:BA261,BC261:BD261)</f>
        <v>93</v>
      </c>
      <c r="AZ261" s="882">
        <v>3.8</v>
      </c>
      <c r="BA261" s="883">
        <v>0</v>
      </c>
      <c r="BB261" s="1058">
        <f t="shared" si="128"/>
        <v>3.8</v>
      </c>
      <c r="BC261" s="893">
        <v>15.2</v>
      </c>
      <c r="BD261" s="894">
        <v>74</v>
      </c>
      <c r="BE261" s="1080">
        <f>IFERROR(BC261+BD$5*BD261,"")</f>
        <v>21.8156</v>
      </c>
      <c r="BF261" s="765"/>
      <c r="BG261" s="852"/>
      <c r="BH261" s="853"/>
      <c r="BI261" s="1073"/>
      <c r="BJ261" s="858"/>
      <c r="BK261" s="859"/>
      <c r="BL261" s="1061"/>
      <c r="BM261" s="1687">
        <f>SUM(BN261:BO262,BQ261:BR261)</f>
        <v>47</v>
      </c>
      <c r="BN261" s="882">
        <v>0</v>
      </c>
      <c r="BO261" s="883">
        <v>0</v>
      </c>
      <c r="BP261" s="1058">
        <f>BN261+BO261*BY$5</f>
        <v>0</v>
      </c>
      <c r="BQ261" s="893">
        <v>2.5</v>
      </c>
      <c r="BR261" s="894">
        <v>44.5</v>
      </c>
      <c r="BS261" s="1080">
        <f>BQ261+BR261*BR$5</f>
        <v>6.3003</v>
      </c>
      <c r="BT261" s="765">
        <f>SUM(BU261:BV262,BX261:BY261)</f>
        <v>71.099999999999994</v>
      </c>
      <c r="BU261" s="852">
        <v>3.5</v>
      </c>
      <c r="BV261" s="853">
        <v>0</v>
      </c>
      <c r="BW261" s="1073">
        <f>BU261+BV261*CF$5</f>
        <v>3.5</v>
      </c>
      <c r="BX261" s="858">
        <v>17.8</v>
      </c>
      <c r="BY261" s="859">
        <v>49.8</v>
      </c>
      <c r="BZ261" s="1061">
        <f>BX261+BY261*BY$5</f>
        <v>21.8338</v>
      </c>
      <c r="CA261" s="1657"/>
      <c r="CB261" s="882"/>
      <c r="CC261" s="883"/>
      <c r="CD261" s="1058"/>
      <c r="CE261" s="893"/>
      <c r="CF261" s="894"/>
      <c r="CG261" s="1080"/>
      <c r="CH261" s="765"/>
      <c r="CI261" s="852"/>
      <c r="CJ261" s="853"/>
      <c r="CK261" s="1073"/>
      <c r="CL261" s="858"/>
      <c r="CM261" s="859"/>
      <c r="CN261" s="1061"/>
    </row>
    <row r="262" spans="1:92" x14ac:dyDescent="0.25">
      <c r="A262" s="757">
        <v>21</v>
      </c>
      <c r="B262" s="765"/>
      <c r="C262" s="844" t="str">
        <f>IF($B262,$B262*TreatyCatch!BF259/SUM(TreatyCatch!$BF259:$BG259,TreatyCatch!$BI259:$BJ259),"")</f>
        <v/>
      </c>
      <c r="D262" s="844" t="str">
        <f>IF($B262,$B262*TreatyCatch!BG259/SUM(TreatyCatch!$BF259:$BG259,TreatyCatch!$BI259:$BJ259),"")</f>
        <v/>
      </c>
      <c r="E262" s="846" t="str">
        <f t="shared" si="119"/>
        <v/>
      </c>
      <c r="F262" s="838" t="str">
        <f>IF($B262,$B262*TreatyCatch!BI259/SUM(TreatyCatch!$BF259:$BG259,TreatyCatch!$BI259:$BJ259),"")</f>
        <v/>
      </c>
      <c r="G262" s="866" t="str">
        <f>IF($B262,$B262*TreatyCatch!BJ259/SUM(TreatyCatch!$BF259:$BG259,TreatyCatch!$BI259:$BJ259),"")</f>
        <v/>
      </c>
      <c r="H262" s="840" t="str">
        <f t="shared" si="110"/>
        <v/>
      </c>
      <c r="I262" s="765">
        <v>52</v>
      </c>
      <c r="J262" s="882">
        <f>IF($I262,$I262*TreatyCatch!BL259/SUM(TreatyCatch!$BL259:$BM259,TreatyCatch!$BO259:$BP259),"")</f>
        <v>1.0612244897959182</v>
      </c>
      <c r="K262" s="883">
        <f>IF($I262,$I262*TreatyCatch!BM259/SUM(TreatyCatch!$BL259:$BM259,TreatyCatch!$BO259:$BP259),"")</f>
        <v>0</v>
      </c>
      <c r="L262" s="901">
        <f t="shared" si="120"/>
        <v>1.0612244897959182</v>
      </c>
      <c r="M262" s="893">
        <f>IF($I262,$I262*TreatyCatch!BO259/SUM(TreatyCatch!$BL259:$BM259,TreatyCatch!$BO259:$BP259),"")</f>
        <v>14.857142857142858</v>
      </c>
      <c r="N262" s="894">
        <f>IF($I262,$I262*TreatyCatch!BP259/SUM(TreatyCatch!$BL259:$BM259,TreatyCatch!$BO259:$BP259),"")</f>
        <v>36.08163265306122</v>
      </c>
      <c r="O262" s="877">
        <f t="shared" si="108"/>
        <v>17.978204081632654</v>
      </c>
      <c r="P262" s="765">
        <v>38</v>
      </c>
      <c r="Q262" s="852">
        <f>IF($P262,$P262*TreatyCatch!BR259/SUM(TreatyCatch!$BR259:$BS259,TreatyCatch!$BU259:$BV259),"")</f>
        <v>0</v>
      </c>
      <c r="R262" s="853">
        <f>IF($P262,$P262*TreatyCatch!BS259/SUM(TreatyCatch!$BR259:$BS259,TreatyCatch!$BU259:$BV259),"")</f>
        <v>0</v>
      </c>
      <c r="S262" s="952">
        <f t="shared" si="121"/>
        <v>0</v>
      </c>
      <c r="T262" s="858">
        <f>IF($P262,$P262*TreatyCatch!BU259/SUM(TreatyCatch!$BR259:$BS259,TreatyCatch!$BU259:$BV259),"")</f>
        <v>15.695652173913041</v>
      </c>
      <c r="U262" s="859">
        <f>IF($P262,$P262*TreatyCatch!BV259/SUM(TreatyCatch!$BR259:$BS259,TreatyCatch!$BU259:$BV259),"")</f>
        <v>22.304347826086957</v>
      </c>
      <c r="V262" s="840">
        <f t="shared" si="112"/>
        <v>17.658434782608694</v>
      </c>
      <c r="W262" s="958">
        <v>40</v>
      </c>
      <c r="X262" s="882">
        <v>0</v>
      </c>
      <c r="Y262" s="883">
        <v>0</v>
      </c>
      <c r="Z262" s="901">
        <f t="shared" si="122"/>
        <v>0</v>
      </c>
      <c r="AA262" s="893">
        <v>0</v>
      </c>
      <c r="AB262" s="894">
        <v>40</v>
      </c>
      <c r="AC262" s="957">
        <f t="shared" si="114"/>
        <v>3.472</v>
      </c>
      <c r="AD262" s="958">
        <v>15</v>
      </c>
      <c r="AE262" s="1071">
        <v>0</v>
      </c>
      <c r="AF262" s="1072">
        <v>0</v>
      </c>
      <c r="AG262" s="1073">
        <f t="shared" si="123"/>
        <v>0</v>
      </c>
      <c r="AH262" s="1059">
        <v>7.5</v>
      </c>
      <c r="AI262" s="1060">
        <v>7.5</v>
      </c>
      <c r="AJ262" s="1061">
        <f t="shared" si="116"/>
        <v>8.1637500000000003</v>
      </c>
      <c r="AK262" s="958"/>
      <c r="AL262" s="882"/>
      <c r="AM262" s="883"/>
      <c r="AN262" s="901"/>
      <c r="AO262" s="893"/>
      <c r="AP262" s="894"/>
      <c r="AQ262" s="957"/>
      <c r="AR262" s="765"/>
      <c r="AS262" s="852"/>
      <c r="AT262" s="853"/>
      <c r="AU262" s="952"/>
      <c r="AV262" s="858"/>
      <c r="AW262" s="859"/>
      <c r="AX262" s="840"/>
      <c r="AY262" s="1657">
        <f t="shared" si="130"/>
        <v>32</v>
      </c>
      <c r="AZ262" s="882">
        <v>0</v>
      </c>
      <c r="BA262" s="883">
        <v>0</v>
      </c>
      <c r="BB262" s="1058">
        <f t="shared" si="128"/>
        <v>0</v>
      </c>
      <c r="BC262" s="893">
        <v>8</v>
      </c>
      <c r="BD262" s="894">
        <v>24</v>
      </c>
      <c r="BE262" s="1080">
        <f>IFERROR(BC262+BD$5*BD262,"")</f>
        <v>10.1456</v>
      </c>
      <c r="BF262" s="765">
        <v>40</v>
      </c>
      <c r="BG262" s="852">
        <v>0</v>
      </c>
      <c r="BH262" s="853">
        <v>0</v>
      </c>
      <c r="BI262" s="1073">
        <f t="shared" ref="BI262" si="131">IFERROR(BG262+BR$5*BH262,"")</f>
        <v>0</v>
      </c>
      <c r="BJ262" s="858">
        <v>3.4</v>
      </c>
      <c r="BK262" s="859">
        <v>37.6</v>
      </c>
      <c r="BL262" s="1061">
        <f>IFERROR(BJ262+BK$5*BK262,"")</f>
        <v>6.61104</v>
      </c>
      <c r="BM262" s="1657"/>
      <c r="BN262" s="882"/>
      <c r="BO262" s="883"/>
      <c r="BP262" s="1058"/>
      <c r="BQ262" s="893"/>
      <c r="BR262" s="894"/>
      <c r="BS262" s="1080"/>
      <c r="BT262" s="765"/>
      <c r="BU262" s="852"/>
      <c r="BV262" s="853"/>
      <c r="BW262" s="1073"/>
      <c r="BX262" s="858"/>
      <c r="BY262" s="859"/>
      <c r="BZ262" s="1061"/>
      <c r="CA262" s="765">
        <f>SUM(CB262:CC263,CE262:CF262)</f>
        <v>16</v>
      </c>
      <c r="CB262" s="882">
        <v>0</v>
      </c>
      <c r="CC262" s="883">
        <v>0</v>
      </c>
      <c r="CD262" s="1058">
        <f>CB262+CC262*CM$5</f>
        <v>0</v>
      </c>
      <c r="CE262" s="893">
        <v>4</v>
      </c>
      <c r="CF262" s="894">
        <v>12</v>
      </c>
      <c r="CG262" s="1080">
        <f>CE262+CF262*CF$5</f>
        <v>5.0392000000000001</v>
      </c>
      <c r="CH262" s="765"/>
      <c r="CI262" s="852"/>
      <c r="CJ262" s="853"/>
      <c r="CK262" s="1073"/>
      <c r="CL262" s="858"/>
      <c r="CM262" s="859"/>
      <c r="CN262" s="1061"/>
    </row>
    <row r="263" spans="1:92" x14ac:dyDescent="0.25">
      <c r="A263" s="757">
        <v>22</v>
      </c>
      <c r="B263" s="765">
        <v>59</v>
      </c>
      <c r="C263" s="844">
        <f>IF($B263,$B263*TreatyCatch!BF260/SUM(TreatyCatch!$BF260:$BG260,TreatyCatch!$BI260:$BJ260),"")</f>
        <v>0</v>
      </c>
      <c r="D263" s="844">
        <f>IF($B263,$B263*TreatyCatch!BG260/SUM(TreatyCatch!$BF260:$BG260,TreatyCatch!$BI260:$BJ260),"")</f>
        <v>1</v>
      </c>
      <c r="E263" s="846">
        <f t="shared" si="119"/>
        <v>8.6499999999999994E-2</v>
      </c>
      <c r="F263" s="838">
        <f>IF($B263,$B263*TreatyCatch!BI260/SUM(TreatyCatch!$BF260:$BG260,TreatyCatch!$BI260:$BJ260),"")</f>
        <v>13</v>
      </c>
      <c r="G263" s="866">
        <f>IF($B263,$B263*TreatyCatch!BJ260/SUM(TreatyCatch!$BF260:$BG260,TreatyCatch!$BI260:$BJ260),"")</f>
        <v>45</v>
      </c>
      <c r="H263" s="840">
        <f t="shared" si="110"/>
        <v>15.974500000000001</v>
      </c>
      <c r="I263" s="765"/>
      <c r="J263" s="882" t="str">
        <f>IF($I263,$I263*TreatyCatch!BL260/SUM(TreatyCatch!$BL260:$BM260,TreatyCatch!$BO260:$BP260),"")</f>
        <v/>
      </c>
      <c r="K263" s="883" t="str">
        <f>IF($I263,$I263*TreatyCatch!BM260/SUM(TreatyCatch!$BL260:$BM260,TreatyCatch!$BO260:$BP260),"")</f>
        <v/>
      </c>
      <c r="L263" s="901" t="str">
        <f t="shared" si="120"/>
        <v/>
      </c>
      <c r="M263" s="893" t="str">
        <f>IF($I263,$I263*TreatyCatch!BO260/SUM(TreatyCatch!$BL260:$BM260,TreatyCatch!$BO260:$BP260),"")</f>
        <v/>
      </c>
      <c r="N263" s="894" t="str">
        <f>IF($I263,$I263*TreatyCatch!BP260/SUM(TreatyCatch!$BL260:$BM260,TreatyCatch!$BO260:$BP260),"")</f>
        <v/>
      </c>
      <c r="O263" s="877" t="str">
        <f t="shared" si="108"/>
        <v/>
      </c>
      <c r="P263" s="765">
        <v>14</v>
      </c>
      <c r="Q263" s="852">
        <f>IF($P263,$P263*TreatyCatch!BR260/SUM(TreatyCatch!$BR260:$BS260,TreatyCatch!$BU260:$BV260),"")</f>
        <v>0.93333333333333335</v>
      </c>
      <c r="R263" s="853">
        <f>IF($P263,$P263*TreatyCatch!BS260/SUM(TreatyCatch!$BR260:$BS260,TreatyCatch!$BU260:$BV260),"")</f>
        <v>0</v>
      </c>
      <c r="S263" s="952" t="str">
        <f t="shared" si="121"/>
        <v/>
      </c>
      <c r="T263" s="858">
        <f>IF($P263,$P263*TreatyCatch!BU260/SUM(TreatyCatch!$BR260:$BS260,TreatyCatch!$BU260:$BV260),"")</f>
        <v>1.8666666666666667</v>
      </c>
      <c r="U263" s="859">
        <f>IF($P263,$P263*TreatyCatch!BV260/SUM(TreatyCatch!$BR260:$BS260,TreatyCatch!$BU260:$BV260),"")</f>
        <v>11.200000000000001</v>
      </c>
      <c r="V263" s="840">
        <f t="shared" si="112"/>
        <v>2.8522666666666669</v>
      </c>
      <c r="W263" s="958"/>
      <c r="X263" s="882" t="str">
        <f>IF($W263,$W263*TreatyCatch!BX260/SUM(TreatyCatch!$BX260:$BY260,TreatyCatch!$CA260:$CB260),"")</f>
        <v/>
      </c>
      <c r="Y263" s="883" t="str">
        <f>IF($W263,$W263*TreatyCatch!BY260/SUM(TreatyCatch!$BX260:$BY260,TreatyCatch!$CA260:$CB260),"")</f>
        <v/>
      </c>
      <c r="Z263" s="901" t="str">
        <f t="shared" si="122"/>
        <v/>
      </c>
      <c r="AA263" s="893" t="str">
        <f>IF($W263,$W263*TreatyCatch!CA260/SUM(TreatyCatch!$BX260:$BY260,TreatyCatch!$CA260:$CB260),"")</f>
        <v/>
      </c>
      <c r="AB263" s="894" t="str">
        <f>IF($W263,$W263*TreatyCatch!CB260/SUM(TreatyCatch!$BX260:$BY260,TreatyCatch!$CA260:$CB260),"")</f>
        <v/>
      </c>
      <c r="AC263" s="957" t="str">
        <f t="shared" si="114"/>
        <v/>
      </c>
      <c r="AD263" s="958"/>
      <c r="AE263" s="1071" t="str">
        <f>IF($AD263,$AD263*TreatyCatch!CD493/SUM(TreatyCatch!$CD493:$CE493,TreatyCatch!$CG493:$CH493),"")</f>
        <v/>
      </c>
      <c r="AF263" s="1072" t="str">
        <f>IF($AD263,$AD263*TreatyCatch!CE493/SUM(TreatyCatch!$CD493:$CE493,TreatyCatch!$CG493:$CH493),"")</f>
        <v/>
      </c>
      <c r="AG263" s="1073" t="str">
        <f t="shared" si="123"/>
        <v/>
      </c>
      <c r="AH263" s="1059" t="str">
        <f>IF($AD263,$AD263*TreatyCatch!CG493/SUM(TreatyCatch!$CD493:CE493,TreatyCatch!$CG493:$CH493),"")</f>
        <v/>
      </c>
      <c r="AI263" s="1060" t="str">
        <f>IF($AD263,$AD263*TreatyCatch!CH493/SUM(TreatyCatch!$CD493:CF493,TreatyCatch!$CG493:$CH493),"")</f>
        <v/>
      </c>
      <c r="AJ263" s="1061" t="str">
        <f t="shared" si="116"/>
        <v/>
      </c>
      <c r="AK263" s="958"/>
      <c r="AL263" s="882"/>
      <c r="AM263" s="883"/>
      <c r="AN263" s="901"/>
      <c r="AO263" s="893"/>
      <c r="AP263" s="894"/>
      <c r="AQ263" s="957"/>
      <c r="AR263" s="765"/>
      <c r="AS263" s="852"/>
      <c r="AT263" s="853"/>
      <c r="AU263" s="952"/>
      <c r="AV263" s="858"/>
      <c r="AW263" s="859"/>
      <c r="AX263" s="840"/>
      <c r="AY263" s="765"/>
      <c r="AZ263" s="882"/>
      <c r="BA263" s="883"/>
      <c r="BB263" s="901"/>
      <c r="BC263" s="893"/>
      <c r="BD263" s="894"/>
      <c r="BE263" s="957"/>
      <c r="BF263" s="765"/>
      <c r="BG263" s="852"/>
      <c r="BH263" s="853"/>
      <c r="BI263" s="952"/>
      <c r="BJ263" s="858"/>
      <c r="BK263" s="859"/>
      <c r="BL263" s="840"/>
      <c r="BM263" s="765"/>
      <c r="BN263" s="882"/>
      <c r="BO263" s="883"/>
      <c r="BP263" s="901"/>
      <c r="BQ263" s="893"/>
      <c r="BR263" s="894"/>
      <c r="BS263" s="957"/>
      <c r="BT263" s="765"/>
      <c r="BU263" s="852"/>
      <c r="BV263" s="853"/>
      <c r="BW263" s="952"/>
      <c r="BX263" s="858"/>
      <c r="BY263" s="859"/>
      <c r="BZ263" s="840"/>
      <c r="CA263" s="765"/>
      <c r="CB263" s="882"/>
      <c r="CC263" s="883"/>
      <c r="CD263" s="901"/>
      <c r="CE263" s="893"/>
      <c r="CF263" s="894"/>
      <c r="CG263" s="957"/>
      <c r="CH263" s="765"/>
      <c r="CI263" s="852"/>
      <c r="CJ263" s="853"/>
      <c r="CK263" s="952"/>
      <c r="CL263" s="858"/>
      <c r="CM263" s="859"/>
      <c r="CN263" s="840"/>
    </row>
    <row r="264" spans="1:92" x14ac:dyDescent="0.25">
      <c r="A264" s="757">
        <v>23</v>
      </c>
      <c r="B264" s="765"/>
      <c r="C264" s="844" t="str">
        <f>IF($B264,$B264*TreatyCatch!BF261/SUM(TreatyCatch!$BF261:$BG261,TreatyCatch!$BI261:$BJ261),"")</f>
        <v/>
      </c>
      <c r="D264" s="844" t="str">
        <f>IF($B264,$B264*TreatyCatch!BG261/SUM(TreatyCatch!$BF261:$BG261,TreatyCatch!$BI261:$BJ261),"")</f>
        <v/>
      </c>
      <c r="E264" s="846" t="str">
        <f t="shared" si="119"/>
        <v/>
      </c>
      <c r="F264" s="838" t="str">
        <f>IF($B264,$B264*TreatyCatch!BI261/SUM(TreatyCatch!$BF261:$BG261,TreatyCatch!$BI261:$BJ261),"")</f>
        <v/>
      </c>
      <c r="G264" s="866" t="str">
        <f>IF($B264,$B264*TreatyCatch!BJ261/SUM(TreatyCatch!$BF261:$BG261,TreatyCatch!$BI261:$BJ261),"")</f>
        <v/>
      </c>
      <c r="H264" s="840" t="str">
        <f t="shared" si="110"/>
        <v/>
      </c>
      <c r="I264" s="765"/>
      <c r="J264" s="882" t="str">
        <f>IF($I264,$I264*TreatyCatch!BL261/SUM(TreatyCatch!$BL261:$BM261,TreatyCatch!$BO261:$BP261),"")</f>
        <v/>
      </c>
      <c r="K264" s="883" t="str">
        <f>IF($I264,$I264*TreatyCatch!BM261/SUM(TreatyCatch!$BL261:$BM261,TreatyCatch!$BO261:$BP261),"")</f>
        <v/>
      </c>
      <c r="L264" s="901" t="str">
        <f t="shared" si="120"/>
        <v/>
      </c>
      <c r="M264" s="893" t="str">
        <f>IF($I264,$I264*TreatyCatch!BO261/SUM(TreatyCatch!$BL261:$BM261,TreatyCatch!$BO261:$BP261),"")</f>
        <v/>
      </c>
      <c r="N264" s="894" t="str">
        <f>IF($I264,$I264*TreatyCatch!BP261/SUM(TreatyCatch!$BL261:$BM261,TreatyCatch!$BO261:$BP261),"")</f>
        <v/>
      </c>
      <c r="O264" s="877" t="str">
        <f t="shared" si="108"/>
        <v/>
      </c>
      <c r="P264" s="765"/>
      <c r="Q264" s="852" t="str">
        <f>IF($P264,$P264*TreatyCatch!BR261/SUM(TreatyCatch!$BR261:$BS261,TreatyCatch!$BU261:$BV261),"")</f>
        <v/>
      </c>
      <c r="R264" s="853" t="str">
        <f>IF($P264,$P264*TreatyCatch!BS261/SUM(TreatyCatch!$BR261:$BS261,TreatyCatch!$BU261:$BV261),"")</f>
        <v/>
      </c>
      <c r="S264" s="856" t="str">
        <f t="shared" si="121"/>
        <v/>
      </c>
      <c r="T264" s="858" t="str">
        <f>IF($P264,$P264*TreatyCatch!BU261/SUM(TreatyCatch!$BR261:$BS261,TreatyCatch!$BU261:$BV261),"")</f>
        <v/>
      </c>
      <c r="U264" s="859" t="str">
        <f>IF($P264,$P264*TreatyCatch!BV261/SUM(TreatyCatch!$BR261:$BS261,TreatyCatch!$BU261:$BV261),"")</f>
        <v/>
      </c>
      <c r="V264" s="840" t="str">
        <f t="shared" si="112"/>
        <v/>
      </c>
      <c r="W264" s="958"/>
      <c r="X264" s="882" t="str">
        <f>IF($W264,$W264*TreatyCatch!BX261/SUM(TreatyCatch!$BX261:$BY261,TreatyCatch!$CA261:$CB261),"")</f>
        <v/>
      </c>
      <c r="Y264" s="883" t="str">
        <f>IF($W264,$W264*TreatyCatch!BY261/SUM(TreatyCatch!$BX261:$BY261,TreatyCatch!$CA261:$CB261),"")</f>
        <v/>
      </c>
      <c r="Z264" s="901" t="str">
        <f t="shared" si="122"/>
        <v/>
      </c>
      <c r="AA264" s="893" t="str">
        <f>IF($W264,$W264*TreatyCatch!CA261/SUM(TreatyCatch!$BX261:$BY261,TreatyCatch!$CA261:$CB261),"")</f>
        <v/>
      </c>
      <c r="AB264" s="894" t="str">
        <f>IF($W264,$W264*TreatyCatch!CB261/SUM(TreatyCatch!$BX261:$BY261,TreatyCatch!$CA261:$CB261),"")</f>
        <v/>
      </c>
      <c r="AC264" s="957" t="str">
        <f t="shared" si="114"/>
        <v/>
      </c>
      <c r="AD264" s="958"/>
      <c r="AE264" s="1071" t="str">
        <f>IF($AD264,$AD264*TreatyCatch!CD494/SUM(TreatyCatch!$CD494:$CE494,TreatyCatch!$CG494:$CH494),"")</f>
        <v/>
      </c>
      <c r="AF264" s="1072" t="str">
        <f>IF($AD264,$AD264*TreatyCatch!CE494/SUM(TreatyCatch!$CD494:$CE494,TreatyCatch!$CG494:$CH494),"")</f>
        <v/>
      </c>
      <c r="AG264" s="1073" t="str">
        <f t="shared" si="123"/>
        <v/>
      </c>
      <c r="AH264" s="1059" t="str">
        <f>IF($AD264,$AD264*TreatyCatch!CG494/SUM(TreatyCatch!$CD494:CE494,TreatyCatch!$CG494:$CH494),"")</f>
        <v/>
      </c>
      <c r="AI264" s="1060" t="str">
        <f>IF($AD264,$AD264*TreatyCatch!CH494/SUM(TreatyCatch!$CD494:CF494,TreatyCatch!$CG494:$CH494),"")</f>
        <v/>
      </c>
      <c r="AJ264" s="1061" t="str">
        <f t="shared" si="116"/>
        <v/>
      </c>
      <c r="AK264" s="958"/>
      <c r="AL264" s="882"/>
      <c r="AM264" s="883"/>
      <c r="AN264" s="901"/>
      <c r="AO264" s="893"/>
      <c r="AP264" s="894"/>
      <c r="AQ264" s="957"/>
      <c r="AR264" s="765"/>
      <c r="AS264" s="852"/>
      <c r="AT264" s="853"/>
      <c r="AU264" s="856"/>
      <c r="AV264" s="858"/>
      <c r="AW264" s="859"/>
      <c r="AX264" s="840"/>
      <c r="AY264" s="765"/>
      <c r="AZ264" s="882"/>
      <c r="BA264" s="883"/>
      <c r="BB264" s="901"/>
      <c r="BC264" s="893"/>
      <c r="BD264" s="894"/>
      <c r="BE264" s="957"/>
      <c r="BF264" s="765"/>
      <c r="BG264" s="852"/>
      <c r="BH264" s="853"/>
      <c r="BI264" s="856"/>
      <c r="BJ264" s="858"/>
      <c r="BK264" s="859"/>
      <c r="BL264" s="840"/>
      <c r="BM264" s="765"/>
      <c r="BN264" s="882"/>
      <c r="BO264" s="883"/>
      <c r="BP264" s="901"/>
      <c r="BQ264" s="893"/>
      <c r="BR264" s="894"/>
      <c r="BS264" s="957"/>
      <c r="BT264" s="765"/>
      <c r="BU264" s="852"/>
      <c r="BV264" s="853"/>
      <c r="BW264" s="856"/>
      <c r="BX264" s="858"/>
      <c r="BY264" s="859"/>
      <c r="BZ264" s="840"/>
      <c r="CA264" s="765"/>
      <c r="CB264" s="882"/>
      <c r="CC264" s="883"/>
      <c r="CD264" s="901"/>
      <c r="CE264" s="893"/>
      <c r="CF264" s="894"/>
      <c r="CG264" s="957"/>
      <c r="CH264" s="765"/>
      <c r="CI264" s="852"/>
      <c r="CJ264" s="853"/>
      <c r="CK264" s="856"/>
      <c r="CL264" s="858"/>
      <c r="CM264" s="859"/>
      <c r="CN264" s="840"/>
    </row>
    <row r="265" spans="1:92" x14ac:dyDescent="0.25">
      <c r="A265" s="757">
        <v>24</v>
      </c>
      <c r="B265" s="765"/>
      <c r="C265" s="844" t="str">
        <f>IF($B265,$B265*TreatyCatch!BF262/SUM(TreatyCatch!$BF262:$BG262,TreatyCatch!$BI262:$BJ262),"")</f>
        <v/>
      </c>
      <c r="D265" s="844" t="str">
        <f>IF($B265,$B265*TreatyCatch!BG262/SUM(TreatyCatch!$BF262:$BG262,TreatyCatch!$BI262:$BJ262),"")</f>
        <v/>
      </c>
      <c r="E265" s="846" t="str">
        <f t="shared" si="119"/>
        <v/>
      </c>
      <c r="F265" s="838" t="str">
        <f>IF($B265,$B265*TreatyCatch!BI262/SUM(TreatyCatch!$BF262:$BG262,TreatyCatch!$BI262:$BJ262),"")</f>
        <v/>
      </c>
      <c r="G265" s="866" t="str">
        <f>IF($B265,$B265*TreatyCatch!BJ262/SUM(TreatyCatch!$BF262:$BG262,TreatyCatch!$BI262:$BJ262),"")</f>
        <v/>
      </c>
      <c r="H265" s="840" t="str">
        <f t="shared" si="110"/>
        <v/>
      </c>
      <c r="I265" s="765"/>
      <c r="J265" s="882" t="str">
        <f>IF($I265,$I265*TreatyCatch!BL262/SUM(TreatyCatch!$BL262:$BM262,TreatyCatch!$BO262:$BP262),"")</f>
        <v/>
      </c>
      <c r="K265" s="883" t="str">
        <f>IF($I265,$I265*TreatyCatch!BM262/SUM(TreatyCatch!$BL262:$BM262,TreatyCatch!$BO262:$BP262),"")</f>
        <v/>
      </c>
      <c r="L265" s="901" t="str">
        <f t="shared" si="120"/>
        <v/>
      </c>
      <c r="M265" s="893" t="str">
        <f>IF($I265,$I265*TreatyCatch!BO262/SUM(TreatyCatch!$BL262:$BM262,TreatyCatch!$BO262:$BP262),"")</f>
        <v/>
      </c>
      <c r="N265" s="894" t="str">
        <f>IF($I265,$I265*TreatyCatch!BP262/SUM(TreatyCatch!$BL262:$BM262,TreatyCatch!$BO262:$BP262),"")</f>
        <v/>
      </c>
      <c r="O265" s="877" t="str">
        <f t="shared" si="108"/>
        <v/>
      </c>
      <c r="P265" s="765"/>
      <c r="Q265" s="852" t="str">
        <f>IF($P265,$P265*TreatyCatch!BR262/SUM(TreatyCatch!$BR262:$BS262,TreatyCatch!$BU262:$BV262),"")</f>
        <v/>
      </c>
      <c r="R265" s="853" t="str">
        <f>IF($P265,$P265*TreatyCatch!BS262/SUM(TreatyCatch!$BR262:$BS262,TreatyCatch!$BU262:$BV262),"")</f>
        <v/>
      </c>
      <c r="S265" s="856" t="str">
        <f t="shared" si="121"/>
        <v/>
      </c>
      <c r="T265" s="858" t="str">
        <f>IF($P265,$P265*TreatyCatch!BU262/SUM(TreatyCatch!$BR262:$BS262,TreatyCatch!$BU262:$BV262),"")</f>
        <v/>
      </c>
      <c r="U265" s="859" t="str">
        <f>IF($P265,$P265*TreatyCatch!BV262/SUM(TreatyCatch!$BR262:$BS262,TreatyCatch!$BU262:$BV262),"")</f>
        <v/>
      </c>
      <c r="V265" s="840" t="str">
        <f t="shared" si="112"/>
        <v/>
      </c>
      <c r="W265" s="958"/>
      <c r="X265" s="882" t="str">
        <f>IF($W265,$W265*TreatyCatch!BX262/SUM(TreatyCatch!$BX262:$BY262,TreatyCatch!$CA262:$CB262),"")</f>
        <v/>
      </c>
      <c r="Y265" s="883" t="str">
        <f>IF($W265,$W265*TreatyCatch!BY262/SUM(TreatyCatch!$BX262:$BY262,TreatyCatch!$CA262:$CB262),"")</f>
        <v/>
      </c>
      <c r="Z265" s="901" t="str">
        <f t="shared" si="122"/>
        <v/>
      </c>
      <c r="AA265" s="893" t="str">
        <f>IF($W265,$W265*TreatyCatch!CA262/SUM(TreatyCatch!$BX262:$BY262,TreatyCatch!$CA262:$CB262),"")</f>
        <v/>
      </c>
      <c r="AB265" s="894" t="str">
        <f>IF($W265,$W265*TreatyCatch!CB262/SUM(TreatyCatch!$BX262:$BY262,TreatyCatch!$CA262:$CB262),"")</f>
        <v/>
      </c>
      <c r="AC265" s="957" t="str">
        <f t="shared" si="114"/>
        <v/>
      </c>
      <c r="AD265" s="958"/>
      <c r="AE265" s="1071" t="str">
        <f>IF($AD265,$AD265*TreatyCatch!CD495/SUM(TreatyCatch!$CD495:$CE495,TreatyCatch!$CG495:$CH495),"")</f>
        <v/>
      </c>
      <c r="AF265" s="1072" t="str">
        <f>IF($AD265,$AD265*TreatyCatch!CE495/SUM(TreatyCatch!$CD495:$CE495,TreatyCatch!$CG495:$CH495),"")</f>
        <v/>
      </c>
      <c r="AG265" s="1073" t="str">
        <f t="shared" si="123"/>
        <v/>
      </c>
      <c r="AH265" s="1059" t="str">
        <f>IF($AD265,$AD265*TreatyCatch!CG495/SUM(TreatyCatch!$CD495:CE495,TreatyCatch!$CG495:$CH495),"")</f>
        <v/>
      </c>
      <c r="AI265" s="1060" t="str">
        <f>IF($AD265,$AD265*TreatyCatch!CH495/SUM(TreatyCatch!$CD495:CF495,TreatyCatch!$CG495:$CH495),"")</f>
        <v/>
      </c>
      <c r="AJ265" s="1061" t="str">
        <f t="shared" si="116"/>
        <v/>
      </c>
      <c r="AK265" s="958"/>
      <c r="AL265" s="882"/>
      <c r="AM265" s="883"/>
      <c r="AN265" s="901"/>
      <c r="AO265" s="893"/>
      <c r="AP265" s="894"/>
      <c r="AQ265" s="957"/>
      <c r="AR265" s="765"/>
      <c r="AS265" s="852"/>
      <c r="AT265" s="853"/>
      <c r="AU265" s="856"/>
      <c r="AV265" s="858"/>
      <c r="AW265" s="859"/>
      <c r="AX265" s="840"/>
      <c r="AY265" s="765"/>
      <c r="AZ265" s="882"/>
      <c r="BA265" s="883"/>
      <c r="BB265" s="901"/>
      <c r="BC265" s="893"/>
      <c r="BD265" s="894"/>
      <c r="BE265" s="957"/>
      <c r="BF265" s="765"/>
      <c r="BG265" s="852"/>
      <c r="BH265" s="853"/>
      <c r="BI265" s="856"/>
      <c r="BJ265" s="858"/>
      <c r="BK265" s="859"/>
      <c r="BL265" s="840"/>
      <c r="BM265" s="765"/>
      <c r="BN265" s="882"/>
      <c r="BO265" s="883"/>
      <c r="BP265" s="901"/>
      <c r="BQ265" s="893"/>
      <c r="BR265" s="894"/>
      <c r="BS265" s="957"/>
      <c r="BT265" s="765"/>
      <c r="BU265" s="852"/>
      <c r="BV265" s="853"/>
      <c r="BW265" s="856"/>
      <c r="BX265" s="858"/>
      <c r="BY265" s="859"/>
      <c r="BZ265" s="840"/>
      <c r="CA265" s="765"/>
      <c r="CB265" s="882"/>
      <c r="CC265" s="883"/>
      <c r="CD265" s="901"/>
      <c r="CE265" s="893"/>
      <c r="CF265" s="894"/>
      <c r="CG265" s="957"/>
      <c r="CH265" s="765"/>
      <c r="CI265" s="852"/>
      <c r="CJ265" s="853"/>
      <c r="CK265" s="856"/>
      <c r="CL265" s="858"/>
      <c r="CM265" s="859"/>
      <c r="CN265" s="840"/>
    </row>
    <row r="266" spans="1:92" x14ac:dyDescent="0.25">
      <c r="A266" s="757">
        <v>25</v>
      </c>
      <c r="B266" s="765"/>
      <c r="C266" s="844" t="str">
        <f>IF($B266,$B266*TreatyCatch!BF263/SUM(TreatyCatch!$BF263:$BG263,TreatyCatch!$BI263:$BJ263),"")</f>
        <v/>
      </c>
      <c r="D266" s="844" t="str">
        <f>IF($B266,$B266*TreatyCatch!BG263/SUM(TreatyCatch!$BF263:$BG263,TreatyCatch!$BI263:$BJ263),"")</f>
        <v/>
      </c>
      <c r="E266" s="846" t="str">
        <f t="shared" si="119"/>
        <v/>
      </c>
      <c r="F266" s="838" t="str">
        <f>IF($B266,$B266*TreatyCatch!BI263/SUM(TreatyCatch!$BF263:$BG263,TreatyCatch!$BI263:$BJ263),"")</f>
        <v/>
      </c>
      <c r="G266" s="866" t="str">
        <f>IF($B266,$B266*TreatyCatch!BJ263/SUM(TreatyCatch!$BF263:$BG263,TreatyCatch!$BI263:$BJ263),"")</f>
        <v/>
      </c>
      <c r="H266" s="840" t="str">
        <f t="shared" si="110"/>
        <v/>
      </c>
      <c r="I266" s="765"/>
      <c r="J266" s="882" t="str">
        <f>IF($I266,$I266*TreatyCatch!BL263/SUM(TreatyCatch!$BL263:$BM263,TreatyCatch!$BO263:$BP263),"")</f>
        <v/>
      </c>
      <c r="K266" s="883" t="str">
        <f>IF($I266,$I266*TreatyCatch!BM263/SUM(TreatyCatch!$BL263:$BM263,TreatyCatch!$BO263:$BP263),"")</f>
        <v/>
      </c>
      <c r="L266" s="901" t="str">
        <f t="shared" si="120"/>
        <v/>
      </c>
      <c r="M266" s="893" t="str">
        <f>IF($I266,$I266*TreatyCatch!BO263/SUM(TreatyCatch!$BL263:$BM263,TreatyCatch!$BO263:$BP263),"")</f>
        <v/>
      </c>
      <c r="N266" s="894" t="str">
        <f>IF($I266,$I266*TreatyCatch!BP263/SUM(TreatyCatch!$BL263:$BM263,TreatyCatch!$BO263:$BP263),"")</f>
        <v/>
      </c>
      <c r="O266" s="877" t="str">
        <f t="shared" si="108"/>
        <v/>
      </c>
      <c r="P266" s="765"/>
      <c r="Q266" s="852" t="str">
        <f>IF($P266,$P266*TreatyCatch!BR263/SUM(TreatyCatch!$BR263:$BS263,TreatyCatch!$BU263:$BV263),"")</f>
        <v/>
      </c>
      <c r="R266" s="853" t="str">
        <f>IF($P266,$P266*TreatyCatch!BS263/SUM(TreatyCatch!$BR263:$BS263,TreatyCatch!$BU263:$BV263),"")</f>
        <v/>
      </c>
      <c r="S266" s="856" t="str">
        <f t="shared" si="121"/>
        <v/>
      </c>
      <c r="T266" s="858" t="str">
        <f>IF($P266,$P266*TreatyCatch!BU263/SUM(TreatyCatch!$BR263:$BS263,TreatyCatch!$BU263:$BV263),"")</f>
        <v/>
      </c>
      <c r="U266" s="859" t="str">
        <f>IF($P266,$P266*TreatyCatch!BV263/SUM(TreatyCatch!$BR263:$BS263,TreatyCatch!$BU263:$BV263),"")</f>
        <v/>
      </c>
      <c r="V266" s="840" t="str">
        <f t="shared" si="112"/>
        <v/>
      </c>
      <c r="W266" s="958"/>
      <c r="X266" s="882" t="str">
        <f>IF($W266,$W266*TreatyCatch!BX263/SUM(TreatyCatch!$BX263:$BY263,TreatyCatch!$CA263:$CB263),"")</f>
        <v/>
      </c>
      <c r="Y266" s="883" t="str">
        <f>IF($W266,$W266*TreatyCatch!BY263/SUM(TreatyCatch!$BX263:$BY263,TreatyCatch!$CA263:$CB263),"")</f>
        <v/>
      </c>
      <c r="Z266" s="901" t="str">
        <f t="shared" si="122"/>
        <v/>
      </c>
      <c r="AA266" s="893" t="str">
        <f>IF($W266,$W266*TreatyCatch!CA263/SUM(TreatyCatch!$BX263:$BY263,TreatyCatch!$CA263:$CB263),"")</f>
        <v/>
      </c>
      <c r="AB266" s="894" t="str">
        <f>IF($W266,$W266*TreatyCatch!CB263/SUM(TreatyCatch!$BX263:$BY263,TreatyCatch!$CA263:$CB263),"")</f>
        <v/>
      </c>
      <c r="AC266" s="957" t="str">
        <f t="shared" si="114"/>
        <v/>
      </c>
      <c r="AD266" s="958"/>
      <c r="AE266" s="1071" t="str">
        <f>IF($AD266,$AD266*TreatyCatch!CD496/SUM(TreatyCatch!$CD496:$CE496,TreatyCatch!$CG496:$CH496),"")</f>
        <v/>
      </c>
      <c r="AF266" s="1072" t="str">
        <f>IF($AD266,$AD266*TreatyCatch!CE496/SUM(TreatyCatch!$CD496:$CE496,TreatyCatch!$CG496:$CH496),"")</f>
        <v/>
      </c>
      <c r="AG266" s="1073" t="str">
        <f t="shared" si="123"/>
        <v/>
      </c>
      <c r="AH266" s="1059" t="str">
        <f>IF($AD266,$AD266*TreatyCatch!CG496/SUM(TreatyCatch!$CD496:CE496,TreatyCatch!$CG496:$CH496),"")</f>
        <v/>
      </c>
      <c r="AI266" s="1060" t="str">
        <f>IF($AD266,$AD266*TreatyCatch!CH496/SUM(TreatyCatch!$CD496:CF496,TreatyCatch!$CG496:$CH496),"")</f>
        <v/>
      </c>
      <c r="AJ266" s="1061" t="str">
        <f t="shared" si="116"/>
        <v/>
      </c>
      <c r="AK266" s="958"/>
      <c r="AL266" s="882"/>
      <c r="AM266" s="883"/>
      <c r="AN266" s="901"/>
      <c r="AO266" s="893"/>
      <c r="AP266" s="894"/>
      <c r="AQ266" s="957"/>
      <c r="AR266" s="765"/>
      <c r="AS266" s="852"/>
      <c r="AT266" s="853"/>
      <c r="AU266" s="856"/>
      <c r="AV266" s="858"/>
      <c r="AW266" s="859"/>
      <c r="AX266" s="840"/>
      <c r="AY266" s="765"/>
      <c r="AZ266" s="882"/>
      <c r="BA266" s="883"/>
      <c r="BB266" s="901"/>
      <c r="BC266" s="893"/>
      <c r="BD266" s="894"/>
      <c r="BE266" s="957"/>
      <c r="BF266" s="765"/>
      <c r="BG266" s="852"/>
      <c r="BH266" s="853"/>
      <c r="BI266" s="856"/>
      <c r="BJ266" s="858"/>
      <c r="BK266" s="859"/>
      <c r="BL266" s="840"/>
      <c r="BM266" s="765"/>
      <c r="BN266" s="882"/>
      <c r="BO266" s="883"/>
      <c r="BP266" s="901"/>
      <c r="BQ266" s="893"/>
      <c r="BR266" s="894"/>
      <c r="BS266" s="957"/>
      <c r="BT266" s="765"/>
      <c r="BU266" s="852"/>
      <c r="BV266" s="853"/>
      <c r="BW266" s="856"/>
      <c r="BX266" s="858"/>
      <c r="BY266" s="859"/>
      <c r="BZ266" s="840"/>
      <c r="CA266" s="765"/>
      <c r="CB266" s="882"/>
      <c r="CC266" s="883"/>
      <c r="CD266" s="901"/>
      <c r="CE266" s="893"/>
      <c r="CF266" s="894"/>
      <c r="CG266" s="957"/>
      <c r="CH266" s="765"/>
      <c r="CI266" s="852"/>
      <c r="CJ266" s="853"/>
      <c r="CK266" s="856"/>
      <c r="CL266" s="858"/>
      <c r="CM266" s="859"/>
      <c r="CN266" s="840"/>
    </row>
    <row r="267" spans="1:92" x14ac:dyDescent="0.25">
      <c r="A267" s="758">
        <v>26</v>
      </c>
      <c r="B267" s="766"/>
      <c r="C267" s="844" t="str">
        <f>IF($B267,$B267*TreatyCatch!BF264/SUM(TreatyCatch!$BF264:$BG264,TreatyCatch!$BI264:$BJ264),"")</f>
        <v/>
      </c>
      <c r="D267" s="844" t="str">
        <f>IF($B267,$B267*TreatyCatch!BG264/SUM(TreatyCatch!$BF264:$BG264,TreatyCatch!$BI264:$BJ264),"")</f>
        <v/>
      </c>
      <c r="E267" s="847" t="str">
        <f t="shared" si="119"/>
        <v/>
      </c>
      <c r="F267" s="838" t="str">
        <f>IF($B267,$B267*TreatyCatch!BI264/SUM(TreatyCatch!$BF264:$BG264,TreatyCatch!$BI264:$BJ264),"")</f>
        <v/>
      </c>
      <c r="G267" s="866" t="str">
        <f>IF($B267,$B267*TreatyCatch!BJ264/SUM(TreatyCatch!$BF264:$BG264,TreatyCatch!$BI264:$BJ264),"")</f>
        <v/>
      </c>
      <c r="H267" s="840" t="str">
        <f t="shared" si="110"/>
        <v/>
      </c>
      <c r="I267" s="765"/>
      <c r="J267" s="885" t="str">
        <f>IF($I267,$I267*TreatyCatch!BL264/SUM(TreatyCatch!$BL264:$BM264,TreatyCatch!$BO264:$BP264),"")</f>
        <v/>
      </c>
      <c r="K267" s="886" t="str">
        <f>IF($I267,$I267*TreatyCatch!BM264/SUM(TreatyCatch!$BL264:$BM264,TreatyCatch!$BO264:$BP264),"")</f>
        <v/>
      </c>
      <c r="L267" s="887" t="str">
        <f t="shared" si="120"/>
        <v/>
      </c>
      <c r="M267" s="895" t="str">
        <f>IF($I267,$I267*TreatyCatch!BO264/SUM(TreatyCatch!$BL264:$BM264,TreatyCatch!$BO264:$BP264),"")</f>
        <v/>
      </c>
      <c r="N267" s="896" t="str">
        <f>IF($I267,$I267*TreatyCatch!BP264/SUM(TreatyCatch!$BL264:$BM264,TreatyCatch!$BO264:$BP264),"")</f>
        <v/>
      </c>
      <c r="O267" s="877" t="str">
        <f t="shared" si="108"/>
        <v/>
      </c>
      <c r="P267" s="765"/>
      <c r="Q267" s="854" t="str">
        <f>IF($P267,$P267*TreatyCatch!BR264/SUM(TreatyCatch!$BR264:$BS264,TreatyCatch!$BU264:$BV264),"")</f>
        <v/>
      </c>
      <c r="R267" s="855" t="str">
        <f>IF($P267,$P267*TreatyCatch!BS264/SUM(TreatyCatch!$BR264:$BS264,TreatyCatch!$BU264:$BV264),"")</f>
        <v/>
      </c>
      <c r="S267" s="857" t="str">
        <f t="shared" si="121"/>
        <v/>
      </c>
      <c r="T267" s="861" t="str">
        <f>IF($P267,$P267*TreatyCatch!BU264/SUM(TreatyCatch!$BR264:$BS264,TreatyCatch!$BU264:$BV264),"")</f>
        <v/>
      </c>
      <c r="U267" s="862" t="str">
        <f>IF($P267,$P267*TreatyCatch!BV264/SUM(TreatyCatch!$BR264:$BS264,TreatyCatch!$BU264:$BV264),"")</f>
        <v/>
      </c>
      <c r="V267" s="840" t="str">
        <f t="shared" si="112"/>
        <v/>
      </c>
      <c r="W267" s="958"/>
      <c r="X267" s="885" t="str">
        <f>IF($W267,$W267*TreatyCatch!BX264/SUM(TreatyCatch!$BX264:$BY264,TreatyCatch!$CA264:$CB264),"")</f>
        <v/>
      </c>
      <c r="Y267" s="886" t="str">
        <f>IF($W267,$W267*TreatyCatch!BY264/SUM(TreatyCatch!$BX264:$BY264,TreatyCatch!$CA264:$CB264),"")</f>
        <v/>
      </c>
      <c r="Z267" s="902" t="str">
        <f t="shared" si="122"/>
        <v/>
      </c>
      <c r="AA267" s="895" t="str">
        <f>IF($W267,$W267*TreatyCatch!CA264/SUM(TreatyCatch!$BX264:$BY264,TreatyCatch!$CA264:$CB264),"")</f>
        <v/>
      </c>
      <c r="AB267" s="896" t="str">
        <f>IF($W267,$W267*TreatyCatch!CB264/SUM(TreatyCatch!$BX264:$BY264,TreatyCatch!$CA264:$CB264),"")</f>
        <v/>
      </c>
      <c r="AC267" s="957" t="str">
        <f t="shared" si="114"/>
        <v/>
      </c>
      <c r="AD267" s="958"/>
      <c r="AE267" s="1074" t="str">
        <f>IF($AD267,$AD267*TreatyCatch!CD497/SUM(TreatyCatch!$CD497:$CE497,TreatyCatch!$CG497:$CH497),"")</f>
        <v/>
      </c>
      <c r="AF267" s="1075" t="str">
        <f>IF($AD267,$AD267*TreatyCatch!CE497/SUM(TreatyCatch!$CD497:$CE497,TreatyCatch!$CG497:$CH497),"")</f>
        <v/>
      </c>
      <c r="AG267" s="1076" t="str">
        <f t="shared" si="123"/>
        <v/>
      </c>
      <c r="AH267" s="1065" t="str">
        <f>IF($AD267,$AD267*TreatyCatch!CG497/SUM(TreatyCatch!$CD497:CE497,TreatyCatch!$CG497:$CH497),"")</f>
        <v/>
      </c>
      <c r="AI267" s="1066" t="str">
        <f>IF($AD267,$AD267*TreatyCatch!CH497/SUM(TreatyCatch!$CD497:CF497,TreatyCatch!$CG497:$CH497),"")</f>
        <v/>
      </c>
      <c r="AJ267" s="1061" t="str">
        <f t="shared" si="116"/>
        <v/>
      </c>
      <c r="AK267" s="958"/>
      <c r="AL267" s="885"/>
      <c r="AM267" s="886"/>
      <c r="AN267" s="902"/>
      <c r="AO267" s="895"/>
      <c r="AP267" s="896"/>
      <c r="AQ267" s="957"/>
      <c r="AR267" s="765">
        <v>15</v>
      </c>
      <c r="AS267" s="854">
        <v>4.5999999999999996</v>
      </c>
      <c r="AT267" s="855">
        <v>0</v>
      </c>
      <c r="AU267" s="1076">
        <f t="shared" ref="AU267:AU268" si="132">IFERROR(AS267+BD$5*AT267,"")</f>
        <v>4.5999999999999996</v>
      </c>
      <c r="AV267" s="861">
        <v>5.8</v>
      </c>
      <c r="AW267" s="862">
        <v>4.5999999999999996</v>
      </c>
      <c r="AX267" s="1061">
        <f t="shared" ref="AX267" si="133">IFERROR(AV267+AW$5*AW267,"")</f>
        <v>6.1992799999999999</v>
      </c>
      <c r="AY267" s="1657">
        <f t="shared" ref="AY267:AY268" si="134">SUM(AZ267:BA267,BC267:BD267)</f>
        <v>3</v>
      </c>
      <c r="AZ267" s="885">
        <v>0</v>
      </c>
      <c r="BA267" s="886">
        <v>0</v>
      </c>
      <c r="BB267" s="1064">
        <f t="shared" ref="BB267:BB268" si="135">IFERROR(AZ267+BK$5*BA267,"")</f>
        <v>0</v>
      </c>
      <c r="BC267" s="895">
        <v>1</v>
      </c>
      <c r="BD267" s="896">
        <v>2</v>
      </c>
      <c r="BE267" s="1083">
        <f>IFERROR(BC267+BD$5*BD267,"")</f>
        <v>1.1788000000000001</v>
      </c>
      <c r="BF267" s="765"/>
      <c r="BG267" s="854"/>
      <c r="BH267" s="855"/>
      <c r="BI267" s="1076"/>
      <c r="BJ267" s="861"/>
      <c r="BK267" s="862"/>
      <c r="BL267" s="1061"/>
      <c r="BM267" s="1657"/>
      <c r="BN267" s="885"/>
      <c r="BO267" s="886"/>
      <c r="BP267" s="1064"/>
      <c r="BQ267" s="895"/>
      <c r="BR267" s="896"/>
      <c r="BS267" s="1083"/>
      <c r="BT267" s="765"/>
      <c r="BU267" s="854"/>
      <c r="BV267" s="855"/>
      <c r="BW267" s="1076"/>
      <c r="BX267" s="861"/>
      <c r="BY267" s="862"/>
      <c r="BZ267" s="1061"/>
      <c r="CA267" s="1657"/>
      <c r="CB267" s="885"/>
      <c r="CC267" s="886"/>
      <c r="CD267" s="1064"/>
      <c r="CE267" s="895"/>
      <c r="CF267" s="896"/>
      <c r="CG267" s="1083"/>
      <c r="CH267" s="765"/>
      <c r="CI267" s="854"/>
      <c r="CJ267" s="855"/>
      <c r="CK267" s="1076"/>
      <c r="CL267" s="861"/>
      <c r="CM267" s="862"/>
      <c r="CN267" s="1061"/>
    </row>
    <row r="268" spans="1:92" x14ac:dyDescent="0.25">
      <c r="A268" s="757">
        <v>27</v>
      </c>
      <c r="B268" s="765"/>
      <c r="C268" s="848" t="str">
        <f>IF($B268,$B268*TreatyCatch!BF265/SUM(TreatyCatch!$BF265:$BG265,TreatyCatch!$BI265:$BJ265),"")</f>
        <v/>
      </c>
      <c r="D268" s="848" t="str">
        <f>IF($B268,$B268*TreatyCatch!BG265/SUM(TreatyCatch!$BF265:$BG265,TreatyCatch!$BI265:$BJ265),"")</f>
        <v/>
      </c>
      <c r="E268" s="846" t="str">
        <f t="shared" si="119"/>
        <v/>
      </c>
      <c r="F268" s="874" t="str">
        <f>IF($B268,$B268*TreatyCatch!BI265/SUM(TreatyCatch!$BF265:$BG265,TreatyCatch!$BI265:$BJ265),"")</f>
        <v/>
      </c>
      <c r="G268" s="888" t="str">
        <f>IF($B268,$B268*TreatyCatch!BJ265/SUM(TreatyCatch!$BF265:$BG265,TreatyCatch!$BI265:$BJ265),"")</f>
        <v/>
      </c>
      <c r="H268" s="875" t="str">
        <f>IFERROR(F268+N$5*G268,"")</f>
        <v/>
      </c>
      <c r="I268" s="773"/>
      <c r="J268" s="882" t="str">
        <f>IF($I268,$I268*TreatyCatch!BL265/SUM(TreatyCatch!$BL265:$BM265,TreatyCatch!$BO265:$BP265),"")</f>
        <v/>
      </c>
      <c r="K268" s="883" t="str">
        <f>IF($I268,$I268*TreatyCatch!BM265/SUM(TreatyCatch!$BL265:$BM265,TreatyCatch!$BO265:$BP265),"")</f>
        <v/>
      </c>
      <c r="L268" s="884" t="str">
        <f t="shared" si="120"/>
        <v/>
      </c>
      <c r="M268" s="858" t="str">
        <f>IF($I268,$I268*TreatyCatch!BO265/SUM(TreatyCatch!$BL265:$BM265,TreatyCatch!$BO265:$BP265),"")</f>
        <v/>
      </c>
      <c r="N268" s="859" t="str">
        <f>IF($I268,$I268*TreatyCatch!BP265/SUM(TreatyCatch!$BL265:$BM265,TreatyCatch!$BO265:$BP265),"")</f>
        <v/>
      </c>
      <c r="O268" s="860" t="str">
        <f>IFERROR(M268+U$5*N268,"")</f>
        <v/>
      </c>
      <c r="P268" s="773"/>
      <c r="Q268" s="852" t="str">
        <f>IF($P268,$P268*TreatyCatch!BR265/SUM(TreatyCatch!$BR265:$BS265,TreatyCatch!$BU265:$BV265),"")</f>
        <v/>
      </c>
      <c r="R268" s="853" t="str">
        <f>IF($P268,$P268*TreatyCatch!BS265/SUM(TreatyCatch!$BR265:$BS265,TreatyCatch!$BU265:$BV265),"")</f>
        <v/>
      </c>
      <c r="S268" s="856" t="str">
        <f t="shared" si="121"/>
        <v/>
      </c>
      <c r="T268" s="893" t="str">
        <f>IF($P268,$P268*TreatyCatch!BU265/SUM(TreatyCatch!$BR265:$BS265,TreatyCatch!$BU265:$BV265),"")</f>
        <v/>
      </c>
      <c r="U268" s="894" t="str">
        <f>IF($P268,$P268*TreatyCatch!BV265/SUM(TreatyCatch!$BR265:$BS265,TreatyCatch!$BU265:$BV265),"")</f>
        <v/>
      </c>
      <c r="V268" s="897" t="str">
        <f>IFERROR(T268+AB$5*U268,"")</f>
        <v/>
      </c>
      <c r="W268" s="969">
        <v>1</v>
      </c>
      <c r="X268" s="882">
        <f>0.0616666666666667/0.185</f>
        <v>0.33333333333333354</v>
      </c>
      <c r="Y268" s="883">
        <v>0</v>
      </c>
      <c r="Z268" s="901" t="str">
        <f t="shared" si="122"/>
        <v/>
      </c>
      <c r="AA268" s="858">
        <f>0.0308333333333333/0.185</f>
        <v>0.16666666666666649</v>
      </c>
      <c r="AB268" s="859">
        <f>0.0925/0.185</f>
        <v>0.5</v>
      </c>
      <c r="AC268" s="924">
        <f>IFERROR(AA268+AI$5*AB268,"")</f>
        <v>0.21091666666666647</v>
      </c>
      <c r="AD268" s="969"/>
      <c r="AE268" s="1071" t="str">
        <f>IF($AD268,$AD268*TreatyCatch!CD498/SUM(TreatyCatch!$CD498:$CE498,TreatyCatch!$CG498:$CH498),"")</f>
        <v/>
      </c>
      <c r="AF268" s="1072" t="str">
        <f>IF($AD268,$AD268*TreatyCatch!CE498/SUM(TreatyCatch!$CD498:$CE498,TreatyCatch!$CG498:$CH498),"")</f>
        <v/>
      </c>
      <c r="AG268" s="1073" t="str">
        <f t="shared" si="123"/>
        <v/>
      </c>
      <c r="AH268" s="1077" t="str">
        <f>IF($AD268,$AD268*TreatyCatch!CG498/SUM(TreatyCatch!$CD498:CE498,TreatyCatch!$CG498:$CH498),"")</f>
        <v/>
      </c>
      <c r="AI268" s="1078" t="str">
        <f>IF($AD268,$AD268*TreatyCatch!CH498/SUM(TreatyCatch!$CD498:CF498,TreatyCatch!$CG498:$CH498),"")</f>
        <v/>
      </c>
      <c r="AJ268" s="1079" t="str">
        <f>IFERROR(AH268+AP$5*AI268,"")</f>
        <v/>
      </c>
      <c r="AK268" s="969"/>
      <c r="AL268" s="882"/>
      <c r="AM268" s="883"/>
      <c r="AN268" s="901"/>
      <c r="AO268" s="858"/>
      <c r="AP268" s="859"/>
      <c r="AQ268" s="924"/>
      <c r="AR268" s="773">
        <v>7</v>
      </c>
      <c r="AS268" s="852">
        <v>1</v>
      </c>
      <c r="AT268" s="853">
        <v>0</v>
      </c>
      <c r="AU268" s="1073">
        <f t="shared" si="132"/>
        <v>1</v>
      </c>
      <c r="AV268" s="893">
        <v>6</v>
      </c>
      <c r="AW268" s="894">
        <v>0</v>
      </c>
      <c r="AX268" s="1079">
        <f>IFERROR(AV268+BD$5*AW268,"")</f>
        <v>6</v>
      </c>
      <c r="AY268" s="1657">
        <f t="shared" si="134"/>
        <v>5</v>
      </c>
      <c r="AZ268" s="882">
        <v>1</v>
      </c>
      <c r="BA268" s="883">
        <v>1</v>
      </c>
      <c r="BB268" s="1058">
        <f t="shared" si="135"/>
        <v>1.0853999999999999</v>
      </c>
      <c r="BC268" s="858">
        <v>0</v>
      </c>
      <c r="BD268" s="859">
        <v>3</v>
      </c>
      <c r="BE268" s="1061">
        <f t="shared" ref="BE268" si="136">IFERROR(BC268+BK$5*BD268,"")</f>
        <v>0.25619999999999998</v>
      </c>
      <c r="BF268" s="773"/>
      <c r="BG268" s="852"/>
      <c r="BH268" s="853"/>
      <c r="BI268" s="1073"/>
      <c r="BJ268" s="893"/>
      <c r="BK268" s="894"/>
      <c r="BL268" s="1079"/>
      <c r="BM268" s="1657"/>
      <c r="BN268" s="882"/>
      <c r="BO268" s="883"/>
      <c r="BP268" s="1058"/>
      <c r="BQ268" s="858"/>
      <c r="BR268" s="859"/>
      <c r="BS268" s="1061"/>
      <c r="BT268" s="773"/>
      <c r="BU268" s="852"/>
      <c r="BV268" s="853"/>
      <c r="BW268" s="1073"/>
      <c r="BX268" s="893"/>
      <c r="BY268" s="894"/>
      <c r="BZ268" s="1079"/>
      <c r="CA268" s="1657"/>
      <c r="CB268" s="882"/>
      <c r="CC268" s="883"/>
      <c r="CD268" s="1058"/>
      <c r="CE268" s="858"/>
      <c r="CF268" s="859"/>
      <c r="CG268" s="1061"/>
      <c r="CH268" s="773"/>
      <c r="CI268" s="852"/>
      <c r="CJ268" s="853"/>
      <c r="CK268" s="1073"/>
      <c r="CL268" s="893"/>
      <c r="CM268" s="894"/>
      <c r="CN268" s="1079"/>
    </row>
    <row r="269" spans="1:92" x14ac:dyDescent="0.25">
      <c r="A269" s="757">
        <v>28</v>
      </c>
      <c r="B269" s="765"/>
      <c r="C269" s="844" t="str">
        <f>IF($B269,$B269*TreatyCatch!BF266/SUM(TreatyCatch!$BF266:$BG266,TreatyCatch!$BI266:$BJ266),"")</f>
        <v/>
      </c>
      <c r="D269" s="844" t="str">
        <f>IF($B269,$B269*TreatyCatch!BG266/SUM(TreatyCatch!$BF266:$BG266,TreatyCatch!$BI266:$BJ266),"")</f>
        <v/>
      </c>
      <c r="E269" s="846" t="str">
        <f t="shared" si="119"/>
        <v/>
      </c>
      <c r="F269" s="876" t="str">
        <f>IF($B269,$B269*TreatyCatch!BI266/SUM(TreatyCatch!$BF266:$BG266,TreatyCatch!$BI266:$BJ266),"")</f>
        <v/>
      </c>
      <c r="G269" s="889" t="str">
        <f>IF($B269,$B269*TreatyCatch!BJ266/SUM(TreatyCatch!$BF266:$BG266,TreatyCatch!$BI266:$BJ266),"")</f>
        <v/>
      </c>
      <c r="H269" s="877" t="str">
        <f t="shared" ref="H269:H294" si="137">IFERROR(F269+N$5*G269,"")</f>
        <v/>
      </c>
      <c r="I269" s="765"/>
      <c r="J269" s="882" t="str">
        <f>IF($I269,$I269*TreatyCatch!BL266/SUM(TreatyCatch!$BL266:$BM266,TreatyCatch!$BO266:$BP266),"")</f>
        <v/>
      </c>
      <c r="K269" s="883" t="str">
        <f>IF($I269,$I269*TreatyCatch!BM266/SUM(TreatyCatch!$BL266:$BM266,TreatyCatch!$BO266:$BP266),"")</f>
        <v/>
      </c>
      <c r="L269" s="871" t="str">
        <f t="shared" si="120"/>
        <v/>
      </c>
      <c r="M269" s="858" t="str">
        <f>IF($I269,$I269*TreatyCatch!BO266/SUM(TreatyCatch!$BL266:$BM266,TreatyCatch!$BO266:$BP266),"")</f>
        <v/>
      </c>
      <c r="N269" s="859" t="str">
        <f>IF($I269,$I269*TreatyCatch!BP266/SUM(TreatyCatch!$BL266:$BM266,TreatyCatch!$BO266:$BP266),"")</f>
        <v/>
      </c>
      <c r="O269" s="840" t="str">
        <f t="shared" ref="O269:O294" si="138">IFERROR(M269+U$5*N269,"")</f>
        <v/>
      </c>
      <c r="P269" s="765"/>
      <c r="Q269" s="852" t="str">
        <f>IF($P269,$P269*TreatyCatch!BR266/SUM(TreatyCatch!$BR266:$BS266,TreatyCatch!$BU266:$BV266),"")</f>
        <v/>
      </c>
      <c r="R269" s="853" t="str">
        <f>IF($P269,$P269*TreatyCatch!BS266/SUM(TreatyCatch!$BR266:$BS266,TreatyCatch!$BU266:$BV266),"")</f>
        <v/>
      </c>
      <c r="S269" s="846" t="str">
        <f t="shared" si="121"/>
        <v/>
      </c>
      <c r="T269" s="893" t="str">
        <f>IF($P269,$P269*TreatyCatch!BU266/SUM(TreatyCatch!$BR266:$BS266,TreatyCatch!$BU266:$BV266),"")</f>
        <v/>
      </c>
      <c r="U269" s="894" t="str">
        <f>IF($P269,$P269*TreatyCatch!BV266/SUM(TreatyCatch!$BR266:$BS266,TreatyCatch!$BU266:$BV266),"")</f>
        <v/>
      </c>
      <c r="V269" s="877" t="str">
        <f t="shared" ref="V269:V294" si="139">IFERROR(T269+AB$5*U269,"")</f>
        <v/>
      </c>
      <c r="W269" s="958"/>
      <c r="X269" s="882" t="str">
        <f>IF($W269,$W269*TreatyCatch!BX266/SUM(TreatyCatch!$BX266:$BY266,TreatyCatch!$CA266:$CB266),"")</f>
        <v/>
      </c>
      <c r="Y269" s="883" t="str">
        <f>IF($W269,$W269*TreatyCatch!BY266/SUM(TreatyCatch!$BX266:$BY266,TreatyCatch!$CA266:$CB266),"")</f>
        <v/>
      </c>
      <c r="Z269" s="901" t="str">
        <f t="shared" si="122"/>
        <v/>
      </c>
      <c r="AA269" s="858" t="str">
        <f>IF($W269,$W269*TreatyCatch!CA266/SUM(TreatyCatch!$BX266:$BY266,TreatyCatch!$CA266:$CB266),"")</f>
        <v/>
      </c>
      <c r="AB269" s="859" t="str">
        <f>IF($W269,$W269*TreatyCatch!CB266/SUM(TreatyCatch!$BX266:$BY266,TreatyCatch!$CA266:$CB266),"")</f>
        <v/>
      </c>
      <c r="AC269" s="925" t="str">
        <f t="shared" ref="AC269:AC294" si="140">IFERROR(AA269+AI$5*AB269,"")</f>
        <v/>
      </c>
      <c r="AD269" s="958"/>
      <c r="AE269" s="1071" t="str">
        <f>IF($AD269,$AD269*TreatyCatch!CD499/SUM(TreatyCatch!$CD499:$CE499,TreatyCatch!$CG499:$CH499),"")</f>
        <v/>
      </c>
      <c r="AF269" s="1072" t="str">
        <f>IF($AD269,$AD269*TreatyCatch!CE499/SUM(TreatyCatch!$CD499:$CE499,TreatyCatch!$CG499:$CH499),"")</f>
        <v/>
      </c>
      <c r="AG269" s="1073" t="str">
        <f t="shared" si="123"/>
        <v/>
      </c>
      <c r="AH269" s="1077" t="str">
        <f>IF($AD269,$AD269*TreatyCatch!CG499/SUM(TreatyCatch!$CD499:CE499,TreatyCatch!$CG499:$CH499),"")</f>
        <v/>
      </c>
      <c r="AI269" s="1078" t="str">
        <f>IF($AD269,$AD269*TreatyCatch!CH499/SUM(TreatyCatch!$CD499:CF499,TreatyCatch!$CG499:$CH499),"")</f>
        <v/>
      </c>
      <c r="AJ269" s="1080" t="str">
        <f t="shared" ref="AJ269:AJ294" si="141">IFERROR(AH269+AP$5*AI269,"")</f>
        <v/>
      </c>
      <c r="AK269" s="958"/>
      <c r="AL269" s="882"/>
      <c r="AM269" s="883"/>
      <c r="AN269" s="901"/>
      <c r="AO269" s="858"/>
      <c r="AP269" s="859"/>
      <c r="AQ269" s="925"/>
      <c r="AR269" s="765"/>
      <c r="AS269" s="852"/>
      <c r="AT269" s="853"/>
      <c r="AU269" s="846"/>
      <c r="AV269" s="893"/>
      <c r="AW269" s="894"/>
      <c r="AX269" s="877"/>
      <c r="AY269" s="765"/>
      <c r="AZ269" s="882"/>
      <c r="BA269" s="883"/>
      <c r="BB269" s="901"/>
      <c r="BC269" s="858"/>
      <c r="BD269" s="859"/>
      <c r="BE269" s="925"/>
      <c r="BF269" s="765"/>
      <c r="BG269" s="852"/>
      <c r="BH269" s="853"/>
      <c r="BI269" s="846"/>
      <c r="BJ269" s="893"/>
      <c r="BK269" s="894"/>
      <c r="BL269" s="877"/>
      <c r="BM269" s="765"/>
      <c r="BN269" s="882"/>
      <c r="BO269" s="883"/>
      <c r="BP269" s="901"/>
      <c r="BQ269" s="858"/>
      <c r="BR269" s="859"/>
      <c r="BS269" s="925"/>
      <c r="BT269" s="765"/>
      <c r="BU269" s="852"/>
      <c r="BV269" s="853"/>
      <c r="BW269" s="846"/>
      <c r="BX269" s="893"/>
      <c r="BY269" s="894"/>
      <c r="BZ269" s="877"/>
      <c r="CA269" s="765"/>
      <c r="CB269" s="882"/>
      <c r="CC269" s="883"/>
      <c r="CD269" s="901"/>
      <c r="CE269" s="858"/>
      <c r="CF269" s="859"/>
      <c r="CG269" s="925"/>
      <c r="CH269" s="765"/>
      <c r="CI269" s="852"/>
      <c r="CJ269" s="853"/>
      <c r="CK269" s="846"/>
      <c r="CL269" s="893"/>
      <c r="CM269" s="894"/>
      <c r="CN269" s="877"/>
    </row>
    <row r="270" spans="1:92" x14ac:dyDescent="0.25">
      <c r="A270" s="757">
        <v>29</v>
      </c>
      <c r="B270" s="765"/>
      <c r="C270" s="844" t="str">
        <f>IF($B270,$B270*TreatyCatch!BF267/SUM(TreatyCatch!$BF267:$BG267,TreatyCatch!$BI267:$BJ267),"")</f>
        <v/>
      </c>
      <c r="D270" s="844" t="str">
        <f>IF($B270,$B270*TreatyCatch!BG267/SUM(TreatyCatch!$BF267:$BG267,TreatyCatch!$BI267:$BJ267),"")</f>
        <v/>
      </c>
      <c r="E270" s="846" t="str">
        <f t="shared" si="119"/>
        <v/>
      </c>
      <c r="F270" s="876" t="str">
        <f>IF($B270,$B270*TreatyCatch!BI267/SUM(TreatyCatch!$BF267:$BG267,TreatyCatch!$BI267:$BJ267),"")</f>
        <v/>
      </c>
      <c r="G270" s="889" t="str">
        <f>IF($B270,$B270*TreatyCatch!BJ267/SUM(TreatyCatch!$BF267:$BG267,TreatyCatch!$BI267:$BJ267),"")</f>
        <v/>
      </c>
      <c r="H270" s="877" t="str">
        <f t="shared" si="137"/>
        <v/>
      </c>
      <c r="I270" s="765"/>
      <c r="J270" s="882" t="str">
        <f>IF($I270,$I270*TreatyCatch!BL267/SUM(TreatyCatch!$BL267:$BM267,TreatyCatch!$BO267:$BP267),"")</f>
        <v/>
      </c>
      <c r="K270" s="883" t="str">
        <f>IF($I270,$I270*TreatyCatch!BM267/SUM(TreatyCatch!$BL267:$BM267,TreatyCatch!$BO267:$BP267),"")</f>
        <v/>
      </c>
      <c r="L270" s="871" t="str">
        <f t="shared" si="120"/>
        <v/>
      </c>
      <c r="M270" s="858" t="str">
        <f>IF($I270,$I270*TreatyCatch!BO267/SUM(TreatyCatch!$BL267:$BM267,TreatyCatch!$BO267:$BP267),"")</f>
        <v/>
      </c>
      <c r="N270" s="859" t="str">
        <f>IF($I270,$I270*TreatyCatch!BP267/SUM(TreatyCatch!$BL267:$BM267,TreatyCatch!$BO267:$BP267),"")</f>
        <v/>
      </c>
      <c r="O270" s="840" t="str">
        <f t="shared" si="138"/>
        <v/>
      </c>
      <c r="P270" s="765"/>
      <c r="Q270" s="852" t="str">
        <f>IF($P270,$P270*TreatyCatch!BR267/SUM(TreatyCatch!$BR267:$BS267,TreatyCatch!$BU267:$BV267),"")</f>
        <v/>
      </c>
      <c r="R270" s="853" t="str">
        <f>IF($P270,$P270*TreatyCatch!BS267/SUM(TreatyCatch!$BR267:$BS267,TreatyCatch!$BU267:$BV267),"")</f>
        <v/>
      </c>
      <c r="S270" s="846" t="str">
        <f t="shared" si="121"/>
        <v/>
      </c>
      <c r="T270" s="893" t="str">
        <f>IF($P270,$P270*TreatyCatch!BU267/SUM(TreatyCatch!$BR267:$BS267,TreatyCatch!$BU267:$BV267),"")</f>
        <v/>
      </c>
      <c r="U270" s="894" t="str">
        <f>IF($P270,$P270*TreatyCatch!BV267/SUM(TreatyCatch!$BR267:$BS267,TreatyCatch!$BU267:$BV267),"")</f>
        <v/>
      </c>
      <c r="V270" s="877" t="str">
        <f t="shared" si="139"/>
        <v/>
      </c>
      <c r="W270" s="958"/>
      <c r="X270" s="882" t="str">
        <f>IF($W270,$W270*TreatyCatch!BX267/SUM(TreatyCatch!$BX267:$BY267,TreatyCatch!$CA267:$CB267),"")</f>
        <v/>
      </c>
      <c r="Y270" s="883" t="str">
        <f>IF($W270,$W270*TreatyCatch!BY267/SUM(TreatyCatch!$BX267:$BY267,TreatyCatch!$CA267:$CB267),"")</f>
        <v/>
      </c>
      <c r="Z270" s="901" t="str">
        <f t="shared" si="122"/>
        <v/>
      </c>
      <c r="AA270" s="858" t="str">
        <f>IF($W270,$W270*TreatyCatch!CA267/SUM(TreatyCatch!$BX267:$BY267,TreatyCatch!$CA267:$CB267),"")</f>
        <v/>
      </c>
      <c r="AB270" s="859" t="str">
        <f>IF($W270,$W270*TreatyCatch!CB267/SUM(TreatyCatch!$BX267:$BY267,TreatyCatch!$CA267:$CB267),"")</f>
        <v/>
      </c>
      <c r="AC270" s="840" t="str">
        <f t="shared" si="140"/>
        <v/>
      </c>
      <c r="AD270" s="958"/>
      <c r="AE270" s="1071" t="str">
        <f>IF($AD270,$AD270*TreatyCatch!CD500/SUM(TreatyCatch!$CD500:$CE500,TreatyCatch!$CG500:$CH500),"")</f>
        <v/>
      </c>
      <c r="AF270" s="1072" t="str">
        <f>IF($AD270,$AD270*TreatyCatch!CE500/SUM(TreatyCatch!$CD500:$CE500,TreatyCatch!$CG500:$CH500),"")</f>
        <v/>
      </c>
      <c r="AG270" s="1073" t="str">
        <f t="shared" si="123"/>
        <v/>
      </c>
      <c r="AH270" s="1077" t="str">
        <f>IF($AD270,$AD270*TreatyCatch!CG500/SUM(TreatyCatch!$CD500:CE500,TreatyCatch!$CG500:$CH500),"")</f>
        <v/>
      </c>
      <c r="AI270" s="1078" t="str">
        <f>IF($AD270,$AD270*TreatyCatch!CH500/SUM(TreatyCatch!$CD500:CF500,TreatyCatch!$CG500:$CH500),"")</f>
        <v/>
      </c>
      <c r="AJ270" s="1080" t="str">
        <f t="shared" si="141"/>
        <v/>
      </c>
      <c r="AK270" s="958"/>
      <c r="AL270" s="882"/>
      <c r="AM270" s="883"/>
      <c r="AN270" s="901"/>
      <c r="AO270" s="858"/>
      <c r="AP270" s="859"/>
      <c r="AQ270" s="840"/>
      <c r="AR270" s="765"/>
      <c r="AS270" s="852"/>
      <c r="AT270" s="853"/>
      <c r="AU270" s="846"/>
      <c r="AV270" s="893"/>
      <c r="AW270" s="894"/>
      <c r="AX270" s="877"/>
      <c r="AY270" s="765"/>
      <c r="AZ270" s="882"/>
      <c r="BA270" s="883"/>
      <c r="BB270" s="901"/>
      <c r="BC270" s="858"/>
      <c r="BD270" s="859"/>
      <c r="BE270" s="840"/>
      <c r="BF270" s="765"/>
      <c r="BG270" s="852"/>
      <c r="BH270" s="853"/>
      <c r="BI270" s="846"/>
      <c r="BJ270" s="893"/>
      <c r="BK270" s="894"/>
      <c r="BL270" s="877"/>
      <c r="BM270" s="765"/>
      <c r="BN270" s="882"/>
      <c r="BO270" s="883"/>
      <c r="BP270" s="901"/>
      <c r="BQ270" s="858"/>
      <c r="BR270" s="859"/>
      <c r="BS270" s="840"/>
      <c r="BT270" s="765">
        <f>SUM(BU270:BV271,BX270:BY270)</f>
        <v>2</v>
      </c>
      <c r="BU270" s="852">
        <v>0</v>
      </c>
      <c r="BV270" s="853">
        <v>0</v>
      </c>
      <c r="BW270" s="1073">
        <f>BU270+BV270*CF$5</f>
        <v>0</v>
      </c>
      <c r="BX270" s="893">
        <v>2</v>
      </c>
      <c r="BY270" s="894">
        <v>0</v>
      </c>
      <c r="BZ270" s="877">
        <f>IFERROR(BX270+CF$5*BY270,"")</f>
        <v>2</v>
      </c>
      <c r="CA270" s="765"/>
      <c r="CB270" s="882"/>
      <c r="CC270" s="883"/>
      <c r="CD270" s="901"/>
      <c r="CE270" s="858"/>
      <c r="CF270" s="859"/>
      <c r="CG270" s="840"/>
      <c r="CH270" s="765"/>
      <c r="CI270" s="852"/>
      <c r="CJ270" s="853"/>
      <c r="CK270" s="1073"/>
      <c r="CL270" s="893"/>
      <c r="CM270" s="894"/>
      <c r="CN270" s="877"/>
    </row>
    <row r="271" spans="1:92" x14ac:dyDescent="0.25">
      <c r="A271" s="757">
        <v>30</v>
      </c>
      <c r="B271" s="765"/>
      <c r="C271" s="844" t="str">
        <f>IF($B271,$B271*TreatyCatch!BF268/SUM(TreatyCatch!$BF268:$BG268,TreatyCatch!$BI268:$BJ268),"")</f>
        <v/>
      </c>
      <c r="D271" s="844" t="str">
        <f>IF($B271,$B271*TreatyCatch!BG268/SUM(TreatyCatch!$BF268:$BG268,TreatyCatch!$BI268:$BJ268),"")</f>
        <v/>
      </c>
      <c r="E271" s="846" t="str">
        <f t="shared" si="119"/>
        <v/>
      </c>
      <c r="F271" s="876" t="str">
        <f>IF($B271,$B271*TreatyCatch!BI268/SUM(TreatyCatch!$BF268:$BG268,TreatyCatch!$BI268:$BJ268),"")</f>
        <v/>
      </c>
      <c r="G271" s="889" t="str">
        <f>IF($B271,$B271*TreatyCatch!BJ268/SUM(TreatyCatch!$BF268:$BG268,TreatyCatch!$BI268:$BJ268),"")</f>
        <v/>
      </c>
      <c r="H271" s="877" t="str">
        <f t="shared" si="137"/>
        <v/>
      </c>
      <c r="I271" s="765"/>
      <c r="J271" s="882" t="str">
        <f>IF($I271,$I271*TreatyCatch!BL268/SUM(TreatyCatch!$BL268:$BM268,TreatyCatch!$BO268:$BP268),"")</f>
        <v/>
      </c>
      <c r="K271" s="883" t="str">
        <f>IF($I271,$I271*TreatyCatch!BM268/SUM(TreatyCatch!$BL268:$BM268,TreatyCatch!$BO268:$BP268),"")</f>
        <v/>
      </c>
      <c r="L271" s="871" t="str">
        <f t="shared" si="120"/>
        <v/>
      </c>
      <c r="M271" s="858" t="str">
        <f>IF($I271,$I271*TreatyCatch!BO268/SUM(TreatyCatch!$BL268:$BM268,TreatyCatch!$BO268:$BP268),"")</f>
        <v/>
      </c>
      <c r="N271" s="859" t="str">
        <f>IF($I271,$I271*TreatyCatch!BP268/SUM(TreatyCatch!$BL268:$BM268,TreatyCatch!$BO268:$BP268),"")</f>
        <v/>
      </c>
      <c r="O271" s="840" t="str">
        <f t="shared" si="138"/>
        <v/>
      </c>
      <c r="P271" s="765"/>
      <c r="Q271" s="852" t="str">
        <f>IF($P271,$P271*TreatyCatch!BR268/SUM(TreatyCatch!$BR268:$BS268,TreatyCatch!$BU268:$BV268),"")</f>
        <v/>
      </c>
      <c r="R271" s="853" t="str">
        <f>IF($P271,$P271*TreatyCatch!BS268/SUM(TreatyCatch!$BR268:$BS268,TreatyCatch!$BU268:$BV268),"")</f>
        <v/>
      </c>
      <c r="S271" s="846" t="str">
        <f t="shared" si="121"/>
        <v/>
      </c>
      <c r="T271" s="893" t="str">
        <f>IF($P271,$P271*TreatyCatch!BU268/SUM(TreatyCatch!$BR268:$BS268,TreatyCatch!$BU268:$BV268),"")</f>
        <v/>
      </c>
      <c r="U271" s="894" t="str">
        <f>IF($P271,$P271*TreatyCatch!BV268/SUM(TreatyCatch!$BR268:$BS268,TreatyCatch!$BU268:$BV268),"")</f>
        <v/>
      </c>
      <c r="V271" s="877" t="str">
        <f t="shared" si="139"/>
        <v/>
      </c>
      <c r="W271" s="958"/>
      <c r="X271" s="882" t="str">
        <f>IF($W271,$W271*TreatyCatch!BX268/SUM(TreatyCatch!$BX268:$BY268,TreatyCatch!$CA268:$CB268),"")</f>
        <v/>
      </c>
      <c r="Y271" s="883" t="str">
        <f>IF($W271,$W271*TreatyCatch!BY268/SUM(TreatyCatch!$BX268:$BY268,TreatyCatch!$CA268:$CB268),"")</f>
        <v/>
      </c>
      <c r="Z271" s="901" t="str">
        <f t="shared" si="122"/>
        <v/>
      </c>
      <c r="AA271" s="858" t="str">
        <f>IF($W271,$W271*TreatyCatch!CA268/SUM(TreatyCatch!$BX268:$BY268,TreatyCatch!$CA268:$CB268),"")</f>
        <v/>
      </c>
      <c r="AB271" s="859" t="str">
        <f>IF($W271,$W271*TreatyCatch!CB268/SUM(TreatyCatch!$BX268:$BY268,TreatyCatch!$CA268:$CB268),"")</f>
        <v/>
      </c>
      <c r="AC271" s="840" t="str">
        <f t="shared" si="140"/>
        <v/>
      </c>
      <c r="AD271" s="958"/>
      <c r="AE271" s="1071" t="str">
        <f>IF($AD271,$AD271*TreatyCatch!CD501/SUM(TreatyCatch!$CD501:$CE501,TreatyCatch!$CG501:$CH501),"")</f>
        <v/>
      </c>
      <c r="AF271" s="1072" t="str">
        <f>IF($AD271,$AD271*TreatyCatch!CE501/SUM(TreatyCatch!$CD501:$CE501,TreatyCatch!$CG501:$CH501),"")</f>
        <v/>
      </c>
      <c r="AG271" s="1073" t="str">
        <f t="shared" si="123"/>
        <v/>
      </c>
      <c r="AH271" s="1077" t="str">
        <f>IF($AD271,$AD271*TreatyCatch!CG501/SUM(TreatyCatch!$CD501:CE501,TreatyCatch!$CG501:$CH501),"")</f>
        <v/>
      </c>
      <c r="AI271" s="1078" t="str">
        <f>IF($AD271,$AD271*TreatyCatch!CH501/SUM(TreatyCatch!$CD501:CF501,TreatyCatch!$CG501:$CH501),"")</f>
        <v/>
      </c>
      <c r="AJ271" s="1080" t="str">
        <f t="shared" si="141"/>
        <v/>
      </c>
      <c r="AK271" s="958"/>
      <c r="AL271" s="882"/>
      <c r="AM271" s="883"/>
      <c r="AN271" s="901"/>
      <c r="AO271" s="858"/>
      <c r="AP271" s="859"/>
      <c r="AQ271" s="840"/>
      <c r="AR271" s="765"/>
      <c r="AS271" s="852"/>
      <c r="AT271" s="853"/>
      <c r="AU271" s="846"/>
      <c r="AV271" s="893"/>
      <c r="AW271" s="894"/>
      <c r="AX271" s="877"/>
      <c r="AY271" s="765"/>
      <c r="AZ271" s="882"/>
      <c r="BA271" s="883"/>
      <c r="BB271" s="901"/>
      <c r="BC271" s="858"/>
      <c r="BD271" s="859"/>
      <c r="BE271" s="840"/>
      <c r="BF271" s="765">
        <v>4</v>
      </c>
      <c r="BG271" s="852">
        <v>1</v>
      </c>
      <c r="BH271" s="853">
        <v>0</v>
      </c>
      <c r="BI271" s="1073">
        <f t="shared" ref="BI271" si="142">IFERROR(BG271+BR$5*BH271,"")</f>
        <v>1</v>
      </c>
      <c r="BJ271" s="893">
        <v>3</v>
      </c>
      <c r="BK271" s="894">
        <v>0</v>
      </c>
      <c r="BL271" s="877">
        <f>IFERROR(BJ271+BR$5*BK271,"")</f>
        <v>3</v>
      </c>
      <c r="BM271" s="765"/>
      <c r="BN271" s="882"/>
      <c r="BO271" s="883"/>
      <c r="BP271" s="901"/>
      <c r="BQ271" s="858"/>
      <c r="BR271" s="859"/>
      <c r="BS271" s="840"/>
      <c r="BT271" s="765"/>
      <c r="BU271" s="852"/>
      <c r="BV271" s="853"/>
      <c r="BW271" s="1073"/>
      <c r="BX271" s="893"/>
      <c r="BY271" s="894"/>
      <c r="BZ271" s="877"/>
      <c r="CA271" s="765"/>
      <c r="CB271" s="882"/>
      <c r="CC271" s="883"/>
      <c r="CD271" s="901"/>
      <c r="CE271" s="858"/>
      <c r="CF271" s="859"/>
      <c r="CG271" s="840"/>
      <c r="CH271" s="765"/>
      <c r="CI271" s="852"/>
      <c r="CJ271" s="853"/>
      <c r="CK271" s="1073"/>
      <c r="CL271" s="893"/>
      <c r="CM271" s="894"/>
      <c r="CN271" s="877"/>
    </row>
    <row r="272" spans="1:92" x14ac:dyDescent="0.25">
      <c r="A272" s="757">
        <v>31</v>
      </c>
      <c r="B272" s="765"/>
      <c r="C272" s="844" t="str">
        <f>IF($B272,$B272*TreatyCatch!BF269/SUM(TreatyCatch!$BF269:$BG269,TreatyCatch!$BI269:$BJ269),"")</f>
        <v/>
      </c>
      <c r="D272" s="844" t="str">
        <f>IF($B272,$B272*TreatyCatch!BG269/SUM(TreatyCatch!$BF269:$BG269,TreatyCatch!$BI269:$BJ269),"")</f>
        <v/>
      </c>
      <c r="E272" s="846" t="str">
        <f t="shared" si="119"/>
        <v/>
      </c>
      <c r="F272" s="876" t="str">
        <f>IF($B272,$B272*TreatyCatch!BI269/SUM(TreatyCatch!$BF269:$BG269,TreatyCatch!$BI269:$BJ269),"")</f>
        <v/>
      </c>
      <c r="G272" s="889" t="str">
        <f>IF($B272,$B272*TreatyCatch!BJ269/SUM(TreatyCatch!$BF269:$BG269,TreatyCatch!$BI269:$BJ269),"")</f>
        <v/>
      </c>
      <c r="H272" s="877" t="str">
        <f t="shared" si="137"/>
        <v/>
      </c>
      <c r="I272" s="765"/>
      <c r="J272" s="882" t="str">
        <f>IF($I272,$I272*TreatyCatch!BL269/SUM(TreatyCatch!$BL269:$BM269,TreatyCatch!$BO269:$BP269),"")</f>
        <v/>
      </c>
      <c r="K272" s="883" t="str">
        <f>IF($I272,$I272*TreatyCatch!BM269/SUM(TreatyCatch!$BL269:$BM269,TreatyCatch!$BO269:$BP269),"")</f>
        <v/>
      </c>
      <c r="L272" s="871" t="str">
        <f t="shared" si="120"/>
        <v/>
      </c>
      <c r="M272" s="858" t="str">
        <f>IF($I272,$I272*TreatyCatch!BO269/SUM(TreatyCatch!$BL269:$BM269,TreatyCatch!$BO269:$BP269),"")</f>
        <v/>
      </c>
      <c r="N272" s="859" t="str">
        <f>IF($I272,$I272*TreatyCatch!BP269/SUM(TreatyCatch!$BL269:$BM269,TreatyCatch!$BO269:$BP269),"")</f>
        <v/>
      </c>
      <c r="O272" s="840" t="str">
        <f t="shared" si="138"/>
        <v/>
      </c>
      <c r="P272" s="765"/>
      <c r="Q272" s="852" t="str">
        <f>IF($P272,$P272*TreatyCatch!BR269/SUM(TreatyCatch!$BR269:$BS269,TreatyCatch!$BU269:$BV269),"")</f>
        <v/>
      </c>
      <c r="R272" s="853" t="str">
        <f>IF($P272,$P272*TreatyCatch!BS269/SUM(TreatyCatch!$BR269:$BS269,TreatyCatch!$BU269:$BV269),"")</f>
        <v/>
      </c>
      <c r="S272" s="846" t="str">
        <f t="shared" si="121"/>
        <v/>
      </c>
      <c r="T272" s="893" t="str">
        <f>IF($P272,$P272*TreatyCatch!BU269/SUM(TreatyCatch!$BR269:$BS269,TreatyCatch!$BU269:$BV269),"")</f>
        <v/>
      </c>
      <c r="U272" s="894" t="str">
        <f>IF($P272,$P272*TreatyCatch!BV269/SUM(TreatyCatch!$BR269:$BS269,TreatyCatch!$BU269:$BV269),"")</f>
        <v/>
      </c>
      <c r="V272" s="877" t="str">
        <f t="shared" si="139"/>
        <v/>
      </c>
      <c r="W272" s="958"/>
      <c r="X272" s="882" t="str">
        <f>IF($W272,$W272*TreatyCatch!BX269/SUM(TreatyCatch!$BX269:$BY269,TreatyCatch!$CA269:$CB269),"")</f>
        <v/>
      </c>
      <c r="Y272" s="883" t="str">
        <f>IF($W272,$W272*TreatyCatch!BY269/SUM(TreatyCatch!$BX269:$BY269,TreatyCatch!$CA269:$CB269),"")</f>
        <v/>
      </c>
      <c r="Z272" s="901" t="str">
        <f t="shared" si="122"/>
        <v/>
      </c>
      <c r="AA272" s="858" t="str">
        <f>IF($W272,$W272*TreatyCatch!CA269/SUM(TreatyCatch!$BX269:$BY269,TreatyCatch!$CA269:$CB269),"")</f>
        <v/>
      </c>
      <c r="AB272" s="859" t="str">
        <f>IF($W272,$W272*TreatyCatch!CB269/SUM(TreatyCatch!$BX269:$BY269,TreatyCatch!$CA269:$CB269),"")</f>
        <v/>
      </c>
      <c r="AC272" s="840" t="str">
        <f t="shared" si="140"/>
        <v/>
      </c>
      <c r="AD272" s="958"/>
      <c r="AE272" s="1071" t="str">
        <f>IF($AD272,$AD272*TreatyCatch!CD502/SUM(TreatyCatch!$CD502:$CE502,TreatyCatch!$CG502:$CH502),"")</f>
        <v/>
      </c>
      <c r="AF272" s="1072" t="str">
        <f>IF($AD272,$AD272*TreatyCatch!CE502/SUM(TreatyCatch!$CD502:$CE502,TreatyCatch!$CG502:$CH502),"")</f>
        <v/>
      </c>
      <c r="AG272" s="1073" t="str">
        <f t="shared" si="123"/>
        <v/>
      </c>
      <c r="AH272" s="1077" t="str">
        <f>IF($AD272,$AD272*TreatyCatch!CG502/SUM(TreatyCatch!$CD502:CE502,TreatyCatch!$CG502:$CH502),"")</f>
        <v/>
      </c>
      <c r="AI272" s="1078" t="str">
        <f>IF($AD272,$AD272*TreatyCatch!CH502/SUM(TreatyCatch!$CD502:CF502,TreatyCatch!$CG502:$CH502),"")</f>
        <v/>
      </c>
      <c r="AJ272" s="1080" t="str">
        <f t="shared" si="141"/>
        <v/>
      </c>
      <c r="AK272" s="958"/>
      <c r="AL272" s="882"/>
      <c r="AM272" s="883"/>
      <c r="AN272" s="901"/>
      <c r="AO272" s="858"/>
      <c r="AP272" s="859"/>
      <c r="AQ272" s="840"/>
      <c r="AR272" s="765"/>
      <c r="AS272" s="852"/>
      <c r="AT272" s="853"/>
      <c r="AU272" s="846"/>
      <c r="AV272" s="893"/>
      <c r="AW272" s="894"/>
      <c r="AX272" s="877"/>
      <c r="AY272" s="765"/>
      <c r="AZ272" s="882"/>
      <c r="BA272" s="883"/>
      <c r="BB272" s="901"/>
      <c r="BC272" s="858"/>
      <c r="BD272" s="859"/>
      <c r="BE272" s="840"/>
      <c r="BF272" s="765"/>
      <c r="BG272" s="852"/>
      <c r="BH272" s="853"/>
      <c r="BI272" s="846"/>
      <c r="BJ272" s="893"/>
      <c r="BK272" s="894"/>
      <c r="BL272" s="877"/>
      <c r="BM272" s="765"/>
      <c r="BN272" s="882"/>
      <c r="BO272" s="883"/>
      <c r="BP272" s="901"/>
      <c r="BQ272" s="858"/>
      <c r="BR272" s="859"/>
      <c r="BS272" s="840"/>
      <c r="BT272" s="765"/>
      <c r="BU272" s="852"/>
      <c r="BV272" s="853"/>
      <c r="BW272" s="846"/>
      <c r="BX272" s="893"/>
      <c r="BY272" s="894"/>
      <c r="BZ272" s="877"/>
      <c r="CA272" s="765"/>
      <c r="CB272" s="882"/>
      <c r="CC272" s="883"/>
      <c r="CD272" s="901"/>
      <c r="CE272" s="858"/>
      <c r="CF272" s="859"/>
      <c r="CG272" s="840"/>
      <c r="CH272" s="765"/>
      <c r="CI272" s="852"/>
      <c r="CJ272" s="853"/>
      <c r="CK272" s="846"/>
      <c r="CL272" s="893"/>
      <c r="CM272" s="894"/>
      <c r="CN272" s="877"/>
    </row>
    <row r="273" spans="1:92" x14ac:dyDescent="0.25">
      <c r="A273" s="757">
        <v>32</v>
      </c>
      <c r="B273" s="765"/>
      <c r="C273" s="844" t="str">
        <f>IF($B273,$B273*TreatyCatch!BF270/SUM(TreatyCatch!$BF270:$BG270,TreatyCatch!$BI270:$BJ270),"")</f>
        <v/>
      </c>
      <c r="D273" s="844" t="str">
        <f>IF($B273,$B273*TreatyCatch!BG270/SUM(TreatyCatch!$BF270:$BG270,TreatyCatch!$BI270:$BJ270),"")</f>
        <v/>
      </c>
      <c r="E273" s="846" t="str">
        <f t="shared" si="119"/>
        <v/>
      </c>
      <c r="F273" s="876" t="str">
        <f>IF($B273,$B273*TreatyCatch!BI270/SUM(TreatyCatch!$BF270:$BG270,TreatyCatch!$BI270:$BJ270),"")</f>
        <v/>
      </c>
      <c r="G273" s="889" t="str">
        <f>IF($B273,$B273*TreatyCatch!BJ270/SUM(TreatyCatch!$BF270:$BG270,TreatyCatch!$BI270:$BJ270),"")</f>
        <v/>
      </c>
      <c r="H273" s="877" t="str">
        <f t="shared" si="137"/>
        <v/>
      </c>
      <c r="I273" s="765"/>
      <c r="J273" s="882" t="str">
        <f>IF($I273,$I273*TreatyCatch!BL270/SUM(TreatyCatch!$BL270:$BM270,TreatyCatch!$BO270:$BP270),"")</f>
        <v/>
      </c>
      <c r="K273" s="883" t="str">
        <f>IF($I273,$I273*TreatyCatch!BM270/SUM(TreatyCatch!$BL270:$BM270,TreatyCatch!$BO270:$BP270),"")</f>
        <v/>
      </c>
      <c r="L273" s="871" t="str">
        <f t="shared" si="120"/>
        <v/>
      </c>
      <c r="M273" s="858" t="str">
        <f>IF($I273,$I273*TreatyCatch!BO270/SUM(TreatyCatch!$BL270:$BM270,TreatyCatch!$BO270:$BP270),"")</f>
        <v/>
      </c>
      <c r="N273" s="859" t="str">
        <f>IF($I273,$I273*TreatyCatch!BP270/SUM(TreatyCatch!$BL270:$BM270,TreatyCatch!$BO270:$BP270),"")</f>
        <v/>
      </c>
      <c r="O273" s="840" t="str">
        <f t="shared" si="138"/>
        <v/>
      </c>
      <c r="P273" s="765"/>
      <c r="Q273" s="852" t="str">
        <f>IF($P273,$P273*TreatyCatch!BR270/SUM(TreatyCatch!$BR270:$BS270,TreatyCatch!$BU270:$BV270),"")</f>
        <v/>
      </c>
      <c r="R273" s="853" t="str">
        <f>IF($P273,$P273*TreatyCatch!BS270/SUM(TreatyCatch!$BR270:$BS270,TreatyCatch!$BU270:$BV270),"")</f>
        <v/>
      </c>
      <c r="S273" s="846" t="str">
        <f t="shared" si="121"/>
        <v/>
      </c>
      <c r="T273" s="893" t="str">
        <f>IF($P273,$P273*TreatyCatch!BU270/SUM(TreatyCatch!$BR270:$BS270,TreatyCatch!$BU270:$BV270),"")</f>
        <v/>
      </c>
      <c r="U273" s="894" t="str">
        <f>IF($P273,$P273*TreatyCatch!BV270/SUM(TreatyCatch!$BR270:$BS270,TreatyCatch!$BU270:$BV270),"")</f>
        <v/>
      </c>
      <c r="V273" s="877" t="str">
        <f t="shared" si="139"/>
        <v/>
      </c>
      <c r="W273" s="958"/>
      <c r="X273" s="882" t="str">
        <f>IF($W273,$W273*TreatyCatch!BX270/SUM(TreatyCatch!$BX270:$BY270,TreatyCatch!$CA270:$CB270),"")</f>
        <v/>
      </c>
      <c r="Y273" s="883" t="str">
        <f>IF($W273,$W273*TreatyCatch!BY270/SUM(TreatyCatch!$BX270:$BY270,TreatyCatch!$CA270:$CB270),"")</f>
        <v/>
      </c>
      <c r="Z273" s="901" t="str">
        <f t="shared" si="122"/>
        <v/>
      </c>
      <c r="AA273" s="858" t="str">
        <f>IF($W273,$W273*TreatyCatch!CA270/SUM(TreatyCatch!$BX270:$BY270,TreatyCatch!$CA270:$CB270),"")</f>
        <v/>
      </c>
      <c r="AB273" s="859" t="str">
        <f>IF($W273,$W273*TreatyCatch!CB270/SUM(TreatyCatch!$BX270:$BY270,TreatyCatch!$CA270:$CB270),"")</f>
        <v/>
      </c>
      <c r="AC273" s="840" t="str">
        <f t="shared" si="140"/>
        <v/>
      </c>
      <c r="AD273" s="958"/>
      <c r="AE273" s="1071" t="str">
        <f>IF($AD273,$AD273*TreatyCatch!CD503/SUM(TreatyCatch!$CD503:$CE503,TreatyCatch!$CG503:$CH503),"")</f>
        <v/>
      </c>
      <c r="AF273" s="1072" t="str">
        <f>IF($AD273,$AD273*TreatyCatch!CE503/SUM(TreatyCatch!$CD503:$CE503,TreatyCatch!$CG503:$CH503),"")</f>
        <v/>
      </c>
      <c r="AG273" s="1073" t="str">
        <f t="shared" si="123"/>
        <v/>
      </c>
      <c r="AH273" s="1077" t="str">
        <f>IF($AD273,$AD273*TreatyCatch!CG503/SUM(TreatyCatch!$CD503:CE503,TreatyCatch!$CG503:$CH503),"")</f>
        <v/>
      </c>
      <c r="AI273" s="1078" t="str">
        <f>IF($AD273,$AD273*TreatyCatch!CH503/SUM(TreatyCatch!$CD503:CF503,TreatyCatch!$CG503:$CH503),"")</f>
        <v/>
      </c>
      <c r="AJ273" s="1080" t="str">
        <f t="shared" si="141"/>
        <v/>
      </c>
      <c r="AK273" s="958"/>
      <c r="AL273" s="882"/>
      <c r="AM273" s="883"/>
      <c r="AN273" s="901"/>
      <c r="AO273" s="858"/>
      <c r="AP273" s="859"/>
      <c r="AQ273" s="840"/>
      <c r="AR273" s="765"/>
      <c r="AS273" s="852"/>
      <c r="AT273" s="853"/>
      <c r="AU273" s="846"/>
      <c r="AV273" s="893"/>
      <c r="AW273" s="894"/>
      <c r="AX273" s="877"/>
      <c r="AY273" s="765"/>
      <c r="AZ273" s="882"/>
      <c r="BA273" s="883"/>
      <c r="BB273" s="901"/>
      <c r="BC273" s="858"/>
      <c r="BD273" s="859"/>
      <c r="BE273" s="840"/>
      <c r="BF273" s="765"/>
      <c r="BG273" s="852"/>
      <c r="BH273" s="853"/>
      <c r="BI273" s="846"/>
      <c r="BJ273" s="893"/>
      <c r="BK273" s="894"/>
      <c r="BL273" s="877"/>
      <c r="BM273" s="765"/>
      <c r="BN273" s="882"/>
      <c r="BO273" s="883"/>
      <c r="BP273" s="901"/>
      <c r="BQ273" s="858"/>
      <c r="BR273" s="859"/>
      <c r="BS273" s="840"/>
      <c r="BT273" s="765"/>
      <c r="BU273" s="852"/>
      <c r="BV273" s="853"/>
      <c r="BW273" s="846"/>
      <c r="BX273" s="893"/>
      <c r="BY273" s="894"/>
      <c r="BZ273" s="877"/>
      <c r="CA273" s="765"/>
      <c r="CB273" s="882"/>
      <c r="CC273" s="883"/>
      <c r="CD273" s="901"/>
      <c r="CE273" s="858"/>
      <c r="CF273" s="859"/>
      <c r="CG273" s="840"/>
      <c r="CH273" s="765"/>
      <c r="CI273" s="852"/>
      <c r="CJ273" s="853"/>
      <c r="CK273" s="846"/>
      <c r="CL273" s="893"/>
      <c r="CM273" s="894"/>
      <c r="CN273" s="877"/>
    </row>
    <row r="274" spans="1:92" x14ac:dyDescent="0.25">
      <c r="A274" s="757">
        <v>33</v>
      </c>
      <c r="B274" s="765"/>
      <c r="C274" s="844" t="str">
        <f>IF($B274,$B274*TreatyCatch!BF271/SUM(TreatyCatch!$BF271:$BG271,TreatyCatch!$BI271:$BJ271),"")</f>
        <v/>
      </c>
      <c r="D274" s="844" t="str">
        <f>IF($B274,$B274*TreatyCatch!BG271/SUM(TreatyCatch!$BF271:$BG271,TreatyCatch!$BI271:$BJ271),"")</f>
        <v/>
      </c>
      <c r="E274" s="846" t="str">
        <f t="shared" si="119"/>
        <v/>
      </c>
      <c r="F274" s="876" t="str">
        <f>IF($B274,$B274*TreatyCatch!BI271/SUM(TreatyCatch!$BF271:$BG271,TreatyCatch!$BI271:$BJ271),"")</f>
        <v/>
      </c>
      <c r="G274" s="889" t="str">
        <f>IF($B274,$B274*TreatyCatch!BJ271/SUM(TreatyCatch!$BF271:$BG271,TreatyCatch!$BI271:$BJ271),"")</f>
        <v/>
      </c>
      <c r="H274" s="877" t="str">
        <f t="shared" si="137"/>
        <v/>
      </c>
      <c r="I274" s="765"/>
      <c r="J274" s="882" t="str">
        <f>IF($I274,$I274*TreatyCatch!BL271/SUM(TreatyCatch!$BL271:$BM271,TreatyCatch!$BO271:$BP271),"")</f>
        <v/>
      </c>
      <c r="K274" s="883" t="str">
        <f>IF($I274,$I274*TreatyCatch!BM271/SUM(TreatyCatch!$BL271:$BM271,TreatyCatch!$BO271:$BP271),"")</f>
        <v/>
      </c>
      <c r="L274" s="871" t="str">
        <f t="shared" si="120"/>
        <v/>
      </c>
      <c r="M274" s="858" t="str">
        <f>IF($I274,$I274*TreatyCatch!BO271/SUM(TreatyCatch!$BL271:$BM271,TreatyCatch!$BO271:$BP271),"")</f>
        <v/>
      </c>
      <c r="N274" s="859" t="str">
        <f>IF($I274,$I274*TreatyCatch!BP271/SUM(TreatyCatch!$BL271:$BM271,TreatyCatch!$BO271:$BP271),"")</f>
        <v/>
      </c>
      <c r="O274" s="840" t="str">
        <f t="shared" si="138"/>
        <v/>
      </c>
      <c r="P274" s="765"/>
      <c r="Q274" s="852" t="str">
        <f>IF($P274,$P274*TreatyCatch!BR271/SUM(TreatyCatch!$BR271:$BS271,TreatyCatch!$BU271:$BV271),"")</f>
        <v/>
      </c>
      <c r="R274" s="853" t="str">
        <f>IF($P274,$P274*TreatyCatch!BS271/SUM(TreatyCatch!$BR271:$BS271,TreatyCatch!$BU271:$BV271),"")</f>
        <v/>
      </c>
      <c r="S274" s="846" t="str">
        <f t="shared" si="121"/>
        <v/>
      </c>
      <c r="T274" s="893" t="str">
        <f>IF($P274,$P274*TreatyCatch!BU271/SUM(TreatyCatch!$BR271:$BS271,TreatyCatch!$BU271:$BV271),"")</f>
        <v/>
      </c>
      <c r="U274" s="894" t="str">
        <f>IF($P274,$P274*TreatyCatch!BV271/SUM(TreatyCatch!$BR271:$BS271,TreatyCatch!$BU271:$BV271),"")</f>
        <v/>
      </c>
      <c r="V274" s="877" t="str">
        <f t="shared" si="139"/>
        <v/>
      </c>
      <c r="W274" s="958"/>
      <c r="X274" s="882" t="str">
        <f>IF($W274,$W274*TreatyCatch!BX271/SUM(TreatyCatch!$BX271:$BY271,TreatyCatch!$CA271:$CB271),"")</f>
        <v/>
      </c>
      <c r="Y274" s="883" t="str">
        <f>IF($W274,$W274*TreatyCatch!BY271/SUM(TreatyCatch!$BX271:$BY271,TreatyCatch!$CA271:$CB271),"")</f>
        <v/>
      </c>
      <c r="Z274" s="901" t="str">
        <f t="shared" si="122"/>
        <v/>
      </c>
      <c r="AA274" s="858" t="str">
        <f>IF($W274,$W274*TreatyCatch!CA271/SUM(TreatyCatch!$BX271:$BY271,TreatyCatch!$CA271:$CB271),"")</f>
        <v/>
      </c>
      <c r="AB274" s="859" t="str">
        <f>IF($W274,$W274*TreatyCatch!CB271/SUM(TreatyCatch!$BX271:$BY271,TreatyCatch!$CA271:$CB271),"")</f>
        <v/>
      </c>
      <c r="AC274" s="840" t="str">
        <f t="shared" si="140"/>
        <v/>
      </c>
      <c r="AD274" s="958"/>
      <c r="AE274" s="1071" t="str">
        <f>IF($AD274,$AD274*TreatyCatch!CD504/SUM(TreatyCatch!$CD504:$CE504,TreatyCatch!$CG504:$CH504),"")</f>
        <v/>
      </c>
      <c r="AF274" s="1072" t="str">
        <f>IF($AD274,$AD274*TreatyCatch!CE504/SUM(TreatyCatch!$CD504:$CE504,TreatyCatch!$CG504:$CH504),"")</f>
        <v/>
      </c>
      <c r="AG274" s="1073" t="str">
        <f t="shared" si="123"/>
        <v/>
      </c>
      <c r="AH274" s="1077" t="str">
        <f>IF($AD274,$AD274*TreatyCatch!CG504/SUM(TreatyCatch!$CD504:CE504,TreatyCatch!$CG504:$CH504),"")</f>
        <v/>
      </c>
      <c r="AI274" s="1078" t="str">
        <f>IF($AD274,$AD274*TreatyCatch!CH504/SUM(TreatyCatch!$CD504:CF504,TreatyCatch!$CG504:$CH504),"")</f>
        <v/>
      </c>
      <c r="AJ274" s="1080" t="str">
        <f t="shared" si="141"/>
        <v/>
      </c>
      <c r="AK274" s="958"/>
      <c r="AL274" s="882"/>
      <c r="AM274" s="883"/>
      <c r="AN274" s="901"/>
      <c r="AO274" s="858"/>
      <c r="AP274" s="859"/>
      <c r="AQ274" s="840"/>
      <c r="AR274" s="765"/>
      <c r="AS274" s="852"/>
      <c r="AT274" s="853"/>
      <c r="AU274" s="846"/>
      <c r="AV274" s="893"/>
      <c r="AW274" s="894"/>
      <c r="AX274" s="877"/>
      <c r="AY274" s="765"/>
      <c r="AZ274" s="882"/>
      <c r="BA274" s="883"/>
      <c r="BB274" s="901"/>
      <c r="BC274" s="858"/>
      <c r="BD274" s="859"/>
      <c r="BE274" s="840"/>
      <c r="BF274" s="765"/>
      <c r="BG274" s="852"/>
      <c r="BH274" s="853"/>
      <c r="BI274" s="846"/>
      <c r="BJ274" s="893"/>
      <c r="BK274" s="894"/>
      <c r="BL274" s="877"/>
      <c r="BM274" s="765"/>
      <c r="BN274" s="882"/>
      <c r="BO274" s="883"/>
      <c r="BP274" s="901"/>
      <c r="BQ274" s="858"/>
      <c r="BR274" s="859"/>
      <c r="BS274" s="840"/>
      <c r="BT274" s="765"/>
      <c r="BU274" s="852"/>
      <c r="BV274" s="853"/>
      <c r="BW274" s="846"/>
      <c r="BX274" s="893"/>
      <c r="BY274" s="894"/>
      <c r="BZ274" s="877"/>
      <c r="CA274" s="765"/>
      <c r="CB274" s="882"/>
      <c r="CC274" s="883"/>
      <c r="CD274" s="901"/>
      <c r="CE274" s="858"/>
      <c r="CF274" s="859"/>
      <c r="CG274" s="840"/>
      <c r="CH274" s="765"/>
      <c r="CI274" s="852"/>
      <c r="CJ274" s="853"/>
      <c r="CK274" s="846"/>
      <c r="CL274" s="893"/>
      <c r="CM274" s="894"/>
      <c r="CN274" s="877"/>
    </row>
    <row r="275" spans="1:92" x14ac:dyDescent="0.25">
      <c r="A275" s="757">
        <v>34</v>
      </c>
      <c r="B275" s="765"/>
      <c r="C275" s="844" t="str">
        <f>IF($B275,$B275*TreatyCatch!BF272/SUM(TreatyCatch!$BF272:$BG272,TreatyCatch!$BI272:$BJ272),"")</f>
        <v/>
      </c>
      <c r="D275" s="844" t="str">
        <f>IF($B275,$B275*TreatyCatch!BG272/SUM(TreatyCatch!$BF272:$BG272,TreatyCatch!$BI272:$BJ272),"")</f>
        <v/>
      </c>
      <c r="E275" s="846" t="str">
        <f t="shared" si="119"/>
        <v/>
      </c>
      <c r="F275" s="876" t="str">
        <f>IF($B275,$B275*TreatyCatch!BI272/SUM(TreatyCatch!$BF272:$BG272,TreatyCatch!$BI272:$BJ272),"")</f>
        <v/>
      </c>
      <c r="G275" s="889" t="str">
        <f>IF($B275,$B275*TreatyCatch!BJ272/SUM(TreatyCatch!$BF272:$BG272,TreatyCatch!$BI272:$BJ272),"")</f>
        <v/>
      </c>
      <c r="H275" s="877" t="str">
        <f t="shared" si="137"/>
        <v/>
      </c>
      <c r="I275" s="765"/>
      <c r="J275" s="882" t="str">
        <f>IF($I275,$I275*TreatyCatch!BL272/SUM(TreatyCatch!$BL272:$BM272,TreatyCatch!$BO272:$BP272),"")</f>
        <v/>
      </c>
      <c r="K275" s="883" t="str">
        <f>IF($I275,$I275*TreatyCatch!BM272/SUM(TreatyCatch!$BL272:$BM272,TreatyCatch!$BO272:$BP272),"")</f>
        <v/>
      </c>
      <c r="L275" s="871" t="str">
        <f t="shared" si="120"/>
        <v/>
      </c>
      <c r="M275" s="858" t="str">
        <f>IF($I275,$I275*TreatyCatch!BO272/SUM(TreatyCatch!$BL272:$BM272,TreatyCatch!$BO272:$BP272),"")</f>
        <v/>
      </c>
      <c r="N275" s="859" t="str">
        <f>IF($I275,$I275*TreatyCatch!BP272/SUM(TreatyCatch!$BL272:$BM272,TreatyCatch!$BO272:$BP272),"")</f>
        <v/>
      </c>
      <c r="O275" s="840" t="str">
        <f t="shared" si="138"/>
        <v/>
      </c>
      <c r="P275" s="765"/>
      <c r="Q275" s="852" t="str">
        <f>IF($P275,$P275*TreatyCatch!BR272/SUM(TreatyCatch!$BR272:$BS272,TreatyCatch!$BU272:$BV272),"")</f>
        <v/>
      </c>
      <c r="R275" s="853" t="str">
        <f>IF($P275,$P275*TreatyCatch!BS272/SUM(TreatyCatch!$BR272:$BS272,TreatyCatch!$BU272:$BV272),"")</f>
        <v/>
      </c>
      <c r="S275" s="846" t="str">
        <f t="shared" si="121"/>
        <v/>
      </c>
      <c r="T275" s="893" t="str">
        <f>IF($P275,$P275*TreatyCatch!BU272/SUM(TreatyCatch!$BR272:$BS272,TreatyCatch!$BU272:$BV272),"")</f>
        <v/>
      </c>
      <c r="U275" s="894" t="str">
        <f>IF($P275,$P275*TreatyCatch!BV272/SUM(TreatyCatch!$BR272:$BS272,TreatyCatch!$BU272:$BV272),"")</f>
        <v/>
      </c>
      <c r="V275" s="877" t="str">
        <f t="shared" si="139"/>
        <v/>
      </c>
      <c r="W275" s="958"/>
      <c r="X275" s="882" t="str">
        <f>IF($W275,$W275*TreatyCatch!BX272/SUM(TreatyCatch!$BX272:$BY272,TreatyCatch!$CA272:$CB272),"")</f>
        <v/>
      </c>
      <c r="Y275" s="883" t="str">
        <f>IF($W275,$W275*TreatyCatch!BY272/SUM(TreatyCatch!$BX272:$BY272,TreatyCatch!$CA272:$CB272),"")</f>
        <v/>
      </c>
      <c r="Z275" s="901" t="str">
        <f t="shared" si="122"/>
        <v/>
      </c>
      <c r="AA275" s="858" t="str">
        <f>IF($W275,$W275*TreatyCatch!CA272/SUM(TreatyCatch!$BX272:$BY272,TreatyCatch!$CA272:$CB272),"")</f>
        <v/>
      </c>
      <c r="AB275" s="859" t="str">
        <f>IF($W275,$W275*TreatyCatch!CB272/SUM(TreatyCatch!$BX272:$BY272,TreatyCatch!$CA272:$CB272),"")</f>
        <v/>
      </c>
      <c r="AC275" s="840" t="str">
        <f t="shared" si="140"/>
        <v/>
      </c>
      <c r="AD275" s="958"/>
      <c r="AE275" s="1071" t="str">
        <f>IF($AD275,$AD275*TreatyCatch!CD505/SUM(TreatyCatch!$CD505:$CE505,TreatyCatch!$CG505:$CH505),"")</f>
        <v/>
      </c>
      <c r="AF275" s="1072" t="str">
        <f>IF($AD275,$AD275*TreatyCatch!CE505/SUM(TreatyCatch!$CD505:$CE505,TreatyCatch!$CG505:$CH505),"")</f>
        <v/>
      </c>
      <c r="AG275" s="1073" t="str">
        <f t="shared" si="123"/>
        <v/>
      </c>
      <c r="AH275" s="1077" t="str">
        <f>IF($AD275,$AD275*TreatyCatch!CG505/SUM(TreatyCatch!$CD505:CE505,TreatyCatch!$CG505:$CH505),"")</f>
        <v/>
      </c>
      <c r="AI275" s="1078" t="str">
        <f>IF($AD275,$AD275*TreatyCatch!CH505/SUM(TreatyCatch!$CD505:CF505,TreatyCatch!$CG505:$CH505),"")</f>
        <v/>
      </c>
      <c r="AJ275" s="1080" t="str">
        <f t="shared" si="141"/>
        <v/>
      </c>
      <c r="AK275" s="958"/>
      <c r="AL275" s="882"/>
      <c r="AM275" s="883"/>
      <c r="AN275" s="901"/>
      <c r="AO275" s="858"/>
      <c r="AP275" s="859"/>
      <c r="AQ275" s="840"/>
      <c r="AR275" s="765"/>
      <c r="AS275" s="852"/>
      <c r="AT275" s="853"/>
      <c r="AU275" s="846"/>
      <c r="AV275" s="893"/>
      <c r="AW275" s="894"/>
      <c r="AX275" s="877"/>
      <c r="AY275" s="765"/>
      <c r="AZ275" s="882"/>
      <c r="BA275" s="883"/>
      <c r="BB275" s="901"/>
      <c r="BC275" s="858"/>
      <c r="BD275" s="859"/>
      <c r="BE275" s="840"/>
      <c r="BF275" s="765"/>
      <c r="BG275" s="852"/>
      <c r="BH275" s="853"/>
      <c r="BI275" s="846"/>
      <c r="BJ275" s="893"/>
      <c r="BK275" s="894"/>
      <c r="BL275" s="877"/>
      <c r="BM275" s="765"/>
      <c r="BN275" s="882"/>
      <c r="BO275" s="883"/>
      <c r="BP275" s="901"/>
      <c r="BQ275" s="858"/>
      <c r="BR275" s="859"/>
      <c r="BS275" s="840"/>
      <c r="BT275" s="765"/>
      <c r="BU275" s="852"/>
      <c r="BV275" s="853"/>
      <c r="BW275" s="846"/>
      <c r="BX275" s="893"/>
      <c r="BY275" s="894"/>
      <c r="BZ275" s="877"/>
      <c r="CA275" s="765"/>
      <c r="CB275" s="882"/>
      <c r="CC275" s="883"/>
      <c r="CD275" s="901"/>
      <c r="CE275" s="858"/>
      <c r="CF275" s="859"/>
      <c r="CG275" s="840"/>
      <c r="CH275" s="765"/>
      <c r="CI275" s="852"/>
      <c r="CJ275" s="853"/>
      <c r="CK275" s="846"/>
      <c r="CL275" s="893"/>
      <c r="CM275" s="894"/>
      <c r="CN275" s="877"/>
    </row>
    <row r="276" spans="1:92" x14ac:dyDescent="0.25">
      <c r="A276" s="757">
        <v>35</v>
      </c>
      <c r="B276" s="765"/>
      <c r="C276" s="844" t="str">
        <f>IF($B276,$B276*TreatyCatch!BF273/SUM(TreatyCatch!$BF273:$BG273,TreatyCatch!$BI273:$BJ273),"")</f>
        <v/>
      </c>
      <c r="D276" s="844" t="str">
        <f>IF($B276,$B276*TreatyCatch!BG273/SUM(TreatyCatch!$BF273:$BG273,TreatyCatch!$BI273:$BJ273),"")</f>
        <v/>
      </c>
      <c r="E276" s="846" t="str">
        <f t="shared" si="119"/>
        <v/>
      </c>
      <c r="F276" s="876" t="str">
        <f>IF($B276,$B276*TreatyCatch!BI273/SUM(TreatyCatch!$BF273:$BG273,TreatyCatch!$BI273:$BJ273),"")</f>
        <v/>
      </c>
      <c r="G276" s="889" t="str">
        <f>IF($B276,$B276*TreatyCatch!BJ273/SUM(TreatyCatch!$BF273:$BG273,TreatyCatch!$BI273:$BJ273),"")</f>
        <v/>
      </c>
      <c r="H276" s="877" t="str">
        <f t="shared" si="137"/>
        <v/>
      </c>
      <c r="I276" s="765"/>
      <c r="J276" s="882" t="str">
        <f>IF($I276,$I276*TreatyCatch!BL273/SUM(TreatyCatch!$BL273:$BM273,TreatyCatch!$BO273:$BP273),"")</f>
        <v/>
      </c>
      <c r="K276" s="883" t="str">
        <f>IF($I276,$I276*TreatyCatch!BM273/SUM(TreatyCatch!$BL273:$BM273,TreatyCatch!$BO273:$BP273),"")</f>
        <v/>
      </c>
      <c r="L276" s="871" t="str">
        <f t="shared" si="120"/>
        <v/>
      </c>
      <c r="M276" s="858" t="str">
        <f>IF($I276,$I276*TreatyCatch!BO273/SUM(TreatyCatch!$BL273:$BM273,TreatyCatch!$BO273:$BP273),"")</f>
        <v/>
      </c>
      <c r="N276" s="859" t="str">
        <f>IF($I276,$I276*TreatyCatch!BP273/SUM(TreatyCatch!$BL273:$BM273,TreatyCatch!$BO273:$BP273),"")</f>
        <v/>
      </c>
      <c r="O276" s="840" t="str">
        <f t="shared" si="138"/>
        <v/>
      </c>
      <c r="P276" s="765"/>
      <c r="Q276" s="852" t="str">
        <f>IF($P276,$P276*TreatyCatch!BR273/SUM(TreatyCatch!$BR273:$BS273,TreatyCatch!$BU273:$BV273),"")</f>
        <v/>
      </c>
      <c r="R276" s="853" t="str">
        <f>IF($P276,$P276*TreatyCatch!BS273/SUM(TreatyCatch!$BR273:$BS273,TreatyCatch!$BU273:$BV273),"")</f>
        <v/>
      </c>
      <c r="S276" s="846" t="str">
        <f t="shared" si="121"/>
        <v/>
      </c>
      <c r="T276" s="893" t="str">
        <f>IF($P276,$P276*TreatyCatch!BU273/SUM(TreatyCatch!$BR273:$BS273,TreatyCatch!$BU273:$BV273),"")</f>
        <v/>
      </c>
      <c r="U276" s="894" t="str">
        <f>IF($P276,$P276*TreatyCatch!BV273/SUM(TreatyCatch!$BR273:$BS273,TreatyCatch!$BU273:$BV273),"")</f>
        <v/>
      </c>
      <c r="V276" s="877" t="str">
        <f t="shared" si="139"/>
        <v/>
      </c>
      <c r="W276" s="958"/>
      <c r="X276" s="882" t="str">
        <f>IF($W276,$W276*TreatyCatch!BX273/SUM(TreatyCatch!$BX273:$BY273,TreatyCatch!$CA273:$CB273),"")</f>
        <v/>
      </c>
      <c r="Y276" s="883" t="str">
        <f>IF($W276,$W276*TreatyCatch!BY273/SUM(TreatyCatch!$BX273:$BY273,TreatyCatch!$CA273:$CB273),"")</f>
        <v/>
      </c>
      <c r="Z276" s="901" t="str">
        <f t="shared" si="122"/>
        <v/>
      </c>
      <c r="AA276" s="858" t="str">
        <f>IF($W276,$W276*TreatyCatch!CA273/SUM(TreatyCatch!$BX273:$BY273,TreatyCatch!$CA273:$CB273),"")</f>
        <v/>
      </c>
      <c r="AB276" s="859" t="str">
        <f>IF($W276,$W276*TreatyCatch!CB273/SUM(TreatyCatch!$BX273:$BY273,TreatyCatch!$CA273:$CB273),"")</f>
        <v/>
      </c>
      <c r="AC276" s="840" t="str">
        <f t="shared" si="140"/>
        <v/>
      </c>
      <c r="AD276" s="958"/>
      <c r="AE276" s="1071" t="str">
        <f>IF($AD276,$AD276*TreatyCatch!CD506/SUM(TreatyCatch!$CD506:$CE506,TreatyCatch!$CG506:$CH506),"")</f>
        <v/>
      </c>
      <c r="AF276" s="1072" t="str">
        <f>IF($AD276,$AD276*TreatyCatch!CE506/SUM(TreatyCatch!$CD506:$CE506,TreatyCatch!$CG506:$CH506),"")</f>
        <v/>
      </c>
      <c r="AG276" s="1073" t="str">
        <f t="shared" si="123"/>
        <v/>
      </c>
      <c r="AH276" s="1077" t="str">
        <f>IF($AD276,$AD276*TreatyCatch!CG506/SUM(TreatyCatch!$CD506:CE506,TreatyCatch!$CG506:$CH506),"")</f>
        <v/>
      </c>
      <c r="AI276" s="1078" t="str">
        <f>IF($AD276,$AD276*TreatyCatch!CH506/SUM(TreatyCatch!$CD506:CF506,TreatyCatch!$CG506:$CH506),"")</f>
        <v/>
      </c>
      <c r="AJ276" s="1080" t="str">
        <f t="shared" si="141"/>
        <v/>
      </c>
      <c r="AK276" s="958"/>
      <c r="AL276" s="882"/>
      <c r="AM276" s="883"/>
      <c r="AN276" s="901"/>
      <c r="AO276" s="858"/>
      <c r="AP276" s="859"/>
      <c r="AQ276" s="840"/>
      <c r="AR276" s="765"/>
      <c r="AS276" s="852"/>
      <c r="AT276" s="853"/>
      <c r="AU276" s="846"/>
      <c r="AV276" s="893"/>
      <c r="AW276" s="894"/>
      <c r="AX276" s="877"/>
      <c r="AY276" s="765"/>
      <c r="AZ276" s="882"/>
      <c r="BA276" s="883"/>
      <c r="BB276" s="901"/>
      <c r="BC276" s="858"/>
      <c r="BD276" s="859"/>
      <c r="BE276" s="840"/>
      <c r="BF276" s="765"/>
      <c r="BG276" s="852"/>
      <c r="BH276" s="853"/>
      <c r="BI276" s="846"/>
      <c r="BJ276" s="893"/>
      <c r="BK276" s="894"/>
      <c r="BL276" s="877"/>
      <c r="BM276" s="765"/>
      <c r="BN276" s="882"/>
      <c r="BO276" s="883"/>
      <c r="BP276" s="901"/>
      <c r="BQ276" s="858"/>
      <c r="BR276" s="859"/>
      <c r="BS276" s="840"/>
      <c r="BT276" s="765"/>
      <c r="BU276" s="852"/>
      <c r="BV276" s="853"/>
      <c r="BW276" s="846"/>
      <c r="BX276" s="893"/>
      <c r="BY276" s="894"/>
      <c r="BZ276" s="877"/>
      <c r="CA276" s="765"/>
      <c r="CB276" s="882"/>
      <c r="CC276" s="883"/>
      <c r="CD276" s="901"/>
      <c r="CE276" s="858"/>
      <c r="CF276" s="859"/>
      <c r="CG276" s="840"/>
      <c r="CH276" s="765"/>
      <c r="CI276" s="852"/>
      <c r="CJ276" s="853"/>
      <c r="CK276" s="846"/>
      <c r="CL276" s="893"/>
      <c r="CM276" s="894"/>
      <c r="CN276" s="877"/>
    </row>
    <row r="277" spans="1:92" x14ac:dyDescent="0.25">
      <c r="A277" s="757">
        <v>36</v>
      </c>
      <c r="B277" s="765"/>
      <c r="C277" s="844" t="str">
        <f>IF($B277,$B277*TreatyCatch!BF274/SUM(TreatyCatch!$BF274:$BG274,TreatyCatch!$BI274:$BJ274),"")</f>
        <v/>
      </c>
      <c r="D277" s="844" t="str">
        <f>IF($B277,$B277*TreatyCatch!BG274/SUM(TreatyCatch!$BF274:$BG274,TreatyCatch!$BI274:$BJ274),"")</f>
        <v/>
      </c>
      <c r="E277" s="846" t="str">
        <f t="shared" si="119"/>
        <v/>
      </c>
      <c r="F277" s="876" t="str">
        <f>IF($B277,$B277*TreatyCatch!BI274/SUM(TreatyCatch!$BF274:$BG274,TreatyCatch!$BI274:$BJ274),"")</f>
        <v/>
      </c>
      <c r="G277" s="889" t="str">
        <f>IF($B277,$B277*TreatyCatch!BJ274/SUM(TreatyCatch!$BF274:$BG274,TreatyCatch!$BI274:$BJ274),"")</f>
        <v/>
      </c>
      <c r="H277" s="877" t="str">
        <f t="shared" si="137"/>
        <v/>
      </c>
      <c r="I277" s="765"/>
      <c r="J277" s="882" t="str">
        <f>IF($I277,$I277*TreatyCatch!BL274/SUM(TreatyCatch!$BL274:$BM274,TreatyCatch!$BO274:$BP274),"")</f>
        <v/>
      </c>
      <c r="K277" s="883" t="str">
        <f>IF($I277,$I277*TreatyCatch!BM274/SUM(TreatyCatch!$BL274:$BM274,TreatyCatch!$BO274:$BP274),"")</f>
        <v/>
      </c>
      <c r="L277" s="871" t="str">
        <f t="shared" si="120"/>
        <v/>
      </c>
      <c r="M277" s="858" t="str">
        <f>IF($I277,$I277*TreatyCatch!BO274/SUM(TreatyCatch!$BL274:$BM274,TreatyCatch!$BO274:$BP274),"")</f>
        <v/>
      </c>
      <c r="N277" s="859" t="str">
        <f>IF($I277,$I277*TreatyCatch!BP274/SUM(TreatyCatch!$BL274:$BM274,TreatyCatch!$BO274:$BP274),"")</f>
        <v/>
      </c>
      <c r="O277" s="840" t="str">
        <f t="shared" si="138"/>
        <v/>
      </c>
      <c r="P277" s="765"/>
      <c r="Q277" s="852" t="str">
        <f>IF($P277,$P277*TreatyCatch!BR274/SUM(TreatyCatch!$BR274:$BS274,TreatyCatch!$BU274:$BV274),"")</f>
        <v/>
      </c>
      <c r="R277" s="853" t="str">
        <f>IF($P277,$P277*TreatyCatch!BS274/SUM(TreatyCatch!$BR274:$BS274,TreatyCatch!$BU274:$BV274),"")</f>
        <v/>
      </c>
      <c r="S277" s="846" t="str">
        <f t="shared" si="121"/>
        <v/>
      </c>
      <c r="T277" s="893" t="str">
        <f>IF($P277,$P277*TreatyCatch!BU274/SUM(TreatyCatch!$BR274:$BS274,TreatyCatch!$BU274:$BV274),"")</f>
        <v/>
      </c>
      <c r="U277" s="894" t="str">
        <f>IF($P277,$P277*TreatyCatch!BV274/SUM(TreatyCatch!$BR274:$BS274,TreatyCatch!$BU274:$BV274),"")</f>
        <v/>
      </c>
      <c r="V277" s="877" t="str">
        <f t="shared" si="139"/>
        <v/>
      </c>
      <c r="W277" s="958"/>
      <c r="X277" s="882" t="str">
        <f>IF($W277,$W277*TreatyCatch!BX274/SUM(TreatyCatch!$BX274:$BY274,TreatyCatch!$CA274:$CB274),"")</f>
        <v/>
      </c>
      <c r="Y277" s="883" t="str">
        <f>IF($W277,$W277*TreatyCatch!BY274/SUM(TreatyCatch!$BX274:$BY274,TreatyCatch!$CA274:$CB274),"")</f>
        <v/>
      </c>
      <c r="Z277" s="901" t="str">
        <f t="shared" si="122"/>
        <v/>
      </c>
      <c r="AA277" s="858" t="str">
        <f>IF($W277,$W277*TreatyCatch!CA274/SUM(TreatyCatch!$BX274:$BY274,TreatyCatch!$CA274:$CB274),"")</f>
        <v/>
      </c>
      <c r="AB277" s="859" t="str">
        <f>IF($W277,$W277*TreatyCatch!CB274/SUM(TreatyCatch!$BX274:$BY274,TreatyCatch!$CA274:$CB274),"")</f>
        <v/>
      </c>
      <c r="AC277" s="840" t="str">
        <f t="shared" si="140"/>
        <v/>
      </c>
      <c r="AD277" s="958"/>
      <c r="AE277" s="1071" t="str">
        <f>IF($AD277,$AD277*TreatyCatch!CD507/SUM(TreatyCatch!$CD507:$CE507,TreatyCatch!$CG507:$CH507),"")</f>
        <v/>
      </c>
      <c r="AF277" s="1072" t="str">
        <f>IF($AD277,$AD277*TreatyCatch!CE507/SUM(TreatyCatch!$CD507:$CE507,TreatyCatch!$CG507:$CH507),"")</f>
        <v/>
      </c>
      <c r="AG277" s="1073" t="str">
        <f t="shared" si="123"/>
        <v/>
      </c>
      <c r="AH277" s="1077" t="str">
        <f>IF($AD277,$AD277*TreatyCatch!CG507/SUM(TreatyCatch!$CD507:CE507,TreatyCatch!$CG507:$CH507),"")</f>
        <v/>
      </c>
      <c r="AI277" s="1078" t="str">
        <f>IF($AD277,$AD277*TreatyCatch!CH507/SUM(TreatyCatch!$CD507:CF507,TreatyCatch!$CG507:$CH507),"")</f>
        <v/>
      </c>
      <c r="AJ277" s="1080" t="str">
        <f t="shared" si="141"/>
        <v/>
      </c>
      <c r="AK277" s="958"/>
      <c r="AL277" s="882"/>
      <c r="AM277" s="883"/>
      <c r="AN277" s="901"/>
      <c r="AO277" s="858"/>
      <c r="AP277" s="859"/>
      <c r="AQ277" s="840"/>
      <c r="AR277" s="765"/>
      <c r="AS277" s="852"/>
      <c r="AT277" s="853"/>
      <c r="AU277" s="846"/>
      <c r="AV277" s="893"/>
      <c r="AW277" s="894"/>
      <c r="AX277" s="877"/>
      <c r="AY277" s="765"/>
      <c r="AZ277" s="882"/>
      <c r="BA277" s="883"/>
      <c r="BB277" s="901"/>
      <c r="BC277" s="858"/>
      <c r="BD277" s="859"/>
      <c r="BE277" s="840"/>
      <c r="BF277" s="765"/>
      <c r="BG277" s="852"/>
      <c r="BH277" s="853"/>
      <c r="BI277" s="846"/>
      <c r="BJ277" s="893"/>
      <c r="BK277" s="894"/>
      <c r="BL277" s="877"/>
      <c r="BM277" s="765"/>
      <c r="BN277" s="882"/>
      <c r="BO277" s="883"/>
      <c r="BP277" s="901"/>
      <c r="BQ277" s="858"/>
      <c r="BR277" s="859"/>
      <c r="BS277" s="840"/>
      <c r="BT277" s="765"/>
      <c r="BU277" s="852"/>
      <c r="BV277" s="853"/>
      <c r="BW277" s="846"/>
      <c r="BX277" s="893"/>
      <c r="BY277" s="894"/>
      <c r="BZ277" s="877"/>
      <c r="CA277" s="765"/>
      <c r="CB277" s="882"/>
      <c r="CC277" s="883"/>
      <c r="CD277" s="901"/>
      <c r="CE277" s="858"/>
      <c r="CF277" s="859"/>
      <c r="CG277" s="840"/>
      <c r="CH277" s="765"/>
      <c r="CI277" s="852"/>
      <c r="CJ277" s="853"/>
      <c r="CK277" s="846"/>
      <c r="CL277" s="893"/>
      <c r="CM277" s="894"/>
      <c r="CN277" s="877"/>
    </row>
    <row r="278" spans="1:92" x14ac:dyDescent="0.25">
      <c r="A278" s="757">
        <v>37</v>
      </c>
      <c r="B278" s="765"/>
      <c r="C278" s="844" t="str">
        <f>IF($B278,$B278*TreatyCatch!BF275/SUM(TreatyCatch!$BF275:$BG275,TreatyCatch!$BI275:$BJ275),"")</f>
        <v/>
      </c>
      <c r="D278" s="844" t="str">
        <f>IF($B278,$B278*TreatyCatch!BG275/SUM(TreatyCatch!$BF275:$BG275,TreatyCatch!$BI275:$BJ275),"")</f>
        <v/>
      </c>
      <c r="E278" s="846" t="str">
        <f t="shared" si="119"/>
        <v/>
      </c>
      <c r="F278" s="876" t="str">
        <f>IF($B278,$B278*TreatyCatch!BI275/SUM(TreatyCatch!$BF275:$BG275,TreatyCatch!$BI275:$BJ275),"")</f>
        <v/>
      </c>
      <c r="G278" s="889" t="str">
        <f>IF($B278,$B278*TreatyCatch!BJ275/SUM(TreatyCatch!$BF275:$BG275,TreatyCatch!$BI275:$BJ275),"")</f>
        <v/>
      </c>
      <c r="H278" s="877" t="str">
        <f t="shared" si="137"/>
        <v/>
      </c>
      <c r="I278" s="765"/>
      <c r="J278" s="882" t="str">
        <f>IF($I278,$I278*TreatyCatch!BL275/SUM(TreatyCatch!$BL275:$BM275,TreatyCatch!$BO275:$BP275),"")</f>
        <v/>
      </c>
      <c r="K278" s="883" t="str">
        <f>IF($I278,$I278*TreatyCatch!BM275/SUM(TreatyCatch!$BL275:$BM275,TreatyCatch!$BO275:$BP275),"")</f>
        <v/>
      </c>
      <c r="L278" s="871" t="str">
        <f t="shared" si="120"/>
        <v/>
      </c>
      <c r="M278" s="858" t="str">
        <f>IF($I278,$I278*TreatyCatch!BO275/SUM(TreatyCatch!$BL275:$BM275,TreatyCatch!$BO275:$BP275),"")</f>
        <v/>
      </c>
      <c r="N278" s="859" t="str">
        <f>IF($I278,$I278*TreatyCatch!BP275/SUM(TreatyCatch!$BL275:$BM275,TreatyCatch!$BO275:$BP275),"")</f>
        <v/>
      </c>
      <c r="O278" s="840" t="str">
        <f t="shared" si="138"/>
        <v/>
      </c>
      <c r="P278" s="765"/>
      <c r="Q278" s="852" t="str">
        <f>IF($P278,$P278*TreatyCatch!BR275/SUM(TreatyCatch!$BR275:$BS275,TreatyCatch!$BU275:$BV275),"")</f>
        <v/>
      </c>
      <c r="R278" s="853" t="str">
        <f>IF($P278,$P278*TreatyCatch!BS275/SUM(TreatyCatch!$BR275:$BS275,TreatyCatch!$BU275:$BV275),"")</f>
        <v/>
      </c>
      <c r="S278" s="846" t="str">
        <f t="shared" si="121"/>
        <v/>
      </c>
      <c r="T278" s="893" t="str">
        <f>IF($P278,$P278*TreatyCatch!BU275/SUM(TreatyCatch!$BR275:$BS275,TreatyCatch!$BU275:$BV275),"")</f>
        <v/>
      </c>
      <c r="U278" s="894" t="str">
        <f>IF($P278,$P278*TreatyCatch!BV275/SUM(TreatyCatch!$BR275:$BS275,TreatyCatch!$BU275:$BV275),"")</f>
        <v/>
      </c>
      <c r="V278" s="877" t="str">
        <f t="shared" si="139"/>
        <v/>
      </c>
      <c r="W278" s="958"/>
      <c r="X278" s="882" t="str">
        <f>IF($W278,$W278*TreatyCatch!BX275/SUM(TreatyCatch!$BX275:$BY275,TreatyCatch!$CA275:$CB275),"")</f>
        <v/>
      </c>
      <c r="Y278" s="883" t="str">
        <f>IF($W278,$W278*TreatyCatch!BY275/SUM(TreatyCatch!$BX275:$BY275,TreatyCatch!$CA275:$CB275),"")</f>
        <v/>
      </c>
      <c r="Z278" s="901" t="str">
        <f t="shared" si="122"/>
        <v/>
      </c>
      <c r="AA278" s="858" t="str">
        <f>IF($W278,$W278*TreatyCatch!CA275/SUM(TreatyCatch!$BX275:$BY275,TreatyCatch!$CA275:$CB275),"")</f>
        <v/>
      </c>
      <c r="AB278" s="859" t="str">
        <f>IF($W278,$W278*TreatyCatch!CB275/SUM(TreatyCatch!$BX275:$BY275,TreatyCatch!$CA275:$CB275),"")</f>
        <v/>
      </c>
      <c r="AC278" s="840" t="str">
        <f t="shared" si="140"/>
        <v/>
      </c>
      <c r="AD278" s="958"/>
      <c r="AE278" s="1071" t="str">
        <f>IF($AD278,$AD278*TreatyCatch!CD508/SUM(TreatyCatch!$CD508:$CE508,TreatyCatch!$CG508:$CH508),"")</f>
        <v/>
      </c>
      <c r="AF278" s="1072" t="str">
        <f>IF($AD278,$AD278*TreatyCatch!CE508/SUM(TreatyCatch!$CD508:$CE508,TreatyCatch!$CG508:$CH508),"")</f>
        <v/>
      </c>
      <c r="AG278" s="1073" t="str">
        <f t="shared" si="123"/>
        <v/>
      </c>
      <c r="AH278" s="1077" t="str">
        <f>IF($AD278,$AD278*TreatyCatch!CG508/SUM(TreatyCatch!$CD508:CE508,TreatyCatch!$CG508:$CH508),"")</f>
        <v/>
      </c>
      <c r="AI278" s="1078" t="str">
        <f>IF($AD278,$AD278*TreatyCatch!CH508/SUM(TreatyCatch!$CD508:CF508,TreatyCatch!$CG508:$CH508),"")</f>
        <v/>
      </c>
      <c r="AJ278" s="1080" t="str">
        <f t="shared" si="141"/>
        <v/>
      </c>
      <c r="AK278" s="958"/>
      <c r="AL278" s="882"/>
      <c r="AM278" s="883"/>
      <c r="AN278" s="901"/>
      <c r="AO278" s="858"/>
      <c r="AP278" s="859"/>
      <c r="AQ278" s="840"/>
      <c r="AR278" s="765"/>
      <c r="AS278" s="852"/>
      <c r="AT278" s="853"/>
      <c r="AU278" s="846"/>
      <c r="AV278" s="893"/>
      <c r="AW278" s="894"/>
      <c r="AX278" s="877"/>
      <c r="AY278" s="765"/>
      <c r="AZ278" s="882"/>
      <c r="BA278" s="883"/>
      <c r="BB278" s="901"/>
      <c r="BC278" s="858"/>
      <c r="BD278" s="859"/>
      <c r="BE278" s="840"/>
      <c r="BF278" s="765"/>
      <c r="BG278" s="852"/>
      <c r="BH278" s="853"/>
      <c r="BI278" s="846"/>
      <c r="BJ278" s="893"/>
      <c r="BK278" s="894"/>
      <c r="BL278" s="877"/>
      <c r="BM278" s="1687"/>
      <c r="BN278" s="882"/>
      <c r="BO278" s="883"/>
      <c r="BP278" s="901"/>
      <c r="BQ278" s="858"/>
      <c r="BR278" s="859"/>
      <c r="BS278" s="840"/>
      <c r="BT278" s="765"/>
      <c r="BU278" s="852"/>
      <c r="BV278" s="853"/>
      <c r="BW278" s="846"/>
      <c r="BX278" s="893"/>
      <c r="BY278" s="894"/>
      <c r="BZ278" s="877"/>
      <c r="CA278" s="765"/>
      <c r="CB278" s="882"/>
      <c r="CC278" s="883"/>
      <c r="CD278" s="901"/>
      <c r="CE278" s="858"/>
      <c r="CF278" s="859"/>
      <c r="CG278" s="840"/>
      <c r="CH278" s="765"/>
      <c r="CI278" s="852"/>
      <c r="CJ278" s="853"/>
      <c r="CK278" s="846"/>
      <c r="CL278" s="893"/>
      <c r="CM278" s="894"/>
      <c r="CN278" s="877"/>
    </row>
    <row r="279" spans="1:92" x14ac:dyDescent="0.25">
      <c r="A279" s="757">
        <v>38</v>
      </c>
      <c r="B279" s="765"/>
      <c r="C279" s="844" t="str">
        <f>IF($B279,$B279*TreatyCatch!BF276/SUM(TreatyCatch!$BF276:$BG276,TreatyCatch!$BI276:$BJ276),"")</f>
        <v/>
      </c>
      <c r="D279" s="844" t="str">
        <f>IF($B279,$B279*TreatyCatch!BG276/SUM(TreatyCatch!$BF276:$BG276,TreatyCatch!$BI276:$BJ276),"")</f>
        <v/>
      </c>
      <c r="E279" s="846" t="str">
        <f t="shared" si="119"/>
        <v/>
      </c>
      <c r="F279" s="876" t="str">
        <f>IF($B279,$B279*TreatyCatch!BI276/SUM(TreatyCatch!$BF276:$BG276,TreatyCatch!$BI276:$BJ276),"")</f>
        <v/>
      </c>
      <c r="G279" s="889" t="str">
        <f>IF($B279,$B279*TreatyCatch!BJ276/SUM(TreatyCatch!$BF276:$BG276,TreatyCatch!$BI276:$BJ276),"")</f>
        <v/>
      </c>
      <c r="H279" s="877" t="str">
        <f t="shared" si="137"/>
        <v/>
      </c>
      <c r="I279" s="765"/>
      <c r="J279" s="882" t="str">
        <f>IF($I279,$I279*TreatyCatch!BL276/SUM(TreatyCatch!$BL276:$BM276,TreatyCatch!$BO276:$BP276),"")</f>
        <v/>
      </c>
      <c r="K279" s="883" t="str">
        <f>IF($I279,$I279*TreatyCatch!BM276/SUM(TreatyCatch!$BL276:$BM276,TreatyCatch!$BO276:$BP276),"")</f>
        <v/>
      </c>
      <c r="L279" s="871" t="str">
        <f t="shared" si="120"/>
        <v/>
      </c>
      <c r="M279" s="858" t="str">
        <f>IF($I279,$I279*TreatyCatch!BO276/SUM(TreatyCatch!$BL276:$BM276,TreatyCatch!$BO276:$BP276),"")</f>
        <v/>
      </c>
      <c r="N279" s="859" t="str">
        <f>IF($I279,$I279*TreatyCatch!BP276/SUM(TreatyCatch!$BL276:$BM276,TreatyCatch!$BO276:$BP276),"")</f>
        <v/>
      </c>
      <c r="O279" s="840" t="str">
        <f t="shared" si="138"/>
        <v/>
      </c>
      <c r="P279" s="765"/>
      <c r="Q279" s="852" t="str">
        <f>IF($P279,$P279*TreatyCatch!BR276/SUM(TreatyCatch!$BR276:$BS276,TreatyCatch!$BU276:$BV276),"")</f>
        <v/>
      </c>
      <c r="R279" s="853" t="str">
        <f>IF($P279,$P279*TreatyCatch!BS276/SUM(TreatyCatch!$BR276:$BS276,TreatyCatch!$BU276:$BV276),"")</f>
        <v/>
      </c>
      <c r="S279" s="846" t="str">
        <f t="shared" si="121"/>
        <v/>
      </c>
      <c r="T279" s="893" t="str">
        <f>IF($P279,$P279*TreatyCatch!BU276/SUM(TreatyCatch!$BR276:$BS276,TreatyCatch!$BU276:$BV276),"")</f>
        <v/>
      </c>
      <c r="U279" s="894" t="str">
        <f>IF($P279,$P279*TreatyCatch!BV276/SUM(TreatyCatch!$BR276:$BS276,TreatyCatch!$BU276:$BV276),"")</f>
        <v/>
      </c>
      <c r="V279" s="877" t="str">
        <f t="shared" si="139"/>
        <v/>
      </c>
      <c r="W279" s="958"/>
      <c r="X279" s="882" t="str">
        <f>IF($W279,$W279*TreatyCatch!BX276/SUM(TreatyCatch!$BX276:$BY276,TreatyCatch!$CA276:$CB276),"")</f>
        <v/>
      </c>
      <c r="Y279" s="883" t="str">
        <f>IF($W279,$W279*TreatyCatch!BY276/SUM(TreatyCatch!$BX276:$BY276,TreatyCatch!$CA276:$CB276),"")</f>
        <v/>
      </c>
      <c r="Z279" s="901" t="str">
        <f t="shared" si="122"/>
        <v/>
      </c>
      <c r="AA279" s="858" t="str">
        <f>IF($W279,$W279*TreatyCatch!CA276/SUM(TreatyCatch!$BX276:$BY276,TreatyCatch!$CA276:$CB276),"")</f>
        <v/>
      </c>
      <c r="AB279" s="859" t="str">
        <f>IF($W279,$W279*TreatyCatch!CB276/SUM(TreatyCatch!$BX276:$BY276,TreatyCatch!$CA276:$CB276),"")</f>
        <v/>
      </c>
      <c r="AC279" s="840" t="str">
        <f t="shared" si="140"/>
        <v/>
      </c>
      <c r="AD279" s="958"/>
      <c r="AE279" s="1071" t="str">
        <f>IF($AD279,$AD279*TreatyCatch!CD509/SUM(TreatyCatch!$CD509:$CE509,TreatyCatch!$CG509:$CH509),"")</f>
        <v/>
      </c>
      <c r="AF279" s="1072" t="str">
        <f>IF($AD279,$AD279*TreatyCatch!CE509/SUM(TreatyCatch!$CD509:$CE509,TreatyCatch!$CG509:$CH509),"")</f>
        <v/>
      </c>
      <c r="AG279" s="1073" t="str">
        <f t="shared" si="123"/>
        <v/>
      </c>
      <c r="AH279" s="1077" t="str">
        <f>IF($AD279,$AD279*TreatyCatch!CG509/SUM(TreatyCatch!$CD509:CE509,TreatyCatch!$CG509:$CH509),"")</f>
        <v/>
      </c>
      <c r="AI279" s="1078" t="str">
        <f>IF($AD279,$AD279*TreatyCatch!CH509/SUM(TreatyCatch!$CD509:CF509,TreatyCatch!$CG509:$CH509),"")</f>
        <v/>
      </c>
      <c r="AJ279" s="1080" t="str">
        <f t="shared" si="141"/>
        <v/>
      </c>
      <c r="AK279" s="958"/>
      <c r="AL279" s="882"/>
      <c r="AM279" s="883"/>
      <c r="AN279" s="901"/>
      <c r="AO279" s="858"/>
      <c r="AP279" s="859"/>
      <c r="AQ279" s="840"/>
      <c r="AR279" s="765"/>
      <c r="AS279" s="852"/>
      <c r="AT279" s="853"/>
      <c r="AU279" s="846"/>
      <c r="AV279" s="893"/>
      <c r="AW279" s="894"/>
      <c r="AX279" s="877"/>
      <c r="AY279" s="765"/>
      <c r="AZ279" s="882"/>
      <c r="BA279" s="883"/>
      <c r="BB279" s="901"/>
      <c r="BC279" s="858"/>
      <c r="BD279" s="859"/>
      <c r="BE279" s="840"/>
      <c r="BF279" s="765"/>
      <c r="BG279" s="852"/>
      <c r="BH279" s="853"/>
      <c r="BI279" s="846"/>
      <c r="BJ279" s="893"/>
      <c r="BK279" s="894"/>
      <c r="BL279" s="877"/>
      <c r="BM279" s="765"/>
      <c r="BN279" s="882"/>
      <c r="BO279" s="883"/>
      <c r="BP279" s="901"/>
      <c r="BQ279" s="858"/>
      <c r="BR279" s="859"/>
      <c r="BS279" s="840"/>
      <c r="BT279" s="765"/>
      <c r="BU279" s="852"/>
      <c r="BV279" s="853"/>
      <c r="BW279" s="846"/>
      <c r="BX279" s="893"/>
      <c r="BY279" s="894"/>
      <c r="BZ279" s="877"/>
      <c r="CA279" s="765"/>
      <c r="CB279" s="882"/>
      <c r="CC279" s="883"/>
      <c r="CD279" s="901"/>
      <c r="CE279" s="858"/>
      <c r="CF279" s="859"/>
      <c r="CG279" s="840"/>
      <c r="CH279" s="765"/>
      <c r="CI279" s="852"/>
      <c r="CJ279" s="853"/>
      <c r="CK279" s="846"/>
      <c r="CL279" s="893"/>
      <c r="CM279" s="894"/>
      <c r="CN279" s="877"/>
    </row>
    <row r="280" spans="1:92" x14ac:dyDescent="0.25">
      <c r="A280" s="757">
        <v>39</v>
      </c>
      <c r="B280" s="765"/>
      <c r="C280" s="844" t="str">
        <f>IF($B280,$B280*TreatyCatch!BF277/SUM(TreatyCatch!$BF277:$BG277,TreatyCatch!$BI277:$BJ277),"")</f>
        <v/>
      </c>
      <c r="D280" s="844" t="str">
        <f>IF($B280,$B280*TreatyCatch!BG277/SUM(TreatyCatch!$BF277:$BG277,TreatyCatch!$BI277:$BJ277),"")</f>
        <v/>
      </c>
      <c r="E280" s="846" t="str">
        <f t="shared" si="119"/>
        <v/>
      </c>
      <c r="F280" s="876" t="str">
        <f>IF($B280,$B280*TreatyCatch!BI277/SUM(TreatyCatch!$BF277:$BG277,TreatyCatch!$BI277:$BJ277),"")</f>
        <v/>
      </c>
      <c r="G280" s="889" t="str">
        <f>IF($B280,$B280*TreatyCatch!BJ277/SUM(TreatyCatch!$BF277:$BG277,TreatyCatch!$BI277:$BJ277),"")</f>
        <v/>
      </c>
      <c r="H280" s="877" t="str">
        <f t="shared" si="137"/>
        <v/>
      </c>
      <c r="I280" s="765"/>
      <c r="J280" s="882" t="str">
        <f>IF($I280,$I280*TreatyCatch!BL277/SUM(TreatyCatch!$BL277:$BM277,TreatyCatch!$BO277:$BP277),"")</f>
        <v/>
      </c>
      <c r="K280" s="883" t="str">
        <f>IF($I280,$I280*TreatyCatch!BM277/SUM(TreatyCatch!$BL277:$BM277,TreatyCatch!$BO277:$BP277),"")</f>
        <v/>
      </c>
      <c r="L280" s="871" t="str">
        <f t="shared" si="120"/>
        <v/>
      </c>
      <c r="M280" s="858" t="str">
        <f>IF($I280,$I280*TreatyCatch!BO277/SUM(TreatyCatch!$BL277:$BM277,TreatyCatch!$BO277:$BP277),"")</f>
        <v/>
      </c>
      <c r="N280" s="859" t="str">
        <f>IF($I280,$I280*TreatyCatch!BP277/SUM(TreatyCatch!$BL277:$BM277,TreatyCatch!$BO277:$BP277),"")</f>
        <v/>
      </c>
      <c r="O280" s="840" t="str">
        <f t="shared" si="138"/>
        <v/>
      </c>
      <c r="P280" s="765"/>
      <c r="Q280" s="852" t="str">
        <f>IF($P280,$P280*TreatyCatch!BR277/SUM(TreatyCatch!$BR277:$BS277,TreatyCatch!$BU277:$BV277),"")</f>
        <v/>
      </c>
      <c r="R280" s="853" t="str">
        <f>IF($P280,$P280*TreatyCatch!BS277/SUM(TreatyCatch!$BR277:$BS277,TreatyCatch!$BU277:$BV277),"")</f>
        <v/>
      </c>
      <c r="S280" s="846" t="str">
        <f t="shared" si="121"/>
        <v/>
      </c>
      <c r="T280" s="893" t="str">
        <f>IF($P280,$P280*TreatyCatch!BU277/SUM(TreatyCatch!$BR277:$BS277,TreatyCatch!$BU277:$BV277),"")</f>
        <v/>
      </c>
      <c r="U280" s="894" t="str">
        <f>IF($P280,$P280*TreatyCatch!BV277/SUM(TreatyCatch!$BR277:$BS277,TreatyCatch!$BU277:$BV277),"")</f>
        <v/>
      </c>
      <c r="V280" s="877" t="str">
        <f t="shared" si="139"/>
        <v/>
      </c>
      <c r="W280" s="958"/>
      <c r="X280" s="882" t="str">
        <f>IF($W280,$W280*TreatyCatch!BX277/SUM(TreatyCatch!$BX277:$BY277,TreatyCatch!$CA277:$CB277),"")</f>
        <v/>
      </c>
      <c r="Y280" s="883" t="str">
        <f>IF($W280,$W280*TreatyCatch!BY277/SUM(TreatyCatch!$BX277:$BY277,TreatyCatch!$CA277:$CB277),"")</f>
        <v/>
      </c>
      <c r="Z280" s="901" t="str">
        <f t="shared" si="122"/>
        <v/>
      </c>
      <c r="AA280" s="858" t="str">
        <f>IF($W280,$W280*TreatyCatch!CA277/SUM(TreatyCatch!$BX277:$BY277,TreatyCatch!$CA277:$CB277),"")</f>
        <v/>
      </c>
      <c r="AB280" s="859" t="str">
        <f>IF($W280,$W280*TreatyCatch!CB277/SUM(TreatyCatch!$BX277:$BY277,TreatyCatch!$CA277:$CB277),"")</f>
        <v/>
      </c>
      <c r="AC280" s="840" t="str">
        <f t="shared" si="140"/>
        <v/>
      </c>
      <c r="AD280" s="958"/>
      <c r="AE280" s="1071" t="str">
        <f>IF($AD280,$AD280*TreatyCatch!CD510/SUM(TreatyCatch!$CD510:$CE510,TreatyCatch!$CG510:$CH510),"")</f>
        <v/>
      </c>
      <c r="AF280" s="1072" t="str">
        <f>IF($AD280,$AD280*TreatyCatch!CE510/SUM(TreatyCatch!$CD510:$CE510,TreatyCatch!$CG510:$CH510),"")</f>
        <v/>
      </c>
      <c r="AG280" s="1073" t="str">
        <f t="shared" si="123"/>
        <v/>
      </c>
      <c r="AH280" s="1077" t="str">
        <f>IF($AD280,$AD280*TreatyCatch!CG510/SUM(TreatyCatch!$CD510:CE510,TreatyCatch!$CG510:$CH510),"")</f>
        <v/>
      </c>
      <c r="AI280" s="1078" t="str">
        <f>IF($AD280,$AD280*TreatyCatch!CH510/SUM(TreatyCatch!$CD510:CF510,TreatyCatch!$CG510:$CH510),"")</f>
        <v/>
      </c>
      <c r="AJ280" s="1080" t="str">
        <f t="shared" si="141"/>
        <v/>
      </c>
      <c r="AK280" s="958"/>
      <c r="AL280" s="882"/>
      <c r="AM280" s="883"/>
      <c r="AN280" s="901"/>
      <c r="AO280" s="858"/>
      <c r="AP280" s="859"/>
      <c r="AQ280" s="840"/>
      <c r="AR280" s="765"/>
      <c r="AS280" s="852"/>
      <c r="AT280" s="853"/>
      <c r="AU280" s="846"/>
      <c r="AV280" s="893"/>
      <c r="AW280" s="894"/>
      <c r="AX280" s="877"/>
      <c r="AY280" s="765"/>
      <c r="AZ280" s="882"/>
      <c r="BA280" s="883"/>
      <c r="BB280" s="901"/>
      <c r="BC280" s="858"/>
      <c r="BD280" s="859"/>
      <c r="BE280" s="840"/>
      <c r="BF280" s="765">
        <v>1</v>
      </c>
      <c r="BG280" s="1496">
        <v>0</v>
      </c>
      <c r="BH280" s="1497">
        <v>0</v>
      </c>
      <c r="BI280" s="1656">
        <f t="shared" ref="BI280" si="143">IFERROR(BG280+BR$5*BH280,"")</f>
        <v>0</v>
      </c>
      <c r="BJ280" s="1497">
        <v>1</v>
      </c>
      <c r="BK280" s="1498">
        <v>0</v>
      </c>
      <c r="BL280" s="1655">
        <f>IFERROR(BJ280+BR$5*BK280,"")</f>
        <v>1</v>
      </c>
      <c r="BM280" s="765"/>
      <c r="BN280" s="882"/>
      <c r="BO280" s="883"/>
      <c r="BP280" s="901"/>
      <c r="BQ280" s="858"/>
      <c r="BR280" s="859"/>
      <c r="BS280" s="840"/>
      <c r="BT280" s="765"/>
      <c r="BU280" s="852"/>
      <c r="BV280" s="853"/>
      <c r="BW280" s="846"/>
      <c r="BX280" s="893"/>
      <c r="BY280" s="894"/>
      <c r="BZ280" s="877"/>
      <c r="CA280" s="765"/>
      <c r="CB280" s="882"/>
      <c r="CC280" s="883"/>
      <c r="CD280" s="901"/>
      <c r="CE280" s="858"/>
      <c r="CF280" s="859"/>
      <c r="CG280" s="840"/>
      <c r="CH280" s="765"/>
      <c r="CI280" s="852"/>
      <c r="CJ280" s="853"/>
      <c r="CK280" s="846"/>
      <c r="CL280" s="893"/>
      <c r="CM280" s="894"/>
      <c r="CN280" s="877"/>
    </row>
    <row r="281" spans="1:92" x14ac:dyDescent="0.25">
      <c r="A281" s="757">
        <v>40</v>
      </c>
      <c r="B281" s="765"/>
      <c r="C281" s="844" t="str">
        <f>IF($B281,$B281*TreatyCatch!BF278/SUM(TreatyCatch!$BF278:$BG278,TreatyCatch!$BI278:$BJ278),"")</f>
        <v/>
      </c>
      <c r="D281" s="844" t="str">
        <f>IF($B281,$B281*TreatyCatch!BG278/SUM(TreatyCatch!$BF278:$BG278,TreatyCatch!$BI278:$BJ278),"")</f>
        <v/>
      </c>
      <c r="E281" s="846" t="str">
        <f t="shared" si="119"/>
        <v/>
      </c>
      <c r="F281" s="876" t="str">
        <f>IF($B281,$B281*TreatyCatch!BI278/SUM(TreatyCatch!$BF278:$BG278,TreatyCatch!$BI278:$BJ278),"")</f>
        <v/>
      </c>
      <c r="G281" s="889" t="str">
        <f>IF($B281,$B281*TreatyCatch!BJ278/SUM(TreatyCatch!$BF278:$BG278,TreatyCatch!$BI278:$BJ278),"")</f>
        <v/>
      </c>
      <c r="H281" s="877" t="str">
        <f t="shared" si="137"/>
        <v/>
      </c>
      <c r="I281" s="765"/>
      <c r="J281" s="882" t="str">
        <f>IF($I281,$I281*TreatyCatch!BL278/SUM(TreatyCatch!$BL278:$BM278,TreatyCatch!$BO278:$BP278),"")</f>
        <v/>
      </c>
      <c r="K281" s="883" t="str">
        <f>IF($I281,$I281*TreatyCatch!BM278/SUM(TreatyCatch!$BL278:$BM278,TreatyCatch!$BO278:$BP278),"")</f>
        <v/>
      </c>
      <c r="L281" s="871" t="str">
        <f t="shared" si="120"/>
        <v/>
      </c>
      <c r="M281" s="858" t="str">
        <f>IF($I281,$I281*TreatyCatch!BO278/SUM(TreatyCatch!$BL278:$BM278,TreatyCatch!$BO278:$BP278),"")</f>
        <v/>
      </c>
      <c r="N281" s="859" t="str">
        <f>IF($I281,$I281*TreatyCatch!BP278/SUM(TreatyCatch!$BL278:$BM278,TreatyCatch!$BO278:$BP278),"")</f>
        <v/>
      </c>
      <c r="O281" s="840" t="str">
        <f t="shared" si="138"/>
        <v/>
      </c>
      <c r="P281" s="765">
        <v>1</v>
      </c>
      <c r="Q281" s="852">
        <f>IF($P281,$P281*TreatyCatch!BR278/SUM(TreatyCatch!$BR278:$BS278,TreatyCatch!$BU278:$BV278),"")</f>
        <v>1</v>
      </c>
      <c r="R281" s="853">
        <f>IF($P281,$P281*TreatyCatch!BS278/SUM(TreatyCatch!$BR278:$BS278,TreatyCatch!$BU278:$BV278),"")</f>
        <v>0</v>
      </c>
      <c r="S281" s="846" t="str">
        <f t="shared" si="121"/>
        <v/>
      </c>
      <c r="T281" s="893">
        <f>IF($P281,$P281*TreatyCatch!BU278/SUM(TreatyCatch!$BR278:$BS278,TreatyCatch!$BU278:$BV278),"")</f>
        <v>0</v>
      </c>
      <c r="U281" s="894">
        <f>IF($P281,$P281*TreatyCatch!BV278/SUM(TreatyCatch!$BR278:$BS278,TreatyCatch!$BU278:$BV278),"")</f>
        <v>0</v>
      </c>
      <c r="V281" s="877">
        <f t="shared" si="139"/>
        <v>0</v>
      </c>
      <c r="W281" s="958"/>
      <c r="X281" s="882" t="str">
        <f>IF($W281,$W281*TreatyCatch!BX278/SUM(TreatyCatch!$BX278:$BY278,TreatyCatch!$CA278:$CB278),"")</f>
        <v/>
      </c>
      <c r="Y281" s="883" t="str">
        <f>IF($W281,$W281*TreatyCatch!BY278/SUM(TreatyCatch!$BX278:$BY278,TreatyCatch!$CA278:$CB278),"")</f>
        <v/>
      </c>
      <c r="Z281" s="901" t="str">
        <f t="shared" si="122"/>
        <v/>
      </c>
      <c r="AA281" s="858" t="str">
        <f>IF($W281,$W281*TreatyCatch!CA278/SUM(TreatyCatch!$BX278:$BY278,TreatyCatch!$CA278:$CB278),"")</f>
        <v/>
      </c>
      <c r="AB281" s="859" t="str">
        <f>IF($W281,$W281*TreatyCatch!CB278/SUM(TreatyCatch!$BX278:$BY278,TreatyCatch!$CA278:$CB278),"")</f>
        <v/>
      </c>
      <c r="AC281" s="840" t="str">
        <f t="shared" si="140"/>
        <v/>
      </c>
      <c r="AD281" s="958"/>
      <c r="AE281" s="1071" t="str">
        <f>IF($AD281,$AD281*TreatyCatch!CD511/SUM(TreatyCatch!$CD511:$CE511,TreatyCatch!$CG511:$CH511),"")</f>
        <v/>
      </c>
      <c r="AF281" s="1072" t="str">
        <f>IF($AD281,$AD281*TreatyCatch!CE511/SUM(TreatyCatch!$CD511:$CE511,TreatyCatch!$CG511:$CH511),"")</f>
        <v/>
      </c>
      <c r="AG281" s="1073" t="str">
        <f t="shared" si="123"/>
        <v/>
      </c>
      <c r="AH281" s="1077" t="str">
        <f>IF($AD281,$AD281*TreatyCatch!CG511/SUM(TreatyCatch!$CD511:CE511,TreatyCatch!$CG511:$CH511),"")</f>
        <v/>
      </c>
      <c r="AI281" s="1078" t="str">
        <f>IF($AD281,$AD281*TreatyCatch!CH511/SUM(TreatyCatch!$CD511:CF511,TreatyCatch!$CG511:$CH511),"")</f>
        <v/>
      </c>
      <c r="AJ281" s="1080" t="str">
        <f t="shared" si="141"/>
        <v/>
      </c>
      <c r="AK281" s="958"/>
      <c r="AL281" s="882"/>
      <c r="AM281" s="883"/>
      <c r="AN281" s="901"/>
      <c r="AO281" s="858"/>
      <c r="AP281" s="859"/>
      <c r="AQ281" s="840"/>
      <c r="AR281" s="765"/>
      <c r="AS281" s="852">
        <v>3</v>
      </c>
      <c r="AT281" s="853">
        <v>0</v>
      </c>
      <c r="AU281" s="1073">
        <f t="shared" ref="AU281:AU282" si="144">IFERROR(AS281+BD$5*AT281,"")</f>
        <v>3</v>
      </c>
      <c r="AV281" s="893">
        <v>0</v>
      </c>
      <c r="AW281" s="894">
        <v>0</v>
      </c>
      <c r="AX281" s="1080">
        <f>IFERROR(AV281+BD$5*AW281,"")</f>
        <v>0</v>
      </c>
      <c r="AY281" s="765"/>
      <c r="AZ281" s="882"/>
      <c r="BA281" s="883"/>
      <c r="BB281" s="901"/>
      <c r="BC281" s="858"/>
      <c r="BD281" s="859"/>
      <c r="BE281" s="840"/>
      <c r="BF281" s="765"/>
      <c r="BG281" s="852"/>
      <c r="BH281" s="853"/>
      <c r="BI281" s="1073"/>
      <c r="BJ281" s="893"/>
      <c r="BK281" s="894"/>
      <c r="BL281" s="1080"/>
      <c r="BM281" s="765"/>
      <c r="BN281" s="882"/>
      <c r="BO281" s="883"/>
      <c r="BP281" s="901"/>
      <c r="BQ281" s="858"/>
      <c r="BR281" s="859"/>
      <c r="BS281" s="840"/>
      <c r="BT281" s="765">
        <f>SUM(BU281:BV282,BX281:BY281)</f>
        <v>3</v>
      </c>
      <c r="BU281" s="852">
        <v>0</v>
      </c>
      <c r="BV281" s="853">
        <v>0</v>
      </c>
      <c r="BW281" s="1073">
        <f>BU281+BV281*CF$5</f>
        <v>0</v>
      </c>
      <c r="BX281" s="893">
        <v>3</v>
      </c>
      <c r="BY281" s="894">
        <v>0</v>
      </c>
      <c r="BZ281" s="877">
        <f>IFERROR(BX281+CF$5*BY281,"")</f>
        <v>3</v>
      </c>
      <c r="CA281" s="765"/>
      <c r="CB281" s="882"/>
      <c r="CC281" s="883"/>
      <c r="CD281" s="901"/>
      <c r="CE281" s="858"/>
      <c r="CF281" s="859"/>
      <c r="CG281" s="840"/>
      <c r="CH281" s="765"/>
      <c r="CI281" s="852"/>
      <c r="CJ281" s="853"/>
      <c r="CK281" s="1073"/>
      <c r="CL281" s="893"/>
      <c r="CM281" s="894"/>
      <c r="CN281" s="877"/>
    </row>
    <row r="282" spans="1:92" x14ac:dyDescent="0.25">
      <c r="A282" s="757">
        <v>41</v>
      </c>
      <c r="B282" s="765"/>
      <c r="C282" s="844" t="str">
        <f>IF($B282,$B282*TreatyCatch!BF279/SUM(TreatyCatch!$BF279:$BG279,TreatyCatch!$BI279:$BJ279),"")</f>
        <v/>
      </c>
      <c r="D282" s="844" t="str">
        <f>IF($B282,$B282*TreatyCatch!BG279/SUM(TreatyCatch!$BF279:$BG279,TreatyCatch!$BI279:$BJ279),"")</f>
        <v/>
      </c>
      <c r="E282" s="846" t="str">
        <f t="shared" si="119"/>
        <v/>
      </c>
      <c r="F282" s="876" t="str">
        <f>IF($B282,$B282*TreatyCatch!BI279/SUM(TreatyCatch!$BF279:$BG279,TreatyCatch!$BI279:$BJ279),"")</f>
        <v/>
      </c>
      <c r="G282" s="889" t="str">
        <f>IF($B282,$B282*TreatyCatch!BJ279/SUM(TreatyCatch!$BF279:$BG279,TreatyCatch!$BI279:$BJ279),"")</f>
        <v/>
      </c>
      <c r="H282" s="877" t="str">
        <f t="shared" si="137"/>
        <v/>
      </c>
      <c r="I282" s="765"/>
      <c r="J282" s="882" t="str">
        <f>IF($I282,$I282*TreatyCatch!BL279/SUM(TreatyCatch!$BL279:$BM279,TreatyCatch!$BO279:$BP279),"")</f>
        <v/>
      </c>
      <c r="K282" s="883" t="str">
        <f>IF($I282,$I282*TreatyCatch!BM279/SUM(TreatyCatch!$BL279:$BM279,TreatyCatch!$BO279:$BP279),"")</f>
        <v/>
      </c>
      <c r="L282" s="871" t="str">
        <f t="shared" si="120"/>
        <v/>
      </c>
      <c r="M282" s="858" t="str">
        <f>IF($I282,$I282*TreatyCatch!BO279/SUM(TreatyCatch!$BL279:$BM279,TreatyCatch!$BO279:$BP279),"")</f>
        <v/>
      </c>
      <c r="N282" s="859" t="str">
        <f>IF($I282,$I282*TreatyCatch!BP279/SUM(TreatyCatch!$BL279:$BM279,TreatyCatch!$BO279:$BP279),"")</f>
        <v/>
      </c>
      <c r="O282" s="840" t="str">
        <f t="shared" si="138"/>
        <v/>
      </c>
      <c r="P282" s="765">
        <v>2</v>
      </c>
      <c r="Q282" s="852">
        <f>IF($P282,$P282*TreatyCatch!BR279/SUM(TreatyCatch!$BR279:$BS279,TreatyCatch!$BU279:$BV279),"")</f>
        <v>2</v>
      </c>
      <c r="R282" s="853">
        <f>IF($P282,$P282*TreatyCatch!BS279/SUM(TreatyCatch!$BR279:$BS279,TreatyCatch!$BU279:$BV279),"")</f>
        <v>0</v>
      </c>
      <c r="S282" s="846" t="str">
        <f t="shared" si="121"/>
        <v/>
      </c>
      <c r="T282" s="893">
        <f>IF($P282,$P282*TreatyCatch!BU279/SUM(TreatyCatch!$BR279:$BS279,TreatyCatch!$BU279:$BV279),"")</f>
        <v>0</v>
      </c>
      <c r="U282" s="894">
        <f>IF($P282,$P282*TreatyCatch!BV279/SUM(TreatyCatch!$BR279:$BS279,TreatyCatch!$BU279:$BV279),"")</f>
        <v>0</v>
      </c>
      <c r="V282" s="877">
        <f t="shared" si="139"/>
        <v>0</v>
      </c>
      <c r="W282" s="958"/>
      <c r="X282" s="882" t="str">
        <f>IF($W282,$W282*TreatyCatch!BX279/SUM(TreatyCatch!$BX279:$BY279,TreatyCatch!$CA279:$CB279),"")</f>
        <v/>
      </c>
      <c r="Y282" s="883" t="str">
        <f>IF($W282,$W282*TreatyCatch!BY279/SUM(TreatyCatch!$BX279:$BY279,TreatyCatch!$CA279:$CB279),"")</f>
        <v/>
      </c>
      <c r="Z282" s="901" t="str">
        <f t="shared" si="122"/>
        <v/>
      </c>
      <c r="AA282" s="858" t="str">
        <f>IF($W282,$W282*TreatyCatch!CA279/SUM(TreatyCatch!$BX279:$BY279,TreatyCatch!$CA279:$CB279),"")</f>
        <v/>
      </c>
      <c r="AB282" s="859" t="str">
        <f>IF($W282,$W282*TreatyCatch!CB279/SUM(TreatyCatch!$BX279:$BY279,TreatyCatch!$CA279:$CB279),"")</f>
        <v/>
      </c>
      <c r="AC282" s="840" t="str">
        <f t="shared" si="140"/>
        <v/>
      </c>
      <c r="AD282" s="958"/>
      <c r="AE282" s="1071" t="str">
        <f>IF($AD282,$AD282*TreatyCatch!CD512/SUM(TreatyCatch!$CD512:$CE512,TreatyCatch!$CG512:$CH512),"")</f>
        <v/>
      </c>
      <c r="AF282" s="1072" t="str">
        <f>IF($AD282,$AD282*TreatyCatch!CE512/SUM(TreatyCatch!$CD512:$CE512,TreatyCatch!$CG512:$CH512),"")</f>
        <v/>
      </c>
      <c r="AG282" s="1073" t="str">
        <f t="shared" si="123"/>
        <v/>
      </c>
      <c r="AH282" s="1077" t="str">
        <f>IF($AD282,$AD282*TreatyCatch!CG512/SUM(TreatyCatch!$CD512:CE512,TreatyCatch!$CG512:$CH512),"")</f>
        <v/>
      </c>
      <c r="AI282" s="1078" t="str">
        <f>IF($AD282,$AD282*TreatyCatch!CH512/SUM(TreatyCatch!$CD512:CF512,TreatyCatch!$CG512:$CH512),"")</f>
        <v/>
      </c>
      <c r="AJ282" s="1080" t="str">
        <f t="shared" si="141"/>
        <v/>
      </c>
      <c r="AK282" s="958"/>
      <c r="AL282" s="882"/>
      <c r="AM282" s="883"/>
      <c r="AN282" s="901"/>
      <c r="AO282" s="858"/>
      <c r="AP282" s="859"/>
      <c r="AQ282" s="840"/>
      <c r="AR282" s="765"/>
      <c r="AS282" s="852">
        <v>1</v>
      </c>
      <c r="AT282" s="853">
        <v>0</v>
      </c>
      <c r="AU282" s="1073">
        <f t="shared" si="144"/>
        <v>1</v>
      </c>
      <c r="AV282" s="893">
        <v>4</v>
      </c>
      <c r="AW282" s="894">
        <v>0</v>
      </c>
      <c r="AX282" s="1080">
        <f>IFERROR(AV282+BD$5*AW282,"")</f>
        <v>4</v>
      </c>
      <c r="AY282" s="1657">
        <f t="shared" ref="AY282" si="145">SUM(AZ282:BA282,BC282:BD282)</f>
        <v>2</v>
      </c>
      <c r="AZ282" s="882">
        <v>0</v>
      </c>
      <c r="BA282" s="883">
        <v>0</v>
      </c>
      <c r="BB282" s="1058">
        <f t="shared" ref="BB282" si="146">IFERROR(AZ282+BK$5*BA282,"")</f>
        <v>0</v>
      </c>
      <c r="BC282" s="858">
        <v>2</v>
      </c>
      <c r="BD282" s="859">
        <v>0</v>
      </c>
      <c r="BE282" s="1061">
        <f t="shared" ref="BE282" si="147">IFERROR(BC282+BK$5*BD282,"")</f>
        <v>2</v>
      </c>
      <c r="BF282" s="765">
        <v>2</v>
      </c>
      <c r="BG282" s="1496">
        <v>0</v>
      </c>
      <c r="BH282" s="1497">
        <v>0</v>
      </c>
      <c r="BI282" s="1656">
        <f t="shared" ref="BI282:BI283" si="148">IFERROR(BG282+BR$5*BH282,"")</f>
        <v>0</v>
      </c>
      <c r="BJ282" s="1497">
        <v>4</v>
      </c>
      <c r="BK282" s="1498">
        <v>0</v>
      </c>
      <c r="BL282" s="1655">
        <f>IFERROR(BJ282+BR$5*BK282,"")</f>
        <v>4</v>
      </c>
      <c r="BM282" s="1657"/>
      <c r="BN282" s="882"/>
      <c r="BO282" s="883"/>
      <c r="BP282" s="1058"/>
      <c r="BQ282" s="858"/>
      <c r="BR282" s="859"/>
      <c r="BS282" s="1061"/>
      <c r="BT282" s="765"/>
      <c r="BU282" s="852"/>
      <c r="BV282" s="853"/>
      <c r="BW282" s="846"/>
      <c r="BX282" s="893"/>
      <c r="BY282" s="894"/>
      <c r="BZ282" s="877"/>
      <c r="CA282" s="1657"/>
      <c r="CB282" s="882"/>
      <c r="CC282" s="883"/>
      <c r="CD282" s="1058"/>
      <c r="CE282" s="858"/>
      <c r="CF282" s="859"/>
      <c r="CG282" s="1061"/>
      <c r="CH282" s="765"/>
      <c r="CI282" s="852"/>
      <c r="CJ282" s="853"/>
      <c r="CK282" s="846"/>
      <c r="CL282" s="893"/>
      <c r="CM282" s="894"/>
      <c r="CN282" s="877"/>
    </row>
    <row r="283" spans="1:92" x14ac:dyDescent="0.25">
      <c r="A283" s="757">
        <v>42</v>
      </c>
      <c r="B283" s="765">
        <v>3</v>
      </c>
      <c r="C283" s="844">
        <f>IF($B283,$B283*TreatyCatch!BF280/SUM(TreatyCatch!$BF280:$BG280,TreatyCatch!$BI280:$BJ280),"")</f>
        <v>2.75</v>
      </c>
      <c r="D283" s="844">
        <f>IF($B283,$B283*TreatyCatch!BG280/SUM(TreatyCatch!$BF280:$BG280,TreatyCatch!$BI280:$BJ280),"")</f>
        <v>0</v>
      </c>
      <c r="E283" s="846">
        <f t="shared" si="119"/>
        <v>2.75</v>
      </c>
      <c r="F283" s="876">
        <f>IF($B283,$B283*TreatyCatch!BI280/SUM(TreatyCatch!$BF280:$BG280,TreatyCatch!$BI280:$BJ280),"")</f>
        <v>0.25</v>
      </c>
      <c r="G283" s="889">
        <f>IF($B283,$B283*TreatyCatch!BJ280/SUM(TreatyCatch!$BF280:$BG280,TreatyCatch!$BI280:$BJ280),"")</f>
        <v>0</v>
      </c>
      <c r="H283" s="877">
        <f t="shared" si="137"/>
        <v>0.25</v>
      </c>
      <c r="I283" s="765"/>
      <c r="J283" s="882" t="str">
        <f>IF($I283,$I283*TreatyCatch!BL280/SUM(TreatyCatch!$BL280:$BM280,TreatyCatch!$BO280:$BP280),"")</f>
        <v/>
      </c>
      <c r="K283" s="883" t="str">
        <f>IF($I283,$I283*TreatyCatch!BM280/SUM(TreatyCatch!$BL280:$BM280,TreatyCatch!$BO280:$BP280),"")</f>
        <v/>
      </c>
      <c r="L283" s="871" t="str">
        <f t="shared" si="120"/>
        <v/>
      </c>
      <c r="M283" s="858" t="str">
        <f>IF($I283,$I283*TreatyCatch!BO280/SUM(TreatyCatch!$BL280:$BM280,TreatyCatch!$BO280:$BP280),"")</f>
        <v/>
      </c>
      <c r="N283" s="859" t="str">
        <f>IF($I283,$I283*TreatyCatch!BP280/SUM(TreatyCatch!$BL280:$BM280,TreatyCatch!$BO280:$BP280),"")</f>
        <v/>
      </c>
      <c r="O283" s="840" t="str">
        <f t="shared" si="138"/>
        <v/>
      </c>
      <c r="P283" s="765">
        <v>2</v>
      </c>
      <c r="Q283" s="852">
        <f>IF($P283,$P283*TreatyCatch!BR280/SUM(TreatyCatch!$BR280:$BS280,TreatyCatch!$BU280:$BV280),"")</f>
        <v>2</v>
      </c>
      <c r="R283" s="853">
        <f>IF($P283,$P283*TreatyCatch!BS280/SUM(TreatyCatch!$BR280:$BS280,TreatyCatch!$BU280:$BV280),"")</f>
        <v>0</v>
      </c>
      <c r="S283" s="846" t="str">
        <f t="shared" si="121"/>
        <v/>
      </c>
      <c r="T283" s="893">
        <f>IF($P283,$P283*TreatyCatch!BU280/SUM(TreatyCatch!$BR280:$BS280,TreatyCatch!$BU280:$BV280),"")</f>
        <v>0</v>
      </c>
      <c r="U283" s="894">
        <f>IF($P283,$P283*TreatyCatch!BV280/SUM(TreatyCatch!$BR280:$BS280,TreatyCatch!$BU280:$BV280),"")</f>
        <v>0</v>
      </c>
      <c r="V283" s="877">
        <f t="shared" si="139"/>
        <v>0</v>
      </c>
      <c r="W283" s="958"/>
      <c r="X283" s="882" t="str">
        <f>IF($W283,$W283*TreatyCatch!BX280/SUM(TreatyCatch!$BX280:$BY280,TreatyCatch!$CA280:$CB280),"")</f>
        <v/>
      </c>
      <c r="Y283" s="883" t="str">
        <f>IF($W283,$W283*TreatyCatch!BY280/SUM(TreatyCatch!$BX280:$BY280,TreatyCatch!$CA280:$CB280),"")</f>
        <v/>
      </c>
      <c r="Z283" s="901" t="str">
        <f t="shared" si="122"/>
        <v/>
      </c>
      <c r="AA283" s="858" t="str">
        <f>IF($W283,$W283*TreatyCatch!CA280/SUM(TreatyCatch!$BX280:$BY280,TreatyCatch!$CA280:$CB280),"")</f>
        <v/>
      </c>
      <c r="AB283" s="859" t="str">
        <f>IF($W283,$W283*TreatyCatch!CB280/SUM(TreatyCatch!$BX280:$BY280,TreatyCatch!$CA280:$CB280),"")</f>
        <v/>
      </c>
      <c r="AC283" s="840" t="str">
        <f t="shared" si="140"/>
        <v/>
      </c>
      <c r="AD283" s="958"/>
      <c r="AE283" s="1071" t="str">
        <f>IF($AD283,$AD283*TreatyCatch!CD513/SUM(TreatyCatch!$CD513:$CE513,TreatyCatch!$CG513:$CH513),"")</f>
        <v/>
      </c>
      <c r="AF283" s="1072" t="str">
        <f>IF($AD283,$AD283*TreatyCatch!CE513/SUM(TreatyCatch!$CD513:$CE513,TreatyCatch!$CG513:$CH513),"")</f>
        <v/>
      </c>
      <c r="AG283" s="1073" t="str">
        <f t="shared" si="123"/>
        <v/>
      </c>
      <c r="AH283" s="1077" t="str">
        <f>IF($AD283,$AD283*TreatyCatch!CG513/SUM(TreatyCatch!$CD513:CE513,TreatyCatch!$CG513:$CH513),"")</f>
        <v/>
      </c>
      <c r="AI283" s="1078" t="str">
        <f>IF($AD283,$AD283*TreatyCatch!CH513/SUM(TreatyCatch!$CD513:CF513,TreatyCatch!$CG513:$CH513),"")</f>
        <v/>
      </c>
      <c r="AJ283" s="1080" t="str">
        <f t="shared" si="141"/>
        <v/>
      </c>
      <c r="AK283" s="958"/>
      <c r="AL283" s="882"/>
      <c r="AM283" s="883"/>
      <c r="AN283" s="901"/>
      <c r="AO283" s="858"/>
      <c r="AP283" s="859"/>
      <c r="AQ283" s="840"/>
      <c r="AR283" s="765"/>
      <c r="AS283" s="852"/>
      <c r="AT283" s="853"/>
      <c r="AU283" s="846"/>
      <c r="AV283" s="893"/>
      <c r="AW283" s="894"/>
      <c r="AX283" s="877"/>
      <c r="AY283" s="765"/>
      <c r="AZ283" s="882"/>
      <c r="BA283" s="883"/>
      <c r="BB283" s="901"/>
      <c r="BC283" s="858"/>
      <c r="BD283" s="859"/>
      <c r="BE283" s="840"/>
      <c r="BF283" s="765">
        <v>1</v>
      </c>
      <c r="BG283" s="1496">
        <v>0</v>
      </c>
      <c r="BH283" s="1497">
        <v>0</v>
      </c>
      <c r="BI283" s="1656">
        <f t="shared" si="148"/>
        <v>0</v>
      </c>
      <c r="BJ283" s="1497">
        <v>1</v>
      </c>
      <c r="BK283" s="1498">
        <v>0</v>
      </c>
      <c r="BL283" s="1655">
        <f>IFERROR(BJ283+BR$5*BK283,"")</f>
        <v>1</v>
      </c>
      <c r="BM283" s="765"/>
      <c r="BN283" s="882"/>
      <c r="BO283" s="883"/>
      <c r="BP283" s="901"/>
      <c r="BQ283" s="858"/>
      <c r="BR283" s="859"/>
      <c r="BS283" s="840"/>
      <c r="BT283" s="765">
        <f>SUM(BU283:BV284,BX283:BY283)</f>
        <v>5</v>
      </c>
      <c r="BU283" s="852">
        <v>0</v>
      </c>
      <c r="BV283" s="853">
        <v>0</v>
      </c>
      <c r="BW283" s="1073">
        <f>BU283+BV283*CF$5</f>
        <v>0</v>
      </c>
      <c r="BX283" s="893">
        <v>5</v>
      </c>
      <c r="BY283" s="894">
        <v>0</v>
      </c>
      <c r="BZ283" s="877">
        <f>IFERROR(BX283+CF$5*BY283,"")</f>
        <v>5</v>
      </c>
      <c r="CA283" s="765"/>
      <c r="CB283" s="882"/>
      <c r="CC283" s="883"/>
      <c r="CD283" s="901"/>
      <c r="CE283" s="858"/>
      <c r="CF283" s="859"/>
      <c r="CG283" s="840"/>
      <c r="CH283" s="765"/>
      <c r="CI283" s="852"/>
      <c r="CJ283" s="853"/>
      <c r="CK283" s="1073"/>
      <c r="CL283" s="893"/>
      <c r="CM283" s="894"/>
      <c r="CN283" s="877"/>
    </row>
    <row r="284" spans="1:92" x14ac:dyDescent="0.25">
      <c r="A284" s="757">
        <v>43</v>
      </c>
      <c r="B284" s="765"/>
      <c r="C284" s="844" t="str">
        <f>IF($B284,$B284*TreatyCatch!BF281/SUM(TreatyCatch!$BF281:$BG281,TreatyCatch!$BI281:$BJ281),"")</f>
        <v/>
      </c>
      <c r="D284" s="844" t="str">
        <f>IF($B284,$B284*TreatyCatch!BG281/SUM(TreatyCatch!$BF281:$BG281,TreatyCatch!$BI281:$BJ281),"")</f>
        <v/>
      </c>
      <c r="E284" s="846" t="str">
        <f t="shared" si="119"/>
        <v/>
      </c>
      <c r="F284" s="876" t="str">
        <f>IF($B284,$B284*TreatyCatch!BI281/SUM(TreatyCatch!$BF281:$BG281,TreatyCatch!$BI281:$BJ281),"")</f>
        <v/>
      </c>
      <c r="G284" s="889" t="str">
        <f>IF($B284,$B284*TreatyCatch!BJ281/SUM(TreatyCatch!$BF281:$BG281,TreatyCatch!$BI281:$BJ281),"")</f>
        <v/>
      </c>
      <c r="H284" s="877" t="str">
        <f t="shared" si="137"/>
        <v/>
      </c>
      <c r="I284" s="765"/>
      <c r="J284" s="882" t="str">
        <f>IF($I284,$I284*TreatyCatch!BL281/SUM(TreatyCatch!$BL281:$BM281,TreatyCatch!$BO281:$BP281),"")</f>
        <v/>
      </c>
      <c r="K284" s="883" t="str">
        <f>IF($I284,$I284*TreatyCatch!BM281/SUM(TreatyCatch!$BL281:$BM281,TreatyCatch!$BO281:$BP281),"")</f>
        <v/>
      </c>
      <c r="L284" s="871" t="str">
        <f t="shared" si="120"/>
        <v/>
      </c>
      <c r="M284" s="858" t="str">
        <f>IF($I284,$I284*TreatyCatch!BO281/SUM(TreatyCatch!$BL281:$BM281,TreatyCatch!$BO281:$BP281),"")</f>
        <v/>
      </c>
      <c r="N284" s="859" t="str">
        <f>IF($I284,$I284*TreatyCatch!BP281/SUM(TreatyCatch!$BL281:$BM281,TreatyCatch!$BO281:$BP281),"")</f>
        <v/>
      </c>
      <c r="O284" s="840" t="str">
        <f t="shared" si="138"/>
        <v/>
      </c>
      <c r="P284" s="765"/>
      <c r="Q284" s="852" t="str">
        <f>IF($P284,$P284*TreatyCatch!BR281/SUM(TreatyCatch!$BR281:$BS281,TreatyCatch!$BU281:$BV281),"")</f>
        <v/>
      </c>
      <c r="R284" s="853" t="str">
        <f>IF($P284,$P284*TreatyCatch!BS281/SUM(TreatyCatch!$BR281:$BS281,TreatyCatch!$BU281:$BV281),"")</f>
        <v/>
      </c>
      <c r="S284" s="846" t="str">
        <f t="shared" si="121"/>
        <v/>
      </c>
      <c r="T284" s="893" t="str">
        <f>IF($P284,$P284*TreatyCatch!BU281/SUM(TreatyCatch!$BR281:$BS281,TreatyCatch!$BU281:$BV281),"")</f>
        <v/>
      </c>
      <c r="U284" s="894" t="str">
        <f>IF($P284,$P284*TreatyCatch!BV281/SUM(TreatyCatch!$BR281:$BS281,TreatyCatch!$BU281:$BV281),"")</f>
        <v/>
      </c>
      <c r="V284" s="877" t="str">
        <f t="shared" si="139"/>
        <v/>
      </c>
      <c r="W284" s="958"/>
      <c r="X284" s="882" t="str">
        <f>IF($W284,$W284*TreatyCatch!BX281/SUM(TreatyCatch!$BX281:$BY281,TreatyCatch!$CA281:$CB281),"")</f>
        <v/>
      </c>
      <c r="Y284" s="883" t="str">
        <f>IF($W284,$W284*TreatyCatch!BY281/SUM(TreatyCatch!$BX281:$BY281,TreatyCatch!$CA281:$CB281),"")</f>
        <v/>
      </c>
      <c r="Z284" s="901" t="str">
        <f t="shared" si="122"/>
        <v/>
      </c>
      <c r="AA284" s="858" t="str">
        <f>IF($W284,$W284*TreatyCatch!CA281/SUM(TreatyCatch!$BX281:$BY281,TreatyCatch!$CA281:$CB281),"")</f>
        <v/>
      </c>
      <c r="AB284" s="859" t="str">
        <f>IF($W284,$W284*TreatyCatch!CB281/SUM(TreatyCatch!$BX281:$BY281,TreatyCatch!$CA281:$CB281),"")</f>
        <v/>
      </c>
      <c r="AC284" s="840" t="str">
        <f t="shared" si="140"/>
        <v/>
      </c>
      <c r="AD284" s="958"/>
      <c r="AE284" s="1071" t="str">
        <f>IF($AD284,$AD284*TreatyCatch!CD514/SUM(TreatyCatch!$CD514:$CE514,TreatyCatch!$CG514:$CH514),"")</f>
        <v/>
      </c>
      <c r="AF284" s="1072" t="str">
        <f>IF($AD284,$AD284*TreatyCatch!CE514/SUM(TreatyCatch!$CD514:$CE514,TreatyCatch!$CG514:$CH514),"")</f>
        <v/>
      </c>
      <c r="AG284" s="1073" t="str">
        <f t="shared" si="123"/>
        <v/>
      </c>
      <c r="AH284" s="1077" t="str">
        <f>IF($AD284,$AD284*TreatyCatch!CG514/SUM(TreatyCatch!$CD514:CE514,TreatyCatch!$CG514:$CH514),"")</f>
        <v/>
      </c>
      <c r="AI284" s="1078" t="str">
        <f>IF($AD284,$AD284*TreatyCatch!CH514/SUM(TreatyCatch!$CD514:CF514,TreatyCatch!$CG514:$CH514),"")</f>
        <v/>
      </c>
      <c r="AJ284" s="1080" t="str">
        <f t="shared" si="141"/>
        <v/>
      </c>
      <c r="AK284" s="958"/>
      <c r="AL284" s="882"/>
      <c r="AM284" s="883"/>
      <c r="AN284" s="901"/>
      <c r="AO284" s="858"/>
      <c r="AP284" s="859"/>
      <c r="AQ284" s="840"/>
      <c r="AR284" s="765"/>
      <c r="AS284" s="852"/>
      <c r="AT284" s="853"/>
      <c r="AU284" s="846"/>
      <c r="AV284" s="893"/>
      <c r="AW284" s="894"/>
      <c r="AX284" s="877"/>
      <c r="AY284" s="765"/>
      <c r="AZ284" s="882"/>
      <c r="BA284" s="883"/>
      <c r="BB284" s="901"/>
      <c r="BC284" s="858"/>
      <c r="BD284" s="859"/>
      <c r="BE284" s="840"/>
      <c r="BF284" s="765"/>
      <c r="BG284" s="852"/>
      <c r="BH284" s="853"/>
      <c r="BI284" s="846"/>
      <c r="BJ284" s="893"/>
      <c r="BK284" s="894"/>
      <c r="BL284" s="877"/>
      <c r="BM284" s="765"/>
      <c r="BN284" s="882"/>
      <c r="BO284" s="883"/>
      <c r="BP284" s="901"/>
      <c r="BQ284" s="858"/>
      <c r="BR284" s="859"/>
      <c r="BS284" s="840"/>
      <c r="BT284" s="765"/>
      <c r="BU284" s="852"/>
      <c r="BV284" s="853"/>
      <c r="BW284" s="846"/>
      <c r="BX284" s="893"/>
      <c r="BY284" s="894"/>
      <c r="BZ284" s="877"/>
      <c r="CA284" s="765"/>
      <c r="CB284" s="882"/>
      <c r="CC284" s="883"/>
      <c r="CD284" s="901"/>
      <c r="CE284" s="858"/>
      <c r="CF284" s="859"/>
      <c r="CG284" s="840"/>
      <c r="CH284" s="765"/>
      <c r="CI284" s="852"/>
      <c r="CJ284" s="853"/>
      <c r="CK284" s="846"/>
      <c r="CL284" s="893"/>
      <c r="CM284" s="894"/>
      <c r="CN284" s="877"/>
    </row>
    <row r="285" spans="1:92" x14ac:dyDescent="0.25">
      <c r="A285" s="757">
        <v>44</v>
      </c>
      <c r="B285" s="765"/>
      <c r="C285" s="844" t="str">
        <f>IF($B285,$B285*TreatyCatch!BF282/SUM(TreatyCatch!$BF282:$BG282,TreatyCatch!$BI282:$BJ282),"")</f>
        <v/>
      </c>
      <c r="D285" s="844" t="str">
        <f>IF($B285,$B285*TreatyCatch!BG282/SUM(TreatyCatch!$BF282:$BG282,TreatyCatch!$BI282:$BJ282),"")</f>
        <v/>
      </c>
      <c r="E285" s="846" t="str">
        <f t="shared" si="119"/>
        <v/>
      </c>
      <c r="F285" s="876" t="str">
        <f>IF($B285,$B285*TreatyCatch!BI282/SUM(TreatyCatch!$BF282:$BG282,TreatyCatch!$BI282:$BJ282),"")</f>
        <v/>
      </c>
      <c r="G285" s="889" t="str">
        <f>IF($B285,$B285*TreatyCatch!BJ282/SUM(TreatyCatch!$BF282:$BG282,TreatyCatch!$BI282:$BJ282),"")</f>
        <v/>
      </c>
      <c r="H285" s="877" t="str">
        <f t="shared" si="137"/>
        <v/>
      </c>
      <c r="I285" s="765"/>
      <c r="J285" s="882" t="str">
        <f>IF($I285,$I285*TreatyCatch!BL282/SUM(TreatyCatch!$BL282:$BM282,TreatyCatch!$BO282:$BP282),"")</f>
        <v/>
      </c>
      <c r="K285" s="883" t="str">
        <f>IF($I285,$I285*TreatyCatch!BM282/SUM(TreatyCatch!$BL282:$BM282,TreatyCatch!$BO282:$BP282),"")</f>
        <v/>
      </c>
      <c r="L285" s="871" t="str">
        <f t="shared" si="120"/>
        <v/>
      </c>
      <c r="M285" s="858" t="str">
        <f>IF($I285,$I285*TreatyCatch!BO282/SUM(TreatyCatch!$BL282:$BM282,TreatyCatch!$BO282:$BP282),"")</f>
        <v/>
      </c>
      <c r="N285" s="859" t="str">
        <f>IF($I285,$I285*TreatyCatch!BP282/SUM(TreatyCatch!$BL282:$BM282,TreatyCatch!$BO282:$BP282),"")</f>
        <v/>
      </c>
      <c r="O285" s="840" t="str">
        <f t="shared" si="138"/>
        <v/>
      </c>
      <c r="P285" s="765"/>
      <c r="Q285" s="852" t="str">
        <f>IF($P285,$P285*TreatyCatch!BR282/SUM(TreatyCatch!$BR282:$BS282,TreatyCatch!$BU282:$BV282),"")</f>
        <v/>
      </c>
      <c r="R285" s="853" t="str">
        <f>IF($P285,$P285*TreatyCatch!BS282/SUM(TreatyCatch!$BR282:$BS282,TreatyCatch!$BU282:$BV282),"")</f>
        <v/>
      </c>
      <c r="S285" s="846" t="str">
        <f t="shared" si="121"/>
        <v/>
      </c>
      <c r="T285" s="893" t="str">
        <f>IF($P285,$P285*TreatyCatch!BU282/SUM(TreatyCatch!$BR282:$BS282,TreatyCatch!$BU282:$BV282),"")</f>
        <v/>
      </c>
      <c r="U285" s="894" t="str">
        <f>IF($P285,$P285*TreatyCatch!BV282/SUM(TreatyCatch!$BR282:$BS282,TreatyCatch!$BU282:$BV282),"")</f>
        <v/>
      </c>
      <c r="V285" s="877" t="str">
        <f t="shared" si="139"/>
        <v/>
      </c>
      <c r="W285" s="958"/>
      <c r="X285" s="882" t="str">
        <f>IF($W285,$W285*TreatyCatch!BX282/SUM(TreatyCatch!$BX282:$BY282,TreatyCatch!$CA282:$CB282),"")</f>
        <v/>
      </c>
      <c r="Y285" s="883" t="str">
        <f>IF($W285,$W285*TreatyCatch!BY282/SUM(TreatyCatch!$BX282:$BY282,TreatyCatch!$CA282:$CB282),"")</f>
        <v/>
      </c>
      <c r="Z285" s="901" t="str">
        <f t="shared" si="122"/>
        <v/>
      </c>
      <c r="AA285" s="858" t="str">
        <f>IF($W285,$W285*TreatyCatch!CA282/SUM(TreatyCatch!$BX282:$BY282,TreatyCatch!$CA282:$CB282),"")</f>
        <v/>
      </c>
      <c r="AB285" s="859" t="str">
        <f>IF($W285,$W285*TreatyCatch!CB282/SUM(TreatyCatch!$BX282:$BY282,TreatyCatch!$CA282:$CB282),"")</f>
        <v/>
      </c>
      <c r="AC285" s="840" t="str">
        <f t="shared" si="140"/>
        <v/>
      </c>
      <c r="AD285" s="958"/>
      <c r="AE285" s="1071" t="str">
        <f>IF($AD285,$AD285*TreatyCatch!CD515/SUM(TreatyCatch!$CD515:$CE515,TreatyCatch!$CG515:$CH515),"")</f>
        <v/>
      </c>
      <c r="AF285" s="1072" t="str">
        <f>IF($AD285,$AD285*TreatyCatch!CE515/SUM(TreatyCatch!$CD515:$CE515,TreatyCatch!$CG515:$CH515),"")</f>
        <v/>
      </c>
      <c r="AG285" s="1073" t="str">
        <f t="shared" si="123"/>
        <v/>
      </c>
      <c r="AH285" s="1077" t="str">
        <f>IF($AD285,$AD285*TreatyCatch!CG515/SUM(TreatyCatch!$CD515:CE515,TreatyCatch!$CG515:$CH515),"")</f>
        <v/>
      </c>
      <c r="AI285" s="1078" t="str">
        <f>IF($AD285,$AD285*TreatyCatch!CH515/SUM(TreatyCatch!$CD515:CF515,TreatyCatch!$CG515:$CH515),"")</f>
        <v/>
      </c>
      <c r="AJ285" s="1080" t="str">
        <f t="shared" si="141"/>
        <v/>
      </c>
      <c r="AK285" s="958"/>
      <c r="AL285" s="882"/>
      <c r="AM285" s="883"/>
      <c r="AN285" s="901"/>
      <c r="AO285" s="858"/>
      <c r="AP285" s="859"/>
      <c r="AQ285" s="840"/>
      <c r="AR285" s="765"/>
      <c r="AS285" s="852"/>
      <c r="AT285" s="853"/>
      <c r="AU285" s="846"/>
      <c r="AV285" s="893"/>
      <c r="AW285" s="894"/>
      <c r="AX285" s="877"/>
      <c r="AY285" s="765"/>
      <c r="AZ285" s="882"/>
      <c r="BA285" s="883"/>
      <c r="BB285" s="901"/>
      <c r="BC285" s="858"/>
      <c r="BD285" s="859"/>
      <c r="BE285" s="840"/>
      <c r="BF285" s="765"/>
      <c r="BG285" s="852"/>
      <c r="BH285" s="853"/>
      <c r="BI285" s="846"/>
      <c r="BJ285" s="893"/>
      <c r="BK285" s="894"/>
      <c r="BL285" s="877"/>
      <c r="BM285" s="765"/>
      <c r="BN285" s="882"/>
      <c r="BO285" s="883"/>
      <c r="BP285" s="901"/>
      <c r="BQ285" s="858"/>
      <c r="BR285" s="859"/>
      <c r="BS285" s="840"/>
      <c r="BT285" s="765"/>
      <c r="BU285" s="852"/>
      <c r="BV285" s="853"/>
      <c r="BW285" s="846"/>
      <c r="BX285" s="893"/>
      <c r="BY285" s="894"/>
      <c r="BZ285" s="877"/>
      <c r="CA285" s="765"/>
      <c r="CB285" s="882"/>
      <c r="CC285" s="883"/>
      <c r="CD285" s="901"/>
      <c r="CE285" s="858"/>
      <c r="CF285" s="859"/>
      <c r="CG285" s="840"/>
      <c r="CH285" s="765"/>
      <c r="CI285" s="852"/>
      <c r="CJ285" s="853"/>
      <c r="CK285" s="846"/>
      <c r="CL285" s="893"/>
      <c r="CM285" s="894"/>
      <c r="CN285" s="877"/>
    </row>
    <row r="286" spans="1:92" x14ac:dyDescent="0.25">
      <c r="A286" s="757">
        <v>45</v>
      </c>
      <c r="B286" s="765"/>
      <c r="C286" s="844" t="str">
        <f>IF($B286,$B286*TreatyCatch!BF283/SUM(TreatyCatch!$BF283:$BG283,TreatyCatch!$BI283:$BJ283),"")</f>
        <v/>
      </c>
      <c r="D286" s="844" t="str">
        <f>IF($B286,$B286*TreatyCatch!BG283/SUM(TreatyCatch!$BF283:$BG283,TreatyCatch!$BI283:$BJ283),"")</f>
        <v/>
      </c>
      <c r="E286" s="846" t="str">
        <f t="shared" si="119"/>
        <v/>
      </c>
      <c r="F286" s="876" t="str">
        <f>IF($B286,$B286*TreatyCatch!BI283/SUM(TreatyCatch!$BF283:$BG283,TreatyCatch!$BI283:$BJ283),"")</f>
        <v/>
      </c>
      <c r="G286" s="889" t="str">
        <f>IF($B286,$B286*TreatyCatch!BJ283/SUM(TreatyCatch!$BF283:$BG283,TreatyCatch!$BI283:$BJ283),"")</f>
        <v/>
      </c>
      <c r="H286" s="877" t="str">
        <f t="shared" si="137"/>
        <v/>
      </c>
      <c r="I286" s="765"/>
      <c r="J286" s="882" t="str">
        <f>IF($I286,$I286*TreatyCatch!BL283/SUM(TreatyCatch!$BL283:$BM283,TreatyCatch!$BO283:$BP283),"")</f>
        <v/>
      </c>
      <c r="K286" s="883" t="str">
        <f>IF($I286,$I286*TreatyCatch!BM283/SUM(TreatyCatch!$BL283:$BM283,TreatyCatch!$BO283:$BP283),"")</f>
        <v/>
      </c>
      <c r="L286" s="871" t="str">
        <f t="shared" si="120"/>
        <v/>
      </c>
      <c r="M286" s="858" t="str">
        <f>IF($I286,$I286*TreatyCatch!BO283/SUM(TreatyCatch!$BL283:$BM283,TreatyCatch!$BO283:$BP283),"")</f>
        <v/>
      </c>
      <c r="N286" s="859" t="str">
        <f>IF($I286,$I286*TreatyCatch!BP283/SUM(TreatyCatch!$BL283:$BM283,TreatyCatch!$BO283:$BP283),"")</f>
        <v/>
      </c>
      <c r="O286" s="840" t="str">
        <f t="shared" si="138"/>
        <v/>
      </c>
      <c r="P286" s="765"/>
      <c r="Q286" s="852" t="str">
        <f>IF($P286,$P286*TreatyCatch!BR283/SUM(TreatyCatch!$BR283:$BS283,TreatyCatch!$BU283:$BV283),"")</f>
        <v/>
      </c>
      <c r="R286" s="853" t="str">
        <f>IF($P286,$P286*TreatyCatch!BS283/SUM(TreatyCatch!$BR283:$BS283,TreatyCatch!$BU283:$BV283),"")</f>
        <v/>
      </c>
      <c r="S286" s="846" t="str">
        <f t="shared" si="121"/>
        <v/>
      </c>
      <c r="T286" s="893" t="str">
        <f>IF($P286,$P286*TreatyCatch!BU283/SUM(TreatyCatch!$BR283:$BS283,TreatyCatch!$BU283:$BV283),"")</f>
        <v/>
      </c>
      <c r="U286" s="894" t="str">
        <f>IF($P286,$P286*TreatyCatch!BV283/SUM(TreatyCatch!$BR283:$BS283,TreatyCatch!$BU283:$BV283),"")</f>
        <v/>
      </c>
      <c r="V286" s="877" t="str">
        <f t="shared" si="139"/>
        <v/>
      </c>
      <c r="W286" s="958"/>
      <c r="X286" s="882" t="str">
        <f>IF($W286,$W286*TreatyCatch!BX283/SUM(TreatyCatch!$BX283:$BY283,TreatyCatch!$CA283:$CB283),"")</f>
        <v/>
      </c>
      <c r="Y286" s="883" t="str">
        <f>IF($W286,$W286*TreatyCatch!BY283/SUM(TreatyCatch!$BX283:$BY283,TreatyCatch!$CA283:$CB283),"")</f>
        <v/>
      </c>
      <c r="Z286" s="901" t="str">
        <f t="shared" si="122"/>
        <v/>
      </c>
      <c r="AA286" s="858" t="str">
        <f>IF($W286,$W286*TreatyCatch!CA283/SUM(TreatyCatch!$BX283:$BY283,TreatyCatch!$CA283:$CB283),"")</f>
        <v/>
      </c>
      <c r="AB286" s="859" t="str">
        <f>IF($W286,$W286*TreatyCatch!CB283/SUM(TreatyCatch!$BX283:$BY283,TreatyCatch!$CA283:$CB283),"")</f>
        <v/>
      </c>
      <c r="AC286" s="840" t="str">
        <f t="shared" si="140"/>
        <v/>
      </c>
      <c r="AD286" s="958"/>
      <c r="AE286" s="1071" t="str">
        <f>IF($AD286,$AD286*TreatyCatch!CD516/SUM(TreatyCatch!$CD516:$CE516,TreatyCatch!$CG516:$CH516),"")</f>
        <v/>
      </c>
      <c r="AF286" s="1072" t="str">
        <f>IF($AD286,$AD286*TreatyCatch!CE516/SUM(TreatyCatch!$CD516:$CE516,TreatyCatch!$CG516:$CH516),"")</f>
        <v/>
      </c>
      <c r="AG286" s="1073" t="str">
        <f t="shared" si="123"/>
        <v/>
      </c>
      <c r="AH286" s="1077" t="str">
        <f>IF($AD286,$AD286*TreatyCatch!CG516/SUM(TreatyCatch!$CD516:CE516,TreatyCatch!$CG516:$CH516),"")</f>
        <v/>
      </c>
      <c r="AI286" s="1078" t="str">
        <f>IF($AD286,$AD286*TreatyCatch!CH516/SUM(TreatyCatch!$CD516:CF516,TreatyCatch!$CG516:$CH516),"")</f>
        <v/>
      </c>
      <c r="AJ286" s="1080" t="str">
        <f t="shared" si="141"/>
        <v/>
      </c>
      <c r="AK286" s="958"/>
      <c r="AL286" s="882"/>
      <c r="AM286" s="883"/>
      <c r="AN286" s="901"/>
      <c r="AO286" s="858"/>
      <c r="AP286" s="859"/>
      <c r="AQ286" s="840"/>
      <c r="AR286" s="765"/>
      <c r="AS286" s="852"/>
      <c r="AT286" s="853"/>
      <c r="AU286" s="846"/>
      <c r="AV286" s="893"/>
      <c r="AW286" s="894"/>
      <c r="AX286" s="877"/>
      <c r="AY286" s="765"/>
      <c r="AZ286" s="882"/>
      <c r="BA286" s="883"/>
      <c r="BB286" s="901"/>
      <c r="BC286" s="858"/>
      <c r="BD286" s="859"/>
      <c r="BE286" s="840"/>
      <c r="BF286" s="765"/>
      <c r="BG286" s="852"/>
      <c r="BH286" s="853"/>
      <c r="BI286" s="846"/>
      <c r="BJ286" s="893"/>
      <c r="BK286" s="894"/>
      <c r="BL286" s="877"/>
      <c r="BM286" s="765"/>
      <c r="BN286" s="882"/>
      <c r="BO286" s="883"/>
      <c r="BP286" s="901"/>
      <c r="BQ286" s="858"/>
      <c r="BR286" s="859"/>
      <c r="BS286" s="840"/>
      <c r="BT286" s="765"/>
      <c r="BU286" s="852"/>
      <c r="BV286" s="853"/>
      <c r="BW286" s="846"/>
      <c r="BX286" s="893"/>
      <c r="BY286" s="894"/>
      <c r="BZ286" s="877"/>
      <c r="CA286" s="765"/>
      <c r="CB286" s="882"/>
      <c r="CC286" s="883"/>
      <c r="CD286" s="901"/>
      <c r="CE286" s="858"/>
      <c r="CF286" s="859"/>
      <c r="CG286" s="840"/>
      <c r="CH286" s="765"/>
      <c r="CI286" s="852"/>
      <c r="CJ286" s="853"/>
      <c r="CK286" s="846"/>
      <c r="CL286" s="893"/>
      <c r="CM286" s="894"/>
      <c r="CN286" s="877"/>
    </row>
    <row r="287" spans="1:92" x14ac:dyDescent="0.25">
      <c r="A287" s="757">
        <v>46</v>
      </c>
      <c r="B287" s="765"/>
      <c r="C287" s="844" t="str">
        <f>IF($B287,$B287*TreatyCatch!BF284/SUM(TreatyCatch!$BF284:$BG284,TreatyCatch!$BI284:$BJ284),"")</f>
        <v/>
      </c>
      <c r="D287" s="844" t="str">
        <f>IF($B287,$B287*TreatyCatch!BG284/SUM(TreatyCatch!$BF284:$BG284,TreatyCatch!$BI284:$BJ284),"")</f>
        <v/>
      </c>
      <c r="E287" s="846" t="str">
        <f t="shared" si="119"/>
        <v/>
      </c>
      <c r="F287" s="876" t="str">
        <f>IF($B287,$B287*TreatyCatch!BI284/SUM(TreatyCatch!$BF284:$BG284,TreatyCatch!$BI284:$BJ284),"")</f>
        <v/>
      </c>
      <c r="G287" s="889" t="str">
        <f>IF($B287,$B287*TreatyCatch!BJ284/SUM(TreatyCatch!$BF284:$BG284,TreatyCatch!$BI284:$BJ284),"")</f>
        <v/>
      </c>
      <c r="H287" s="877" t="str">
        <f t="shared" si="137"/>
        <v/>
      </c>
      <c r="I287" s="765"/>
      <c r="J287" s="882" t="str">
        <f>IF($I287,$I287*TreatyCatch!BL284/SUM(TreatyCatch!$BL284:$BM284,TreatyCatch!$BO284:$BP284),"")</f>
        <v/>
      </c>
      <c r="K287" s="883" t="str">
        <f>IF($I287,$I287*TreatyCatch!BM284/SUM(TreatyCatch!$BL284:$BM284,TreatyCatch!$BO284:$BP284),"")</f>
        <v/>
      </c>
      <c r="L287" s="871" t="str">
        <f t="shared" si="120"/>
        <v/>
      </c>
      <c r="M287" s="858" t="str">
        <f>IF($I287,$I287*TreatyCatch!BO284/SUM(TreatyCatch!$BL284:$BM284,TreatyCatch!$BO284:$BP284),"")</f>
        <v/>
      </c>
      <c r="N287" s="859" t="str">
        <f>IF($I287,$I287*TreatyCatch!BP284/SUM(TreatyCatch!$BL284:$BM284,TreatyCatch!$BO284:$BP284),"")</f>
        <v/>
      </c>
      <c r="O287" s="840" t="str">
        <f t="shared" si="138"/>
        <v/>
      </c>
      <c r="P287" s="765"/>
      <c r="Q287" s="852" t="str">
        <f>IF($P287,$P287*TreatyCatch!BR284/SUM(TreatyCatch!$BR284:$BS284,TreatyCatch!$BU284:$BV284),"")</f>
        <v/>
      </c>
      <c r="R287" s="853" t="str">
        <f>IF($P287,$P287*TreatyCatch!BS284/SUM(TreatyCatch!$BR284:$BS284,TreatyCatch!$BU284:$BV284),"")</f>
        <v/>
      </c>
      <c r="S287" s="846" t="str">
        <f t="shared" si="121"/>
        <v/>
      </c>
      <c r="T287" s="893" t="str">
        <f>IF($P287,$P287*TreatyCatch!BU284/SUM(TreatyCatch!$BR284:$BS284,TreatyCatch!$BU284:$BV284),"")</f>
        <v/>
      </c>
      <c r="U287" s="894" t="str">
        <f>IF($P287,$P287*TreatyCatch!BV284/SUM(TreatyCatch!$BR284:$BS284,TreatyCatch!$BU284:$BV284),"")</f>
        <v/>
      </c>
      <c r="V287" s="877" t="str">
        <f t="shared" si="139"/>
        <v/>
      </c>
      <c r="W287" s="958"/>
      <c r="X287" s="882" t="str">
        <f>IF($W287,$W287*TreatyCatch!BX284/SUM(TreatyCatch!$BX284:$BY284,TreatyCatch!$CA284:$CB284),"")</f>
        <v/>
      </c>
      <c r="Y287" s="883" t="str">
        <f>IF($W287,$W287*TreatyCatch!BY284/SUM(TreatyCatch!$BX284:$BY284,TreatyCatch!$CA284:$CB284),"")</f>
        <v/>
      </c>
      <c r="Z287" s="901" t="str">
        <f t="shared" si="122"/>
        <v/>
      </c>
      <c r="AA287" s="858" t="str">
        <f>IF($W287,$W287*TreatyCatch!CA284/SUM(TreatyCatch!$BX284:$BY284,TreatyCatch!$CA284:$CB284),"")</f>
        <v/>
      </c>
      <c r="AB287" s="859" t="str">
        <f>IF($W287,$W287*TreatyCatch!CB284/SUM(TreatyCatch!$BX284:$BY284,TreatyCatch!$CA284:$CB284),"")</f>
        <v/>
      </c>
      <c r="AC287" s="840" t="str">
        <f t="shared" si="140"/>
        <v/>
      </c>
      <c r="AD287" s="958"/>
      <c r="AE287" s="1071" t="str">
        <f>IF($AD287,$AD287*TreatyCatch!CD517/SUM(TreatyCatch!$CD517:$CE517,TreatyCatch!$CG517:$CH517),"")</f>
        <v/>
      </c>
      <c r="AF287" s="1072" t="str">
        <f>IF($AD287,$AD287*TreatyCatch!CE517/SUM(TreatyCatch!$CD517:$CE517,TreatyCatch!$CG517:$CH517),"")</f>
        <v/>
      </c>
      <c r="AG287" s="1073" t="str">
        <f t="shared" si="123"/>
        <v/>
      </c>
      <c r="AH287" s="1077" t="str">
        <f>IF($AD287,$AD287*TreatyCatch!CG517/SUM(TreatyCatch!$CD517:CE517,TreatyCatch!$CG517:$CH517),"")</f>
        <v/>
      </c>
      <c r="AI287" s="1078" t="str">
        <f>IF($AD287,$AD287*TreatyCatch!CH517/SUM(TreatyCatch!$CD517:CF517,TreatyCatch!$CG517:$CH517),"")</f>
        <v/>
      </c>
      <c r="AJ287" s="1080" t="str">
        <f t="shared" si="141"/>
        <v/>
      </c>
      <c r="AK287" s="958"/>
      <c r="AL287" s="882"/>
      <c r="AM287" s="883"/>
      <c r="AN287" s="901"/>
      <c r="AO287" s="858"/>
      <c r="AP287" s="859"/>
      <c r="AQ287" s="840"/>
      <c r="AR287" s="765"/>
      <c r="AS287" s="852"/>
      <c r="AT287" s="853"/>
      <c r="AU287" s="846"/>
      <c r="AV287" s="893"/>
      <c r="AW287" s="894"/>
      <c r="AX287" s="877"/>
      <c r="AY287" s="765"/>
      <c r="AZ287" s="882"/>
      <c r="BA287" s="883"/>
      <c r="BB287" s="901"/>
      <c r="BC287" s="858"/>
      <c r="BD287" s="859"/>
      <c r="BE287" s="840"/>
      <c r="BF287" s="765"/>
      <c r="BG287" s="852"/>
      <c r="BH287" s="853"/>
      <c r="BI287" s="846"/>
      <c r="BJ287" s="893"/>
      <c r="BK287" s="894"/>
      <c r="BL287" s="877"/>
      <c r="BM287" s="765"/>
      <c r="BN287" s="882"/>
      <c r="BO287" s="883"/>
      <c r="BP287" s="901"/>
      <c r="BQ287" s="858"/>
      <c r="BR287" s="859"/>
      <c r="BS287" s="840"/>
      <c r="BT287" s="765"/>
      <c r="BU287" s="852"/>
      <c r="BV287" s="853"/>
      <c r="BW287" s="846"/>
      <c r="BX287" s="893"/>
      <c r="BY287" s="894"/>
      <c r="BZ287" s="877"/>
      <c r="CA287" s="765"/>
      <c r="CB287" s="882"/>
      <c r="CC287" s="883"/>
      <c r="CD287" s="901"/>
      <c r="CE287" s="858"/>
      <c r="CF287" s="859"/>
      <c r="CG287" s="840"/>
      <c r="CH287" s="765"/>
      <c r="CI287" s="852"/>
      <c r="CJ287" s="853"/>
      <c r="CK287" s="846"/>
      <c r="CL287" s="893"/>
      <c r="CM287" s="894"/>
      <c r="CN287" s="877"/>
    </row>
    <row r="288" spans="1:92" x14ac:dyDescent="0.25">
      <c r="A288" s="757">
        <v>47</v>
      </c>
      <c r="B288" s="765"/>
      <c r="C288" s="844" t="str">
        <f>IF($B288,$B288*TreatyCatch!BF285/SUM(TreatyCatch!$BF285:$BG285,TreatyCatch!$BI285:$BJ285),"")</f>
        <v/>
      </c>
      <c r="D288" s="844" t="str">
        <f>IF($B288,$B288*TreatyCatch!BG285/SUM(TreatyCatch!$BF285:$BG285,TreatyCatch!$BI285:$BJ285),"")</f>
        <v/>
      </c>
      <c r="E288" s="846" t="str">
        <f t="shared" si="119"/>
        <v/>
      </c>
      <c r="F288" s="876" t="str">
        <f>IF($B288,$B288*TreatyCatch!BI285/SUM(TreatyCatch!$BF285:$BG285,TreatyCatch!$BI285:$BJ285),"")</f>
        <v/>
      </c>
      <c r="G288" s="889" t="str">
        <f>IF($B288,$B288*TreatyCatch!BJ285/SUM(TreatyCatch!$BF285:$BG285,TreatyCatch!$BI285:$BJ285),"")</f>
        <v/>
      </c>
      <c r="H288" s="877" t="str">
        <f t="shared" si="137"/>
        <v/>
      </c>
      <c r="I288" s="765"/>
      <c r="J288" s="882" t="str">
        <f>IF($I288,$I288*TreatyCatch!BL285/SUM(TreatyCatch!$BL285:$BM285,TreatyCatch!$BO285:$BP285),"")</f>
        <v/>
      </c>
      <c r="K288" s="883" t="str">
        <f>IF($I288,$I288*TreatyCatch!BM285/SUM(TreatyCatch!$BL285:$BM285,TreatyCatch!$BO285:$BP285),"")</f>
        <v/>
      </c>
      <c r="L288" s="871" t="str">
        <f t="shared" si="120"/>
        <v/>
      </c>
      <c r="M288" s="858" t="str">
        <f>IF($I288,$I288*TreatyCatch!BO285/SUM(TreatyCatch!$BL285:$BM285,TreatyCatch!$BO285:$BP285),"")</f>
        <v/>
      </c>
      <c r="N288" s="859" t="str">
        <f>IF($I288,$I288*TreatyCatch!BP285/SUM(TreatyCatch!$BL285:$BM285,TreatyCatch!$BO285:$BP285),"")</f>
        <v/>
      </c>
      <c r="O288" s="840" t="str">
        <f t="shared" si="138"/>
        <v/>
      </c>
      <c r="P288" s="765"/>
      <c r="Q288" s="852" t="str">
        <f>IF($P288,$P288*TreatyCatch!BR285/SUM(TreatyCatch!$BR285:$BS285,TreatyCatch!$BU285:$BV285),"")</f>
        <v/>
      </c>
      <c r="R288" s="853" t="str">
        <f>IF($P288,$P288*TreatyCatch!BS285/SUM(TreatyCatch!$BR285:$BS285,TreatyCatch!$BU285:$BV285),"")</f>
        <v/>
      </c>
      <c r="S288" s="846" t="str">
        <f t="shared" si="121"/>
        <v/>
      </c>
      <c r="T288" s="893" t="str">
        <f>IF($P288,$P288*TreatyCatch!BU285/SUM(TreatyCatch!$BR285:$BS285,TreatyCatch!$BU285:$BV285),"")</f>
        <v/>
      </c>
      <c r="U288" s="894" t="str">
        <f>IF($P288,$P288*TreatyCatch!BV285/SUM(TreatyCatch!$BR285:$BS285,TreatyCatch!$BU285:$BV285),"")</f>
        <v/>
      </c>
      <c r="V288" s="877" t="str">
        <f t="shared" si="139"/>
        <v/>
      </c>
      <c r="W288" s="958"/>
      <c r="X288" s="882" t="str">
        <f>IF($W288,$W288*TreatyCatch!BX285/SUM(TreatyCatch!$BX285:$BY285,TreatyCatch!$CA285:$CB285),"")</f>
        <v/>
      </c>
      <c r="Y288" s="883" t="str">
        <f>IF($W288,$W288*TreatyCatch!BY285/SUM(TreatyCatch!$BX285:$BY285,TreatyCatch!$CA285:$CB285),"")</f>
        <v/>
      </c>
      <c r="Z288" s="901" t="str">
        <f t="shared" si="122"/>
        <v/>
      </c>
      <c r="AA288" s="858" t="str">
        <f>IF($W288,$W288*TreatyCatch!CA285/SUM(TreatyCatch!$BX285:$BY285,TreatyCatch!$CA285:$CB285),"")</f>
        <v/>
      </c>
      <c r="AB288" s="859" t="str">
        <f>IF($W288,$W288*TreatyCatch!CB285/SUM(TreatyCatch!$BX285:$BY285,TreatyCatch!$CA285:$CB285),"")</f>
        <v/>
      </c>
      <c r="AC288" s="840" t="str">
        <f t="shared" si="140"/>
        <v/>
      </c>
      <c r="AD288" s="958"/>
      <c r="AE288" s="1071" t="str">
        <f>IF($AD288,$AD288*TreatyCatch!CD518/SUM(TreatyCatch!$CD518:$CE518,TreatyCatch!$CG518:$CH518),"")</f>
        <v/>
      </c>
      <c r="AF288" s="1072" t="str">
        <f>IF($AD288,$AD288*TreatyCatch!CE518/SUM(TreatyCatch!$CD518:$CE518,TreatyCatch!$CG518:$CH518),"")</f>
        <v/>
      </c>
      <c r="AG288" s="1073" t="str">
        <f t="shared" si="123"/>
        <v/>
      </c>
      <c r="AH288" s="1077" t="str">
        <f>IF($AD288,$AD288*TreatyCatch!CG518/SUM(TreatyCatch!$CD518:CE518,TreatyCatch!$CG518:$CH518),"")</f>
        <v/>
      </c>
      <c r="AI288" s="1078" t="str">
        <f>IF($AD288,$AD288*TreatyCatch!CH518/SUM(TreatyCatch!$CD518:CF518,TreatyCatch!$CG518:$CH518),"")</f>
        <v/>
      </c>
      <c r="AJ288" s="1080" t="str">
        <f t="shared" si="141"/>
        <v/>
      </c>
      <c r="AK288" s="958"/>
      <c r="AL288" s="882"/>
      <c r="AM288" s="883"/>
      <c r="AN288" s="901"/>
      <c r="AO288" s="858"/>
      <c r="AP288" s="859"/>
      <c r="AQ288" s="840"/>
      <c r="AR288" s="765"/>
      <c r="AS288" s="852"/>
      <c r="AT288" s="853"/>
      <c r="AU288" s="846"/>
      <c r="AV288" s="893"/>
      <c r="AW288" s="894"/>
      <c r="AX288" s="877"/>
      <c r="AY288" s="765"/>
      <c r="AZ288" s="882"/>
      <c r="BA288" s="883"/>
      <c r="BB288" s="901"/>
      <c r="BC288" s="858"/>
      <c r="BD288" s="859"/>
      <c r="BE288" s="840"/>
      <c r="BF288" s="765"/>
      <c r="BG288" s="852"/>
      <c r="BH288" s="853"/>
      <c r="BI288" s="846"/>
      <c r="BJ288" s="893"/>
      <c r="BK288" s="894"/>
      <c r="BL288" s="877"/>
      <c r="BM288" s="765"/>
      <c r="BN288" s="882"/>
      <c r="BO288" s="883"/>
      <c r="BP288" s="901"/>
      <c r="BQ288" s="858"/>
      <c r="BR288" s="859"/>
      <c r="BS288" s="840"/>
      <c r="BT288" s="765"/>
      <c r="BU288" s="852"/>
      <c r="BV288" s="853"/>
      <c r="BW288" s="846"/>
      <c r="BX288" s="893"/>
      <c r="BY288" s="894"/>
      <c r="BZ288" s="877"/>
      <c r="CA288" s="765"/>
      <c r="CB288" s="882"/>
      <c r="CC288" s="883"/>
      <c r="CD288" s="901"/>
      <c r="CE288" s="858"/>
      <c r="CF288" s="859"/>
      <c r="CG288" s="840"/>
      <c r="CH288" s="765"/>
      <c r="CI288" s="852"/>
      <c r="CJ288" s="853"/>
      <c r="CK288" s="846"/>
      <c r="CL288" s="893"/>
      <c r="CM288" s="894"/>
      <c r="CN288" s="877"/>
    </row>
    <row r="289" spans="1:92" x14ac:dyDescent="0.25">
      <c r="A289" s="757">
        <v>48</v>
      </c>
      <c r="B289" s="765"/>
      <c r="C289" s="844" t="str">
        <f>IF($B289,$B289*TreatyCatch!BF286/SUM(TreatyCatch!$BF286:$BG286,TreatyCatch!$BI286:$BJ286),"")</f>
        <v/>
      </c>
      <c r="D289" s="844" t="str">
        <f>IF($B289,$B289*TreatyCatch!BG286/SUM(TreatyCatch!$BF286:$BG286,TreatyCatch!$BI286:$BJ286),"")</f>
        <v/>
      </c>
      <c r="E289" s="846" t="str">
        <f t="shared" si="119"/>
        <v/>
      </c>
      <c r="F289" s="876" t="str">
        <f>IF($B289,$B289*TreatyCatch!BI286/SUM(TreatyCatch!$BF286:$BG286,TreatyCatch!$BI286:$BJ286),"")</f>
        <v/>
      </c>
      <c r="G289" s="889" t="str">
        <f>IF($B289,$B289*TreatyCatch!BJ286/SUM(TreatyCatch!$BF286:$BG286,TreatyCatch!$BI286:$BJ286),"")</f>
        <v/>
      </c>
      <c r="H289" s="877" t="str">
        <f t="shared" si="137"/>
        <v/>
      </c>
      <c r="I289" s="765"/>
      <c r="J289" s="882" t="str">
        <f>IF($I289,$I289*TreatyCatch!BL286/SUM(TreatyCatch!$BL286:$BM286,TreatyCatch!$BO286:$BP286),"")</f>
        <v/>
      </c>
      <c r="K289" s="883" t="str">
        <f>IF($I289,$I289*TreatyCatch!BM286/SUM(TreatyCatch!$BL286:$BM286,TreatyCatch!$BO286:$BP286),"")</f>
        <v/>
      </c>
      <c r="L289" s="871" t="str">
        <f t="shared" si="120"/>
        <v/>
      </c>
      <c r="M289" s="858" t="str">
        <f>IF($I289,$I289*TreatyCatch!BO286/SUM(TreatyCatch!$BL286:$BM286,TreatyCatch!$BO286:$BP286),"")</f>
        <v/>
      </c>
      <c r="N289" s="859" t="str">
        <f>IF($I289,$I289*TreatyCatch!BP286/SUM(TreatyCatch!$BL286:$BM286,TreatyCatch!$BO286:$BP286),"")</f>
        <v/>
      </c>
      <c r="O289" s="840" t="str">
        <f t="shared" si="138"/>
        <v/>
      </c>
      <c r="P289" s="765"/>
      <c r="Q289" s="852" t="str">
        <f>IF($P289,$P289*TreatyCatch!BR286/SUM(TreatyCatch!$BR286:$BS286,TreatyCatch!$BU286:$BV286),"")</f>
        <v/>
      </c>
      <c r="R289" s="853" t="str">
        <f>IF($P289,$P289*TreatyCatch!BS286/SUM(TreatyCatch!$BR286:$BS286,TreatyCatch!$BU286:$BV286),"")</f>
        <v/>
      </c>
      <c r="S289" s="846" t="str">
        <f t="shared" si="121"/>
        <v/>
      </c>
      <c r="T289" s="893" t="str">
        <f>IF($P289,$P289*TreatyCatch!BU286/SUM(TreatyCatch!$BR286:$BS286,TreatyCatch!$BU286:$BV286),"")</f>
        <v/>
      </c>
      <c r="U289" s="894" t="str">
        <f>IF($P289,$P289*TreatyCatch!BV286/SUM(TreatyCatch!$BR286:$BS286,TreatyCatch!$BU286:$BV286),"")</f>
        <v/>
      </c>
      <c r="V289" s="877" t="str">
        <f t="shared" si="139"/>
        <v/>
      </c>
      <c r="W289" s="958"/>
      <c r="X289" s="882" t="str">
        <f>IF($W289,$W289*TreatyCatch!BX286/SUM(TreatyCatch!$BX286:$BY286,TreatyCatch!$CA286:$CB286),"")</f>
        <v/>
      </c>
      <c r="Y289" s="883" t="str">
        <f>IF($W289,$W289*TreatyCatch!BY286/SUM(TreatyCatch!$BX286:$BY286,TreatyCatch!$CA286:$CB286),"")</f>
        <v/>
      </c>
      <c r="Z289" s="901" t="str">
        <f t="shared" si="122"/>
        <v/>
      </c>
      <c r="AA289" s="858" t="str">
        <f>IF($W289,$W289*TreatyCatch!CA286/SUM(TreatyCatch!$BX286:$BY286,TreatyCatch!$CA286:$CB286),"")</f>
        <v/>
      </c>
      <c r="AB289" s="859" t="str">
        <f>IF($W289,$W289*TreatyCatch!CB286/SUM(TreatyCatch!$BX286:$BY286,TreatyCatch!$CA286:$CB286),"")</f>
        <v/>
      </c>
      <c r="AC289" s="840" t="str">
        <f t="shared" si="140"/>
        <v/>
      </c>
      <c r="AD289" s="958"/>
      <c r="AE289" s="1071" t="str">
        <f>IF($AD289,$AD289*TreatyCatch!CD519/SUM(TreatyCatch!$CD519:$CE519,TreatyCatch!$CG519:$CH519),"")</f>
        <v/>
      </c>
      <c r="AF289" s="1072" t="str">
        <f>IF($AD289,$AD289*TreatyCatch!CE519/SUM(TreatyCatch!$CD519:$CE519,TreatyCatch!$CG519:$CH519),"")</f>
        <v/>
      </c>
      <c r="AG289" s="1073" t="str">
        <f t="shared" si="123"/>
        <v/>
      </c>
      <c r="AH289" s="1077" t="str">
        <f>IF($AD289,$AD289*TreatyCatch!CG519/SUM(TreatyCatch!$CD519:CE519,TreatyCatch!$CG519:$CH519),"")</f>
        <v/>
      </c>
      <c r="AI289" s="1078" t="str">
        <f>IF($AD289,$AD289*TreatyCatch!CH519/SUM(TreatyCatch!$CD519:CF519,TreatyCatch!$CG519:$CH519),"")</f>
        <v/>
      </c>
      <c r="AJ289" s="1080" t="str">
        <f t="shared" si="141"/>
        <v/>
      </c>
      <c r="AK289" s="958"/>
      <c r="AL289" s="882"/>
      <c r="AM289" s="883"/>
      <c r="AN289" s="901"/>
      <c r="AO289" s="858"/>
      <c r="AP289" s="859"/>
      <c r="AQ289" s="840"/>
      <c r="AR289" s="765"/>
      <c r="AS289" s="852"/>
      <c r="AT289" s="853"/>
      <c r="AU289" s="846"/>
      <c r="AV289" s="893"/>
      <c r="AW289" s="894"/>
      <c r="AX289" s="877"/>
      <c r="AY289" s="765"/>
      <c r="AZ289" s="882"/>
      <c r="BA289" s="883"/>
      <c r="BB289" s="901"/>
      <c r="BC289" s="858"/>
      <c r="BD289" s="859"/>
      <c r="BE289" s="840"/>
      <c r="BF289" s="765"/>
      <c r="BG289" s="852"/>
      <c r="BH289" s="853"/>
      <c r="BI289" s="846"/>
      <c r="BJ289" s="893"/>
      <c r="BK289" s="894"/>
      <c r="BL289" s="877"/>
      <c r="BM289" s="765"/>
      <c r="BN289" s="882"/>
      <c r="BO289" s="883"/>
      <c r="BP289" s="901"/>
      <c r="BQ289" s="858"/>
      <c r="BR289" s="859"/>
      <c r="BS289" s="840"/>
      <c r="BT289" s="765"/>
      <c r="BU289" s="852"/>
      <c r="BV289" s="853"/>
      <c r="BW289" s="846"/>
      <c r="BX289" s="893"/>
      <c r="BY289" s="894"/>
      <c r="BZ289" s="877"/>
      <c r="CA289" s="765"/>
      <c r="CB289" s="882"/>
      <c r="CC289" s="883"/>
      <c r="CD289" s="901"/>
      <c r="CE289" s="858"/>
      <c r="CF289" s="859"/>
      <c r="CG289" s="840"/>
      <c r="CH289" s="765"/>
      <c r="CI289" s="852"/>
      <c r="CJ289" s="853"/>
      <c r="CK289" s="846"/>
      <c r="CL289" s="893"/>
      <c r="CM289" s="894"/>
      <c r="CN289" s="877"/>
    </row>
    <row r="290" spans="1:92" x14ac:dyDescent="0.25">
      <c r="A290" s="757">
        <v>49</v>
      </c>
      <c r="B290" s="765"/>
      <c r="C290" s="844" t="str">
        <f>IF($B290,$B290*TreatyCatch!BF287/SUM(TreatyCatch!$BF287:$BG287,TreatyCatch!$BI287:$BJ287),"")</f>
        <v/>
      </c>
      <c r="D290" s="844" t="str">
        <f>IF($B290,$B290*TreatyCatch!BG287/SUM(TreatyCatch!$BF287:$BG287,TreatyCatch!$BI287:$BJ287),"")</f>
        <v/>
      </c>
      <c r="E290" s="846" t="str">
        <f t="shared" si="119"/>
        <v/>
      </c>
      <c r="F290" s="876" t="str">
        <f>IF($B290,$B290*TreatyCatch!BI287/SUM(TreatyCatch!$BF287:$BG287,TreatyCatch!$BI287:$BJ287),"")</f>
        <v/>
      </c>
      <c r="G290" s="889" t="str">
        <f>IF($B290,$B290*TreatyCatch!BJ287/SUM(TreatyCatch!$BF287:$BG287,TreatyCatch!$BI287:$BJ287),"")</f>
        <v/>
      </c>
      <c r="H290" s="877" t="str">
        <f t="shared" si="137"/>
        <v/>
      </c>
      <c r="I290" s="765"/>
      <c r="J290" s="882" t="str">
        <f>IF($I290,$I290*TreatyCatch!BL287/SUM(TreatyCatch!$BL287:$BM287,TreatyCatch!$BO287:$BP287),"")</f>
        <v/>
      </c>
      <c r="K290" s="883" t="str">
        <f>IF($I290,$I290*TreatyCatch!BM287/SUM(TreatyCatch!$BL287:$BM287,TreatyCatch!$BO287:$BP287),"")</f>
        <v/>
      </c>
      <c r="L290" s="871" t="str">
        <f t="shared" si="120"/>
        <v/>
      </c>
      <c r="M290" s="858" t="str">
        <f>IF($I290,$I290*TreatyCatch!BO287/SUM(TreatyCatch!$BL287:$BM287,TreatyCatch!$BO287:$BP287),"")</f>
        <v/>
      </c>
      <c r="N290" s="859" t="str">
        <f>IF($I290,$I290*TreatyCatch!BP287/SUM(TreatyCatch!$BL287:$BM287,TreatyCatch!$BO287:$BP287),"")</f>
        <v/>
      </c>
      <c r="O290" s="840" t="str">
        <f t="shared" si="138"/>
        <v/>
      </c>
      <c r="P290" s="765"/>
      <c r="Q290" s="852" t="str">
        <f>IF($P290,$P290*TreatyCatch!BR287/SUM(TreatyCatch!$BR287:$BS287,TreatyCatch!$BU287:$BV287),"")</f>
        <v/>
      </c>
      <c r="R290" s="853" t="str">
        <f>IF($P290,$P290*TreatyCatch!BS287/SUM(TreatyCatch!$BR287:$BS287,TreatyCatch!$BU287:$BV287),"")</f>
        <v/>
      </c>
      <c r="S290" s="846" t="str">
        <f t="shared" si="121"/>
        <v/>
      </c>
      <c r="T290" s="893" t="str">
        <f>IF($P290,$P290*TreatyCatch!BU287/SUM(TreatyCatch!$BR287:$BS287,TreatyCatch!$BU287:$BV287),"")</f>
        <v/>
      </c>
      <c r="U290" s="894" t="str">
        <f>IF($P290,$P290*TreatyCatch!BV287/SUM(TreatyCatch!$BR287:$BS287,TreatyCatch!$BU287:$BV287),"")</f>
        <v/>
      </c>
      <c r="V290" s="877" t="str">
        <f t="shared" si="139"/>
        <v/>
      </c>
      <c r="W290" s="958"/>
      <c r="X290" s="882" t="str">
        <f>IF($W290,$W290*TreatyCatch!BX287/SUM(TreatyCatch!$BX287:$BY287,TreatyCatch!$CA287:$CB287),"")</f>
        <v/>
      </c>
      <c r="Y290" s="883" t="str">
        <f>IF($W290,$W290*TreatyCatch!BY287/SUM(TreatyCatch!$BX287:$BY287,TreatyCatch!$CA287:$CB287),"")</f>
        <v/>
      </c>
      <c r="Z290" s="901" t="str">
        <f t="shared" si="122"/>
        <v/>
      </c>
      <c r="AA290" s="858" t="str">
        <f>IF($W290,$W290*TreatyCatch!CA287/SUM(TreatyCatch!$BX287:$BY287,TreatyCatch!$CA287:$CB287),"")</f>
        <v/>
      </c>
      <c r="AB290" s="859" t="str">
        <f>IF($W290,$W290*TreatyCatch!CB287/SUM(TreatyCatch!$BX287:$BY287,TreatyCatch!$CA287:$CB287),"")</f>
        <v/>
      </c>
      <c r="AC290" s="840" t="str">
        <f t="shared" si="140"/>
        <v/>
      </c>
      <c r="AD290" s="958"/>
      <c r="AE290" s="1071" t="str">
        <f>IF($AD290,$AD290*TreatyCatch!CD520/SUM(TreatyCatch!$CD520:$CE520,TreatyCatch!$CG520:$CH520),"")</f>
        <v/>
      </c>
      <c r="AF290" s="1072" t="str">
        <f>IF($AD290,$AD290*TreatyCatch!CE520/SUM(TreatyCatch!$CD520:$CE520,TreatyCatch!$CG520:$CH520),"")</f>
        <v/>
      </c>
      <c r="AG290" s="1073" t="str">
        <f t="shared" si="123"/>
        <v/>
      </c>
      <c r="AH290" s="1077" t="str">
        <f>IF($AD290,$AD290*TreatyCatch!CG520/SUM(TreatyCatch!$CD520:CE520,TreatyCatch!$CG520:$CH520),"")</f>
        <v/>
      </c>
      <c r="AI290" s="1078" t="str">
        <f>IF($AD290,$AD290*TreatyCatch!CH520/SUM(TreatyCatch!$CD520:CF520,TreatyCatch!$CG520:$CH520),"")</f>
        <v/>
      </c>
      <c r="AJ290" s="1080" t="str">
        <f t="shared" si="141"/>
        <v/>
      </c>
      <c r="AK290" s="958"/>
      <c r="AL290" s="882"/>
      <c r="AM290" s="883"/>
      <c r="AN290" s="901"/>
      <c r="AO290" s="858"/>
      <c r="AP290" s="859"/>
      <c r="AQ290" s="840"/>
      <c r="AR290" s="765"/>
      <c r="AS290" s="852"/>
      <c r="AT290" s="853"/>
      <c r="AU290" s="846"/>
      <c r="AV290" s="893"/>
      <c r="AW290" s="894"/>
      <c r="AX290" s="877"/>
      <c r="AY290" s="765"/>
      <c r="AZ290" s="882"/>
      <c r="BA290" s="883"/>
      <c r="BB290" s="901"/>
      <c r="BC290" s="858"/>
      <c r="BD290" s="859"/>
      <c r="BE290" s="840"/>
      <c r="BF290" s="765"/>
      <c r="BG290" s="852"/>
      <c r="BH290" s="853"/>
      <c r="BI290" s="846"/>
      <c r="BJ290" s="893"/>
      <c r="BK290" s="894"/>
      <c r="BL290" s="877"/>
      <c r="BM290" s="765"/>
      <c r="BN290" s="882"/>
      <c r="BO290" s="883"/>
      <c r="BP290" s="901"/>
      <c r="BQ290" s="858"/>
      <c r="BR290" s="859"/>
      <c r="BS290" s="840"/>
      <c r="BT290" s="765"/>
      <c r="BU290" s="852"/>
      <c r="BV290" s="853"/>
      <c r="BW290" s="846"/>
      <c r="BX290" s="893"/>
      <c r="BY290" s="894"/>
      <c r="BZ290" s="877"/>
      <c r="CA290" s="765"/>
      <c r="CB290" s="882"/>
      <c r="CC290" s="883"/>
      <c r="CD290" s="901"/>
      <c r="CE290" s="858"/>
      <c r="CF290" s="859"/>
      <c r="CG290" s="840"/>
      <c r="CH290" s="765"/>
      <c r="CI290" s="852"/>
      <c r="CJ290" s="853"/>
      <c r="CK290" s="846"/>
      <c r="CL290" s="893"/>
      <c r="CM290" s="894"/>
      <c r="CN290" s="877"/>
    </row>
    <row r="291" spans="1:92" x14ac:dyDescent="0.25">
      <c r="A291" s="757">
        <v>50</v>
      </c>
      <c r="B291" s="765"/>
      <c r="C291" s="844" t="str">
        <f>IF($B291,$B291*TreatyCatch!BF288/SUM(TreatyCatch!$BF288:$BG288,TreatyCatch!$BI288:$BJ288),"")</f>
        <v/>
      </c>
      <c r="D291" s="844" t="str">
        <f>IF($B291,$B291*TreatyCatch!BG288/SUM(TreatyCatch!$BF288:$BG288,TreatyCatch!$BI288:$BJ288),"")</f>
        <v/>
      </c>
      <c r="E291" s="846" t="str">
        <f t="shared" si="119"/>
        <v/>
      </c>
      <c r="F291" s="876" t="str">
        <f>IF($B291,$B291*TreatyCatch!BI288/SUM(TreatyCatch!$BF288:$BG288,TreatyCatch!$BI288:$BJ288),"")</f>
        <v/>
      </c>
      <c r="G291" s="889" t="str">
        <f>IF($B291,$B291*TreatyCatch!BJ288/SUM(TreatyCatch!$BF288:$BG288,TreatyCatch!$BI288:$BJ288),"")</f>
        <v/>
      </c>
      <c r="H291" s="877" t="str">
        <f t="shared" si="137"/>
        <v/>
      </c>
      <c r="I291" s="765">
        <v>8</v>
      </c>
      <c r="J291" s="882">
        <f>IF($I291,$I291*TreatyCatch!BL288/SUM(TreatyCatch!$BL288:$BM288,TreatyCatch!$BO288:$BP288),"")</f>
        <v>8</v>
      </c>
      <c r="K291" s="883">
        <f>IF($I291,$I291*TreatyCatch!BM288/SUM(TreatyCatch!$BL288:$BM288,TreatyCatch!$BO288:$BP288),"")</f>
        <v>0</v>
      </c>
      <c r="L291" s="871">
        <f t="shared" si="120"/>
        <v>8</v>
      </c>
      <c r="M291" s="858">
        <f>IF($I291,$I291*TreatyCatch!BO288/SUM(TreatyCatch!$BL288:$BM288,TreatyCatch!$BO288:$BP288),"")</f>
        <v>0</v>
      </c>
      <c r="N291" s="859">
        <f>IF($I291,$I291*TreatyCatch!BP288/SUM(TreatyCatch!$BL288:$BM288,TreatyCatch!$BO288:$BP288),"")</f>
        <v>0</v>
      </c>
      <c r="O291" s="840">
        <f t="shared" si="138"/>
        <v>0</v>
      </c>
      <c r="P291" s="765">
        <v>10</v>
      </c>
      <c r="Q291" s="852">
        <f>IF($P291,$P291*TreatyCatch!BR288/SUM(TreatyCatch!$BR288:$BS288,TreatyCatch!$BU288:$BV288),"")</f>
        <v>10</v>
      </c>
      <c r="R291" s="853">
        <f>IF($P291,$P291*TreatyCatch!BS288/SUM(TreatyCatch!$BR288:$BS288,TreatyCatch!$BU288:$BV288),"")</f>
        <v>0</v>
      </c>
      <c r="S291" s="846" t="str">
        <f t="shared" si="121"/>
        <v/>
      </c>
      <c r="T291" s="893">
        <f>IF($P291,$P291*TreatyCatch!BU288/SUM(TreatyCatch!$BR288:$BS288,TreatyCatch!$BU288:$BV288),"")</f>
        <v>0</v>
      </c>
      <c r="U291" s="894">
        <f>IF($P291,$P291*TreatyCatch!BV288/SUM(TreatyCatch!$BR288:$BS288,TreatyCatch!$BU288:$BV288),"")</f>
        <v>0</v>
      </c>
      <c r="V291" s="877">
        <f t="shared" si="139"/>
        <v>0</v>
      </c>
      <c r="W291" s="958"/>
      <c r="X291" s="882" t="str">
        <f>IF($W291,$W291*TreatyCatch!BX288/SUM(TreatyCatch!$BX288:$BY288,TreatyCatch!$CA288:$CB288),"")</f>
        <v/>
      </c>
      <c r="Y291" s="883" t="str">
        <f>IF($W291,$W291*TreatyCatch!BY288/SUM(TreatyCatch!$BX288:$BY288,TreatyCatch!$CA288:$CB288),"")</f>
        <v/>
      </c>
      <c r="Z291" s="901" t="str">
        <f t="shared" si="122"/>
        <v/>
      </c>
      <c r="AA291" s="858" t="str">
        <f>IF($W291,$W291*TreatyCatch!CA288/SUM(TreatyCatch!$BX288:$BY288,TreatyCatch!$CA288:$CB288),"")</f>
        <v/>
      </c>
      <c r="AB291" s="859" t="str">
        <f>IF($W291,$W291*TreatyCatch!CB288/SUM(TreatyCatch!$BX288:$BY288,TreatyCatch!$CA288:$CB288),"")</f>
        <v/>
      </c>
      <c r="AC291" s="840" t="str">
        <f t="shared" si="140"/>
        <v/>
      </c>
      <c r="AD291" s="958"/>
      <c r="AE291" s="1071" t="str">
        <f>IF($AD291,$AD291*TreatyCatch!CD521/SUM(TreatyCatch!$CD521:$CE521,TreatyCatch!$CG521:$CH521),"")</f>
        <v/>
      </c>
      <c r="AF291" s="1072" t="str">
        <f>IF($AD291,$AD291*TreatyCatch!CE521/SUM(TreatyCatch!$CD521:$CE521,TreatyCatch!$CG521:$CH521),"")</f>
        <v/>
      </c>
      <c r="AG291" s="1073" t="str">
        <f t="shared" si="123"/>
        <v/>
      </c>
      <c r="AH291" s="1077" t="str">
        <f>IF($AD291,$AD291*TreatyCatch!CG521/SUM(TreatyCatch!$CD521:CE521,TreatyCatch!$CG521:$CH521),"")</f>
        <v/>
      </c>
      <c r="AI291" s="1078" t="str">
        <f>IF($AD291,$AD291*TreatyCatch!CH521/SUM(TreatyCatch!$CD521:CF521,TreatyCatch!$CG521:$CH521),"")</f>
        <v/>
      </c>
      <c r="AJ291" s="1080" t="str">
        <f t="shared" si="141"/>
        <v/>
      </c>
      <c r="AK291" s="958"/>
      <c r="AL291" s="882"/>
      <c r="AM291" s="883"/>
      <c r="AN291" s="901"/>
      <c r="AO291" s="858"/>
      <c r="AP291" s="859"/>
      <c r="AQ291" s="840"/>
      <c r="AR291" s="765"/>
      <c r="AS291" s="852"/>
      <c r="AT291" s="853"/>
      <c r="AU291" s="846"/>
      <c r="AV291" s="893"/>
      <c r="AW291" s="894"/>
      <c r="AX291" s="877"/>
      <c r="AY291" s="765"/>
      <c r="AZ291" s="882"/>
      <c r="BA291" s="883"/>
      <c r="BB291" s="901"/>
      <c r="BC291" s="858"/>
      <c r="BD291" s="859"/>
      <c r="BE291" s="840"/>
      <c r="BF291" s="765"/>
      <c r="BG291" s="852"/>
      <c r="BH291" s="853"/>
      <c r="BI291" s="846"/>
      <c r="BJ291" s="893"/>
      <c r="BK291" s="894"/>
      <c r="BL291" s="877"/>
      <c r="BM291" s="765"/>
      <c r="BN291" s="882"/>
      <c r="BO291" s="883"/>
      <c r="BP291" s="901"/>
      <c r="BQ291" s="858"/>
      <c r="BR291" s="859"/>
      <c r="BS291" s="840"/>
      <c r="BT291" s="765"/>
      <c r="BU291" s="852"/>
      <c r="BV291" s="853"/>
      <c r="BW291" s="846"/>
      <c r="BX291" s="893"/>
      <c r="BY291" s="894"/>
      <c r="BZ291" s="877"/>
      <c r="CA291" s="765"/>
      <c r="CB291" s="882"/>
      <c r="CC291" s="883"/>
      <c r="CD291" s="901"/>
      <c r="CE291" s="858"/>
      <c r="CF291" s="859"/>
      <c r="CG291" s="840"/>
      <c r="CH291" s="765"/>
      <c r="CI291" s="852"/>
      <c r="CJ291" s="853"/>
      <c r="CK291" s="846"/>
      <c r="CL291" s="893"/>
      <c r="CM291" s="894"/>
      <c r="CN291" s="877"/>
    </row>
    <row r="292" spans="1:92" x14ac:dyDescent="0.25">
      <c r="A292" s="757">
        <v>51</v>
      </c>
      <c r="B292" s="765">
        <v>31</v>
      </c>
      <c r="C292" s="844">
        <f>IF($B292,$B292*TreatyCatch!BF289/SUM(TreatyCatch!$BF289:$BG289,TreatyCatch!$BI289:$BJ289),"")</f>
        <v>26.23076923076923</v>
      </c>
      <c r="D292" s="844">
        <f>IF($B292,$B292*TreatyCatch!BG289/SUM(TreatyCatch!$BF289:$BG289,TreatyCatch!$BI289:$BJ289),"")</f>
        <v>0</v>
      </c>
      <c r="E292" s="846">
        <f t="shared" si="119"/>
        <v>26.23076923076923</v>
      </c>
      <c r="F292" s="876">
        <f>IF($B292,$B292*TreatyCatch!BI289/SUM(TreatyCatch!$BF289:$BG289,TreatyCatch!$BI289:$BJ289),"")</f>
        <v>4.7692307692307692</v>
      </c>
      <c r="G292" s="889">
        <f>IF($B292,$B292*TreatyCatch!BJ289/SUM(TreatyCatch!$BF289:$BG289,TreatyCatch!$BI289:$BJ289),"")</f>
        <v>0</v>
      </c>
      <c r="H292" s="877">
        <f t="shared" si="137"/>
        <v>4.7692307692307692</v>
      </c>
      <c r="I292" s="765">
        <v>6</v>
      </c>
      <c r="J292" s="882">
        <f>IF($I292,$I292*TreatyCatch!BL289/SUM(TreatyCatch!$BL289:$BM289,TreatyCatch!$BO289:$BP289),"")</f>
        <v>6</v>
      </c>
      <c r="K292" s="883">
        <f>IF($I292,$I292*TreatyCatch!BM289/SUM(TreatyCatch!$BL289:$BM289,TreatyCatch!$BO289:$BP289),"")</f>
        <v>0</v>
      </c>
      <c r="L292" s="871">
        <f t="shared" si="120"/>
        <v>6</v>
      </c>
      <c r="M292" s="858">
        <f>IF($I292,$I292*TreatyCatch!BO289/SUM(TreatyCatch!$BL289:$BM289,TreatyCatch!$BO289:$BP289),"")</f>
        <v>0</v>
      </c>
      <c r="N292" s="859">
        <f>IF($I292,$I292*TreatyCatch!BP289/SUM(TreatyCatch!$BL289:$BM289,TreatyCatch!$BO289:$BP289),"")</f>
        <v>0</v>
      </c>
      <c r="O292" s="840">
        <f t="shared" si="138"/>
        <v>0</v>
      </c>
      <c r="P292" s="765">
        <v>11</v>
      </c>
      <c r="Q292" s="852">
        <f>IF($P292,$P292*TreatyCatch!BR289/SUM(TreatyCatch!$BR289:$BS289,TreatyCatch!$BU289:$BV289),"")</f>
        <v>7</v>
      </c>
      <c r="R292" s="853">
        <f>IF($P292,$P292*TreatyCatch!BS289/SUM(TreatyCatch!$BR289:$BS289,TreatyCatch!$BU289:$BV289),"")</f>
        <v>0</v>
      </c>
      <c r="S292" s="846" t="str">
        <f t="shared" si="121"/>
        <v/>
      </c>
      <c r="T292" s="893">
        <f>IF($P292,$P292*TreatyCatch!BU289/SUM(TreatyCatch!$BR289:$BS289,TreatyCatch!$BU289:$BV289),"")</f>
        <v>4</v>
      </c>
      <c r="U292" s="894">
        <f>IF($P292,$P292*TreatyCatch!BV289/SUM(TreatyCatch!$BR289:$BS289,TreatyCatch!$BU289:$BV289),"")</f>
        <v>0</v>
      </c>
      <c r="V292" s="877">
        <f t="shared" si="139"/>
        <v>4</v>
      </c>
      <c r="W292" s="958"/>
      <c r="X292" s="882" t="str">
        <f>IF($W292,$W292*TreatyCatch!BX289/SUM(TreatyCatch!$BX289:$BY289,TreatyCatch!$CA289:$CB289),"")</f>
        <v/>
      </c>
      <c r="Y292" s="883" t="str">
        <f>IF($W292,$W292*TreatyCatch!BY289/SUM(TreatyCatch!$BX289:$BY289,TreatyCatch!$CA289:$CB289),"")</f>
        <v/>
      </c>
      <c r="Z292" s="901" t="str">
        <f t="shared" si="122"/>
        <v/>
      </c>
      <c r="AA292" s="858" t="str">
        <f>IF($W292,$W292*TreatyCatch!CA289/SUM(TreatyCatch!$BX289:$BY289,TreatyCatch!$CA289:$CB289),"")</f>
        <v/>
      </c>
      <c r="AB292" s="859" t="str">
        <f>IF($W292,$W292*TreatyCatch!CB289/SUM(TreatyCatch!$BX289:$BY289,TreatyCatch!$CA289:$CB289),"")</f>
        <v/>
      </c>
      <c r="AC292" s="840" t="str">
        <f t="shared" si="140"/>
        <v/>
      </c>
      <c r="AD292" s="958"/>
      <c r="AE292" s="1071" t="str">
        <f>IF($AD292,$AD292*TreatyCatch!CD522/SUM(TreatyCatch!$CD522:$CE522,TreatyCatch!$CG522:$CH522),"")</f>
        <v/>
      </c>
      <c r="AF292" s="1072" t="str">
        <f>IF($AD292,$AD292*TreatyCatch!CE522/SUM(TreatyCatch!$CD522:$CE522,TreatyCatch!$CG522:$CH522),"")</f>
        <v/>
      </c>
      <c r="AG292" s="1073" t="str">
        <f t="shared" si="123"/>
        <v/>
      </c>
      <c r="AH292" s="1077" t="str">
        <f>IF($AD292,$AD292*TreatyCatch!CG522/SUM(TreatyCatch!$CD522:CE522,TreatyCatch!$CG522:$CH522),"")</f>
        <v/>
      </c>
      <c r="AI292" s="1078" t="str">
        <f>IF($AD292,$AD292*TreatyCatch!CH522/SUM(TreatyCatch!$CD522:CF522,TreatyCatch!$CG522:$CH522),"")</f>
        <v/>
      </c>
      <c r="AJ292" s="1080" t="str">
        <f t="shared" si="141"/>
        <v/>
      </c>
      <c r="AK292" s="958"/>
      <c r="AL292" s="882"/>
      <c r="AM292" s="883"/>
      <c r="AN292" s="901"/>
      <c r="AO292" s="858"/>
      <c r="AP292" s="859"/>
      <c r="AQ292" s="840"/>
      <c r="AR292" s="765"/>
      <c r="AS292" s="852"/>
      <c r="AT292" s="853"/>
      <c r="AU292" s="846"/>
      <c r="AV292" s="893"/>
      <c r="AW292" s="894"/>
      <c r="AX292" s="877"/>
      <c r="AY292" s="765"/>
      <c r="AZ292" s="882"/>
      <c r="BA292" s="883"/>
      <c r="BB292" s="901"/>
      <c r="BC292" s="858"/>
      <c r="BD292" s="859"/>
      <c r="BE292" s="840"/>
      <c r="BF292" s="765"/>
      <c r="BG292" s="852"/>
      <c r="BH292" s="853"/>
      <c r="BI292" s="846"/>
      <c r="BJ292" s="893"/>
      <c r="BK292" s="894"/>
      <c r="BL292" s="877"/>
      <c r="BM292" s="765"/>
      <c r="BN292" s="882"/>
      <c r="BO292" s="883"/>
      <c r="BP292" s="901"/>
      <c r="BQ292" s="858"/>
      <c r="BR292" s="859"/>
      <c r="BS292" s="840"/>
      <c r="BT292" s="765"/>
      <c r="BU292" s="852"/>
      <c r="BV292" s="853"/>
      <c r="BW292" s="846"/>
      <c r="BX292" s="893"/>
      <c r="BY292" s="894"/>
      <c r="BZ292" s="877"/>
      <c r="CA292" s="765"/>
      <c r="CB292" s="882"/>
      <c r="CC292" s="883"/>
      <c r="CD292" s="901"/>
      <c r="CE292" s="858"/>
      <c r="CF292" s="859"/>
      <c r="CG292" s="840"/>
      <c r="CH292" s="765"/>
      <c r="CI292" s="852"/>
      <c r="CJ292" s="853"/>
      <c r="CK292" s="846"/>
      <c r="CL292" s="893"/>
      <c r="CM292" s="894"/>
      <c r="CN292" s="877"/>
    </row>
    <row r="293" spans="1:92" x14ac:dyDescent="0.25">
      <c r="A293" s="757">
        <v>52</v>
      </c>
      <c r="B293" s="765">
        <v>40</v>
      </c>
      <c r="C293" s="844">
        <f>IF($B293,$B293*TreatyCatch!BF290/SUM(TreatyCatch!$BF290:$BG290,TreatyCatch!$BI290:$BJ290),"")</f>
        <v>38.94736842105263</v>
      </c>
      <c r="D293" s="844">
        <f>IF($B293,$B293*TreatyCatch!BG290/SUM(TreatyCatch!$BF290:$BG290,TreatyCatch!$BI290:$BJ290),"")</f>
        <v>0</v>
      </c>
      <c r="E293" s="846">
        <f t="shared" si="119"/>
        <v>38.94736842105263</v>
      </c>
      <c r="F293" s="876">
        <f>IF($B293,$B293*TreatyCatch!BI290/SUM(TreatyCatch!$BF290:$BG290,TreatyCatch!$BI290:$BJ290),"")</f>
        <v>1.0526315789473684</v>
      </c>
      <c r="G293" s="889">
        <f>IF($B293,$B293*TreatyCatch!BJ290/SUM(TreatyCatch!$BF290:$BG290,TreatyCatch!$BI290:$BJ290),"")</f>
        <v>0</v>
      </c>
      <c r="H293" s="877">
        <f t="shared" si="137"/>
        <v>1.0526315789473684</v>
      </c>
      <c r="I293" s="765"/>
      <c r="J293" s="882" t="str">
        <f>IF($I293,$I293*TreatyCatch!BL290/SUM(TreatyCatch!$BL290:$BM290,TreatyCatch!$BO290:$BP290),"")</f>
        <v/>
      </c>
      <c r="K293" s="883" t="str">
        <f>IF($I293,$I293*TreatyCatch!BM290/SUM(TreatyCatch!$BL290:$BM290,TreatyCatch!$BO290:$BP290),"")</f>
        <v/>
      </c>
      <c r="L293" s="871" t="str">
        <f t="shared" si="120"/>
        <v/>
      </c>
      <c r="M293" s="858" t="str">
        <f>IF($I293,$I293*TreatyCatch!BO290/SUM(TreatyCatch!$BL290:$BM290,TreatyCatch!$BO290:$BP290),"")</f>
        <v/>
      </c>
      <c r="N293" s="859" t="str">
        <f>IF($I293,$I293*TreatyCatch!BP290/SUM(TreatyCatch!$BL290:$BM290,TreatyCatch!$BO290:$BP290),"")</f>
        <v/>
      </c>
      <c r="O293" s="840" t="str">
        <f t="shared" si="138"/>
        <v/>
      </c>
      <c r="P293" s="765">
        <v>15</v>
      </c>
      <c r="Q293" s="852">
        <f>IF($P293,$P293*TreatyCatch!BR290/SUM(TreatyCatch!$BR290:$BS290,TreatyCatch!$BU290:$BV290),"")</f>
        <v>14</v>
      </c>
      <c r="R293" s="853">
        <f>IF($P293,$P293*TreatyCatch!BS290/SUM(TreatyCatch!$BR290:$BS290,TreatyCatch!$BU290:$BV290),"")</f>
        <v>0</v>
      </c>
      <c r="S293" s="846" t="str">
        <f t="shared" si="121"/>
        <v/>
      </c>
      <c r="T293" s="893">
        <f>IF($P293,$P293*TreatyCatch!BU290/SUM(TreatyCatch!$BR290:$BS290,TreatyCatch!$BU290:$BV290),"")</f>
        <v>1</v>
      </c>
      <c r="U293" s="894">
        <f>IF($P293,$P293*TreatyCatch!BV290/SUM(TreatyCatch!$BR290:$BS290,TreatyCatch!$BU290:$BV290),"")</f>
        <v>0</v>
      </c>
      <c r="V293" s="877">
        <f t="shared" si="139"/>
        <v>1</v>
      </c>
      <c r="W293" s="958"/>
      <c r="X293" s="882" t="str">
        <f>IF($W293,$W293*TreatyCatch!BX290/SUM(TreatyCatch!$BX290:$BY290,TreatyCatch!$CA290:$CB290),"")</f>
        <v/>
      </c>
      <c r="Y293" s="883" t="str">
        <f>IF($W293,$W293*TreatyCatch!BY290/SUM(TreatyCatch!$BX290:$BY290,TreatyCatch!$CA290:$CB290),"")</f>
        <v/>
      </c>
      <c r="Z293" s="901" t="str">
        <f t="shared" si="122"/>
        <v/>
      </c>
      <c r="AA293" s="858" t="str">
        <f>IF($W293,$W293*TreatyCatch!CA290/SUM(TreatyCatch!$BX290:$BY290,TreatyCatch!$CA290:$CB290),"")</f>
        <v/>
      </c>
      <c r="AB293" s="859" t="str">
        <f>IF($W293,$W293*TreatyCatch!CB290/SUM(TreatyCatch!$BX290:$BY290,TreatyCatch!$CA290:$CB290),"")</f>
        <v/>
      </c>
      <c r="AC293" s="840" t="str">
        <f t="shared" si="140"/>
        <v/>
      </c>
      <c r="AD293" s="958"/>
      <c r="AE293" s="1071" t="str">
        <f>IF($AD293,$AD293*TreatyCatch!CD523/SUM(TreatyCatch!$CD523:$CE523,TreatyCatch!$CG523:$CH523),"")</f>
        <v/>
      </c>
      <c r="AF293" s="1072" t="str">
        <f>IF($AD293,$AD293*TreatyCatch!CE523/SUM(TreatyCatch!$CD523:$CE523,TreatyCatch!$CG523:$CH523),"")</f>
        <v/>
      </c>
      <c r="AG293" s="1073" t="str">
        <f t="shared" si="123"/>
        <v/>
      </c>
      <c r="AH293" s="1077" t="str">
        <f>IF($AD293,$AD293*TreatyCatch!CG523/SUM(TreatyCatch!$CD523:CE523,TreatyCatch!$CG523:$CH523),"")</f>
        <v/>
      </c>
      <c r="AI293" s="1078" t="str">
        <f>IF($AD293,$AD293*TreatyCatch!CH523/SUM(TreatyCatch!$CD523:CF523,TreatyCatch!$CG523:$CH523),"")</f>
        <v/>
      </c>
      <c r="AJ293" s="1080" t="str">
        <f t="shared" si="141"/>
        <v/>
      </c>
      <c r="AK293" s="958"/>
      <c r="AL293" s="882"/>
      <c r="AM293" s="883"/>
      <c r="AN293" s="901"/>
      <c r="AO293" s="858"/>
      <c r="AP293" s="859"/>
      <c r="AQ293" s="840"/>
      <c r="AR293" s="765"/>
      <c r="AS293" s="852"/>
      <c r="AT293" s="853"/>
      <c r="AU293" s="846"/>
      <c r="AV293" s="893"/>
      <c r="AW293" s="894"/>
      <c r="AX293" s="877"/>
      <c r="AY293" s="765"/>
      <c r="AZ293" s="882"/>
      <c r="BA293" s="883"/>
      <c r="BB293" s="901"/>
      <c r="BC293" s="858"/>
      <c r="BD293" s="859"/>
      <c r="BE293" s="840"/>
      <c r="BF293" s="765"/>
      <c r="BG293" s="852"/>
      <c r="BH293" s="853"/>
      <c r="BI293" s="846"/>
      <c r="BJ293" s="893"/>
      <c r="BK293" s="894"/>
      <c r="BL293" s="877"/>
      <c r="BM293" s="765"/>
      <c r="BN293" s="882"/>
      <c r="BO293" s="883"/>
      <c r="BP293" s="901"/>
      <c r="BQ293" s="858"/>
      <c r="BR293" s="859"/>
      <c r="BS293" s="840"/>
      <c r="BT293" s="765"/>
      <c r="BU293" s="852"/>
      <c r="BV293" s="853"/>
      <c r="BW293" s="846"/>
      <c r="BX293" s="893"/>
      <c r="BY293" s="894"/>
      <c r="BZ293" s="877"/>
      <c r="CA293" s="765"/>
      <c r="CB293" s="882"/>
      <c r="CC293" s="883"/>
      <c r="CD293" s="901"/>
      <c r="CE293" s="858"/>
      <c r="CF293" s="859"/>
      <c r="CG293" s="840"/>
      <c r="CH293" s="765"/>
      <c r="CI293" s="852"/>
      <c r="CJ293" s="853"/>
      <c r="CK293" s="846"/>
      <c r="CL293" s="893"/>
      <c r="CM293" s="894"/>
      <c r="CN293" s="877"/>
    </row>
    <row r="294" spans="1:92" x14ac:dyDescent="0.25">
      <c r="A294" s="758">
        <v>53</v>
      </c>
      <c r="B294" s="766"/>
      <c r="C294" s="849" t="str">
        <f>IF($B294,$B294*TreatyCatch!BF291/SUM(TreatyCatch!$BF291:$BG291,TreatyCatch!$BI291:$BJ291),"")</f>
        <v/>
      </c>
      <c r="D294" s="849" t="str">
        <f>IF($B294,$B294*TreatyCatch!BG291/SUM(TreatyCatch!$BF291:$BG291,TreatyCatch!$BI291:$BJ291),"")</f>
        <v/>
      </c>
      <c r="E294" s="847" t="str">
        <f t="shared" si="119"/>
        <v/>
      </c>
      <c r="F294" s="878" t="str">
        <f>IF($B294,$B294*TreatyCatch!BI291/SUM(TreatyCatch!$BF291:$BG291,TreatyCatch!$BI291:$BJ291),"")</f>
        <v/>
      </c>
      <c r="G294" s="890" t="str">
        <f>IF($B294,$B294*TreatyCatch!BJ291/SUM(TreatyCatch!$BF291:$BG291,TreatyCatch!$BI291:$BJ291),"")</f>
        <v/>
      </c>
      <c r="H294" s="879" t="str">
        <f t="shared" si="137"/>
        <v/>
      </c>
      <c r="I294" s="766"/>
      <c r="J294" s="885" t="str">
        <f>IF($I294,$I294*TreatyCatch!BL291/SUM(TreatyCatch!$BL291:$BM291,TreatyCatch!$BO291:$BP291),"")</f>
        <v/>
      </c>
      <c r="K294" s="886" t="str">
        <f>IF($I294,$I294*TreatyCatch!BM291/SUM(TreatyCatch!$BL291:$BM291,TreatyCatch!$BO291:$BP291),"")</f>
        <v/>
      </c>
      <c r="L294" s="873" t="str">
        <f t="shared" si="120"/>
        <v/>
      </c>
      <c r="M294" s="861" t="str">
        <f>IF($I294,$I294*TreatyCatch!BO291/SUM(TreatyCatch!$BL291:$BM291,TreatyCatch!$BO291:$BP291),"")</f>
        <v/>
      </c>
      <c r="N294" s="862" t="str">
        <f>IF($I294,$I294*TreatyCatch!BP291/SUM(TreatyCatch!$BL291:$BM291,TreatyCatch!$BO291:$BP291),"")</f>
        <v/>
      </c>
      <c r="O294" s="841" t="str">
        <f t="shared" si="138"/>
        <v/>
      </c>
      <c r="P294" s="766">
        <v>10</v>
      </c>
      <c r="Q294" s="854">
        <f>IF($P294,$P294*TreatyCatch!BR291/SUM(TreatyCatch!$BR291:$BS291,TreatyCatch!$BU291:$BV291),"")</f>
        <v>9</v>
      </c>
      <c r="R294" s="855">
        <f>IF($P294,$P294*TreatyCatch!BS291/SUM(TreatyCatch!$BR291:$BS291,TreatyCatch!$BU291:$BV291),"")</f>
        <v>1</v>
      </c>
      <c r="S294" s="847" t="str">
        <f t="shared" si="121"/>
        <v/>
      </c>
      <c r="T294" s="895">
        <f>IF($P294,$P294*TreatyCatch!BU291/SUM(TreatyCatch!$BR291:$BS291,TreatyCatch!$BU291:$BV291),"")</f>
        <v>0</v>
      </c>
      <c r="U294" s="896">
        <f>IF($P294,$P294*TreatyCatch!BV291/SUM(TreatyCatch!$BR291:$BS291,TreatyCatch!$BU291:$BV291),"")</f>
        <v>0</v>
      </c>
      <c r="V294" s="879">
        <f t="shared" si="139"/>
        <v>0</v>
      </c>
      <c r="W294" s="964"/>
      <c r="X294" s="885" t="str">
        <f>IF($W294,$W294*TreatyCatch!BX291/SUM(TreatyCatch!$BX291:$BY291,TreatyCatch!$CA291:$CB291),"")</f>
        <v/>
      </c>
      <c r="Y294" s="886" t="str">
        <f>IF($W294,$W294*TreatyCatch!BY291/SUM(TreatyCatch!$BX291:$BY291,TreatyCatch!$CA291:$CB291),"")</f>
        <v/>
      </c>
      <c r="Z294" s="902" t="str">
        <f t="shared" si="122"/>
        <v/>
      </c>
      <c r="AA294" s="861" t="str">
        <f>IF($W294,$W294*TreatyCatch!CA291/SUM(TreatyCatch!$BX291:$BY291,TreatyCatch!$CA291:$CB291),"")</f>
        <v/>
      </c>
      <c r="AB294" s="862" t="str">
        <f>IF($W294,$W294*TreatyCatch!CB291/SUM(TreatyCatch!$BX291:$BY291,TreatyCatch!$CA291:$CB291),"")</f>
        <v/>
      </c>
      <c r="AC294" s="841" t="str">
        <f t="shared" si="140"/>
        <v/>
      </c>
      <c r="AD294" s="964"/>
      <c r="AE294" s="1074" t="str">
        <f>IF($AD294,$AD294*TreatyCatch!CD524/SUM(TreatyCatch!$CD524:$CE524,TreatyCatch!$CG524:$CH524),"")</f>
        <v/>
      </c>
      <c r="AF294" s="1075" t="str">
        <f>IF($AD294,$AD294*TreatyCatch!CE524/SUM(TreatyCatch!$CD524:$CE524,TreatyCatch!$CG524:$CH524),"")</f>
        <v/>
      </c>
      <c r="AG294" s="1076" t="str">
        <f t="shared" si="123"/>
        <v/>
      </c>
      <c r="AH294" s="1081" t="str">
        <f>IF($AD294,$AD294*TreatyCatch!CG524/SUM(TreatyCatch!$CD524:CE524,TreatyCatch!$CG524:$CH524),"")</f>
        <v/>
      </c>
      <c r="AI294" s="1082" t="str">
        <f>IF($AD294,$AD294*TreatyCatch!CH524/SUM(TreatyCatch!$CD524:CF524,TreatyCatch!$CG524:$CH524),"")</f>
        <v/>
      </c>
      <c r="AJ294" s="1083" t="str">
        <f t="shared" si="141"/>
        <v/>
      </c>
      <c r="AK294" s="964"/>
      <c r="AL294" s="885"/>
      <c r="AM294" s="886"/>
      <c r="AN294" s="902"/>
      <c r="AO294" s="861"/>
      <c r="AP294" s="862"/>
      <c r="AQ294" s="841"/>
      <c r="AR294" s="766"/>
      <c r="AS294" s="854"/>
      <c r="AT294" s="855"/>
      <c r="AU294" s="847"/>
      <c r="AV294" s="895"/>
      <c r="AW294" s="896"/>
      <c r="AX294" s="879"/>
      <c r="AY294" s="766"/>
      <c r="AZ294" s="885"/>
      <c r="BA294" s="886"/>
      <c r="BB294" s="902"/>
      <c r="BC294" s="861"/>
      <c r="BD294" s="862"/>
      <c r="BE294" s="841"/>
      <c r="BF294" s="766"/>
      <c r="BG294" s="854"/>
      <c r="BH294" s="855"/>
      <c r="BI294" s="847"/>
      <c r="BJ294" s="895"/>
      <c r="BK294" s="896"/>
      <c r="BL294" s="879"/>
      <c r="BM294" s="766"/>
      <c r="BN294" s="885"/>
      <c r="BO294" s="886"/>
      <c r="BP294" s="902"/>
      <c r="BQ294" s="861"/>
      <c r="BR294" s="862"/>
      <c r="BS294" s="841"/>
      <c r="BT294" s="766"/>
      <c r="BU294" s="854"/>
      <c r="BV294" s="855"/>
      <c r="BW294" s="847"/>
      <c r="BX294" s="895"/>
      <c r="BY294" s="896"/>
      <c r="BZ294" s="879"/>
      <c r="CA294" s="766"/>
      <c r="CB294" s="885"/>
      <c r="CC294" s="886"/>
      <c r="CD294" s="902"/>
      <c r="CE294" s="861"/>
      <c r="CF294" s="862"/>
      <c r="CG294" s="841"/>
      <c r="CH294" s="766"/>
      <c r="CI294" s="854"/>
      <c r="CJ294" s="855"/>
      <c r="CK294" s="847"/>
      <c r="CL294" s="895"/>
      <c r="CM294" s="896"/>
      <c r="CN294" s="879"/>
    </row>
    <row r="298" spans="1:92" x14ac:dyDescent="0.25">
      <c r="A298" s="756" t="s">
        <v>171</v>
      </c>
      <c r="W298" s="899"/>
      <c r="X298" s="1084"/>
      <c r="Y298" s="1084"/>
      <c r="Z298" s="1084"/>
      <c r="AA298" s="1084"/>
      <c r="AB298" s="1084"/>
      <c r="AC298" s="1084"/>
    </row>
    <row r="299" spans="1:92" x14ac:dyDescent="0.25">
      <c r="B299" s="769">
        <v>2012</v>
      </c>
      <c r="C299" s="770"/>
      <c r="D299" s="770"/>
      <c r="E299" s="770"/>
      <c r="F299" s="770"/>
      <c r="G299" s="772"/>
      <c r="H299" s="770"/>
      <c r="I299" s="771">
        <v>2013</v>
      </c>
      <c r="J299" s="772"/>
      <c r="K299" s="767"/>
      <c r="L299" s="767"/>
      <c r="M299" s="767"/>
      <c r="N299" s="767"/>
      <c r="O299" s="768"/>
      <c r="P299" s="771">
        <v>2014</v>
      </c>
      <c r="Q299" s="772"/>
      <c r="R299" s="767"/>
      <c r="S299" s="767"/>
      <c r="T299" s="767"/>
      <c r="U299" s="767"/>
      <c r="V299" s="768"/>
      <c r="W299" s="1040">
        <v>2015</v>
      </c>
      <c r="X299" s="1042"/>
      <c r="Y299" s="1043"/>
      <c r="Z299" s="1043"/>
      <c r="AA299" s="1043"/>
      <c r="AB299" s="1043"/>
      <c r="AC299" s="1044"/>
      <c r="AD299" s="1040">
        <v>2016</v>
      </c>
      <c r="AE299" s="1042"/>
      <c r="AF299" s="1043"/>
      <c r="AG299" s="1043"/>
      <c r="AH299" s="1043"/>
      <c r="AI299" s="1043"/>
      <c r="AJ299" s="1044"/>
      <c r="AK299" s="1040">
        <v>2017</v>
      </c>
      <c r="AL299" s="1042"/>
      <c r="AM299" s="1043"/>
      <c r="AN299" s="1043"/>
      <c r="AO299" s="1043"/>
      <c r="AP299" s="1043"/>
      <c r="AQ299" s="1044"/>
      <c r="AR299" s="771" t="str">
        <f>AR241</f>
        <v>Total</v>
      </c>
      <c r="AS299" s="772"/>
      <c r="AT299" s="767"/>
      <c r="AU299" s="767"/>
      <c r="AV299" s="767"/>
      <c r="AW299" s="767"/>
      <c r="AX299" s="768"/>
      <c r="AY299" s="771" t="str">
        <f>AY241</f>
        <v>Total</v>
      </c>
      <c r="AZ299" s="772"/>
      <c r="BA299" s="767"/>
      <c r="BB299" s="767"/>
      <c r="BC299" s="767"/>
      <c r="BD299" s="767"/>
      <c r="BE299" s="768"/>
      <c r="BF299" s="771" t="str">
        <f>BF241</f>
        <v>Total</v>
      </c>
      <c r="BG299" s="772"/>
      <c r="BH299" s="767"/>
      <c r="BI299" s="767"/>
      <c r="BJ299" s="767"/>
      <c r="BK299" s="767"/>
      <c r="BL299" s="768"/>
      <c r="BM299" s="771" t="str">
        <f>BM241</f>
        <v>Total</v>
      </c>
      <c r="BN299" s="772"/>
      <c r="BO299" s="767"/>
      <c r="BP299" s="767"/>
      <c r="BQ299" s="767"/>
      <c r="BR299" s="767"/>
      <c r="BS299" s="768"/>
      <c r="BT299" s="771" t="str">
        <f>BT241</f>
        <v>Total</v>
      </c>
      <c r="BU299" s="772"/>
      <c r="BV299" s="767"/>
      <c r="BW299" s="767"/>
      <c r="BX299" s="767"/>
      <c r="BY299" s="767"/>
      <c r="BZ299" s="768"/>
      <c r="CA299" s="771" t="str">
        <f>CA241</f>
        <v>Total</v>
      </c>
      <c r="CB299" s="772"/>
      <c r="CC299" s="767"/>
      <c r="CD299" s="767"/>
      <c r="CE299" s="767"/>
      <c r="CF299" s="767"/>
      <c r="CG299" s="768"/>
      <c r="CH299" s="771" t="str">
        <f>CH241</f>
        <v>Total</v>
      </c>
      <c r="CI299" s="772"/>
      <c r="CJ299" s="767"/>
      <c r="CK299" s="767"/>
      <c r="CL299" s="767"/>
      <c r="CM299" s="767"/>
      <c r="CN299" s="768"/>
    </row>
    <row r="300" spans="1:92" x14ac:dyDescent="0.25">
      <c r="A300" s="759" t="s">
        <v>265</v>
      </c>
      <c r="B300" s="764" t="s">
        <v>171</v>
      </c>
      <c r="C300" s="761" t="s">
        <v>257</v>
      </c>
      <c r="D300" s="761" t="s">
        <v>172</v>
      </c>
      <c r="E300" s="760" t="s">
        <v>261</v>
      </c>
      <c r="F300" s="761" t="s">
        <v>259</v>
      </c>
      <c r="G300" s="762" t="s">
        <v>173</v>
      </c>
      <c r="H300" s="774" t="s">
        <v>262</v>
      </c>
      <c r="I300" s="764" t="s">
        <v>171</v>
      </c>
      <c r="J300" s="759" t="s">
        <v>257</v>
      </c>
      <c r="K300" s="761" t="s">
        <v>172</v>
      </c>
      <c r="L300" s="760" t="s">
        <v>261</v>
      </c>
      <c r="M300" s="761" t="s">
        <v>259</v>
      </c>
      <c r="N300" s="762" t="s">
        <v>173</v>
      </c>
      <c r="O300" s="774" t="s">
        <v>262</v>
      </c>
      <c r="P300" s="764" t="s">
        <v>171</v>
      </c>
      <c r="Q300" s="759" t="s">
        <v>257</v>
      </c>
      <c r="R300" s="761" t="s">
        <v>172</v>
      </c>
      <c r="S300" s="760" t="s">
        <v>261</v>
      </c>
      <c r="T300" s="761" t="s">
        <v>259</v>
      </c>
      <c r="U300" s="762" t="s">
        <v>173</v>
      </c>
      <c r="V300" s="774" t="s">
        <v>262</v>
      </c>
      <c r="W300" s="1041" t="s">
        <v>171</v>
      </c>
      <c r="X300" s="1045" t="s">
        <v>257</v>
      </c>
      <c r="Y300" s="1046" t="s">
        <v>172</v>
      </c>
      <c r="Z300" s="1047" t="s">
        <v>261</v>
      </c>
      <c r="AA300" s="1046" t="s">
        <v>259</v>
      </c>
      <c r="AB300" s="1048" t="s">
        <v>173</v>
      </c>
      <c r="AC300" s="1049" t="s">
        <v>262</v>
      </c>
      <c r="AD300" s="1041" t="s">
        <v>171</v>
      </c>
      <c r="AE300" s="1045" t="s">
        <v>257</v>
      </c>
      <c r="AF300" s="1046" t="s">
        <v>172</v>
      </c>
      <c r="AG300" s="1047" t="s">
        <v>261</v>
      </c>
      <c r="AH300" s="1046" t="s">
        <v>259</v>
      </c>
      <c r="AI300" s="1048" t="s">
        <v>173</v>
      </c>
      <c r="AJ300" s="1049" t="s">
        <v>262</v>
      </c>
      <c r="AK300" s="1041" t="s">
        <v>171</v>
      </c>
      <c r="AL300" s="1045" t="s">
        <v>257</v>
      </c>
      <c r="AM300" s="1046" t="s">
        <v>172</v>
      </c>
      <c r="AN300" s="1047" t="s">
        <v>261</v>
      </c>
      <c r="AO300" s="1046" t="s">
        <v>259</v>
      </c>
      <c r="AP300" s="1048" t="s">
        <v>173</v>
      </c>
      <c r="AQ300" s="1049" t="s">
        <v>262</v>
      </c>
      <c r="AR300" s="764" t="s">
        <v>171</v>
      </c>
      <c r="AS300" s="759" t="s">
        <v>257</v>
      </c>
      <c r="AT300" s="761" t="s">
        <v>172</v>
      </c>
      <c r="AU300" s="760" t="s">
        <v>261</v>
      </c>
      <c r="AV300" s="761" t="s">
        <v>259</v>
      </c>
      <c r="AW300" s="762" t="s">
        <v>173</v>
      </c>
      <c r="AX300" s="774" t="s">
        <v>262</v>
      </c>
      <c r="AY300" s="764" t="s">
        <v>171</v>
      </c>
      <c r="AZ300" s="759" t="s">
        <v>257</v>
      </c>
      <c r="BA300" s="761" t="s">
        <v>172</v>
      </c>
      <c r="BB300" s="760" t="s">
        <v>261</v>
      </c>
      <c r="BC300" s="761" t="s">
        <v>259</v>
      </c>
      <c r="BD300" s="762" t="s">
        <v>173</v>
      </c>
      <c r="BE300" s="774" t="s">
        <v>262</v>
      </c>
      <c r="BF300" s="764" t="s">
        <v>171</v>
      </c>
      <c r="BG300" s="759" t="s">
        <v>257</v>
      </c>
      <c r="BH300" s="761" t="s">
        <v>172</v>
      </c>
      <c r="BI300" s="760" t="s">
        <v>261</v>
      </c>
      <c r="BJ300" s="761" t="s">
        <v>259</v>
      </c>
      <c r="BK300" s="762" t="s">
        <v>173</v>
      </c>
      <c r="BL300" s="774" t="s">
        <v>262</v>
      </c>
      <c r="BM300" s="764" t="s">
        <v>171</v>
      </c>
      <c r="BN300" s="759" t="s">
        <v>257</v>
      </c>
      <c r="BO300" s="761" t="s">
        <v>172</v>
      </c>
      <c r="BP300" s="760" t="s">
        <v>261</v>
      </c>
      <c r="BQ300" s="761" t="s">
        <v>259</v>
      </c>
      <c r="BR300" s="762" t="s">
        <v>173</v>
      </c>
      <c r="BS300" s="774" t="s">
        <v>262</v>
      </c>
      <c r="BT300" s="764" t="s">
        <v>171</v>
      </c>
      <c r="BU300" s="759" t="s">
        <v>257</v>
      </c>
      <c r="BV300" s="761" t="s">
        <v>172</v>
      </c>
      <c r="BW300" s="760" t="s">
        <v>261</v>
      </c>
      <c r="BX300" s="761" t="s">
        <v>259</v>
      </c>
      <c r="BY300" s="762" t="s">
        <v>173</v>
      </c>
      <c r="BZ300" s="774" t="s">
        <v>262</v>
      </c>
      <c r="CA300" s="764" t="s">
        <v>171</v>
      </c>
      <c r="CB300" s="759" t="s">
        <v>257</v>
      </c>
      <c r="CC300" s="761" t="s">
        <v>172</v>
      </c>
      <c r="CD300" s="760" t="s">
        <v>261</v>
      </c>
      <c r="CE300" s="761" t="s">
        <v>259</v>
      </c>
      <c r="CF300" s="762" t="s">
        <v>173</v>
      </c>
      <c r="CG300" s="774" t="s">
        <v>262</v>
      </c>
      <c r="CH300" s="764" t="s">
        <v>171</v>
      </c>
      <c r="CI300" s="759" t="s">
        <v>257</v>
      </c>
      <c r="CJ300" s="761" t="s">
        <v>172</v>
      </c>
      <c r="CK300" s="760" t="s">
        <v>261</v>
      </c>
      <c r="CL300" s="761" t="s">
        <v>259</v>
      </c>
      <c r="CM300" s="762" t="s">
        <v>173</v>
      </c>
      <c r="CN300" s="774" t="s">
        <v>262</v>
      </c>
    </row>
    <row r="301" spans="1:92" x14ac:dyDescent="0.25">
      <c r="A301" s="763">
        <v>1</v>
      </c>
      <c r="B301" s="773">
        <f>SUM(B9,B68,B126,B184,B242)</f>
        <v>0</v>
      </c>
      <c r="C301" s="868">
        <f t="shared" ref="C301:AX301" si="149">SUM(C9,C68,C126,C184,C242)</f>
        <v>0</v>
      </c>
      <c r="D301" s="868">
        <f t="shared" si="149"/>
        <v>0</v>
      </c>
      <c r="E301" s="869">
        <f t="shared" si="149"/>
        <v>0</v>
      </c>
      <c r="F301" s="842">
        <f t="shared" si="149"/>
        <v>0</v>
      </c>
      <c r="G301" s="865">
        <f t="shared" si="149"/>
        <v>0</v>
      </c>
      <c r="H301" s="839">
        <f t="shared" si="149"/>
        <v>0</v>
      </c>
      <c r="I301" s="773">
        <f t="shared" si="149"/>
        <v>13</v>
      </c>
      <c r="J301" s="850">
        <f t="shared" si="149"/>
        <v>10.400000000000002</v>
      </c>
      <c r="K301" s="851">
        <f t="shared" si="149"/>
        <v>0</v>
      </c>
      <c r="L301" s="845">
        <f t="shared" si="149"/>
        <v>10.400000000000002</v>
      </c>
      <c r="M301" s="891">
        <f t="shared" si="149"/>
        <v>2.6000000000000005</v>
      </c>
      <c r="N301" s="892">
        <f t="shared" si="149"/>
        <v>0</v>
      </c>
      <c r="O301" s="875">
        <f t="shared" si="149"/>
        <v>2.6000000000000005</v>
      </c>
      <c r="P301" s="773">
        <f t="shared" si="149"/>
        <v>9</v>
      </c>
      <c r="Q301" s="880">
        <f t="shared" si="149"/>
        <v>6</v>
      </c>
      <c r="R301" s="881">
        <f t="shared" si="149"/>
        <v>0</v>
      </c>
      <c r="S301" s="869">
        <f t="shared" si="149"/>
        <v>6</v>
      </c>
      <c r="T301" s="863">
        <f t="shared" si="149"/>
        <v>3</v>
      </c>
      <c r="U301" s="864">
        <f t="shared" si="149"/>
        <v>0</v>
      </c>
      <c r="V301" s="839">
        <f t="shared" si="149"/>
        <v>3</v>
      </c>
      <c r="W301" s="969">
        <f t="shared" si="149"/>
        <v>0</v>
      </c>
      <c r="X301" s="850">
        <f t="shared" si="149"/>
        <v>0</v>
      </c>
      <c r="Y301" s="851">
        <f t="shared" si="149"/>
        <v>0</v>
      </c>
      <c r="Z301" s="845">
        <f t="shared" si="149"/>
        <v>0</v>
      </c>
      <c r="AA301" s="891">
        <f t="shared" si="149"/>
        <v>0</v>
      </c>
      <c r="AB301" s="892">
        <f t="shared" si="149"/>
        <v>0</v>
      </c>
      <c r="AC301" s="875">
        <f t="shared" si="149"/>
        <v>0</v>
      </c>
      <c r="AD301" s="969">
        <f t="shared" si="149"/>
        <v>0</v>
      </c>
      <c r="AE301" s="1050">
        <f t="shared" si="149"/>
        <v>0</v>
      </c>
      <c r="AF301" s="1051">
        <f t="shared" si="149"/>
        <v>0</v>
      </c>
      <c r="AG301" s="1052">
        <f t="shared" si="149"/>
        <v>0</v>
      </c>
      <c r="AH301" s="1053">
        <f t="shared" si="149"/>
        <v>0</v>
      </c>
      <c r="AI301" s="1053">
        <f t="shared" si="149"/>
        <v>0</v>
      </c>
      <c r="AJ301" s="1055">
        <f t="shared" si="149"/>
        <v>0</v>
      </c>
      <c r="AK301" s="969">
        <f t="shared" si="149"/>
        <v>0</v>
      </c>
      <c r="AL301" s="850">
        <f t="shared" si="149"/>
        <v>0</v>
      </c>
      <c r="AM301" s="851">
        <f t="shared" si="149"/>
        <v>0</v>
      </c>
      <c r="AN301" s="845">
        <f t="shared" si="149"/>
        <v>0</v>
      </c>
      <c r="AO301" s="891">
        <f t="shared" si="149"/>
        <v>0</v>
      </c>
      <c r="AP301" s="892">
        <f t="shared" si="149"/>
        <v>0</v>
      </c>
      <c r="AQ301" s="875">
        <f t="shared" si="149"/>
        <v>0</v>
      </c>
      <c r="AR301" s="773">
        <f t="shared" si="149"/>
        <v>0</v>
      </c>
      <c r="AS301" s="880">
        <f t="shared" si="149"/>
        <v>0</v>
      </c>
      <c r="AT301" s="881">
        <f t="shared" si="149"/>
        <v>0</v>
      </c>
      <c r="AU301" s="869">
        <f t="shared" si="149"/>
        <v>0</v>
      </c>
      <c r="AV301" s="863">
        <f t="shared" si="149"/>
        <v>0</v>
      </c>
      <c r="AW301" s="864">
        <f t="shared" si="149"/>
        <v>0</v>
      </c>
      <c r="AX301" s="839">
        <f t="shared" si="149"/>
        <v>0</v>
      </c>
      <c r="AY301" s="773">
        <f t="shared" ref="AY301:BE301" si="150">SUM(AY9,AY68,AY126,AY184,AY242)</f>
        <v>0</v>
      </c>
      <c r="AZ301" s="850">
        <f t="shared" si="150"/>
        <v>0</v>
      </c>
      <c r="BA301" s="851">
        <f t="shared" si="150"/>
        <v>0</v>
      </c>
      <c r="BB301" s="845">
        <f t="shared" si="150"/>
        <v>0</v>
      </c>
      <c r="BC301" s="891">
        <f t="shared" si="150"/>
        <v>0</v>
      </c>
      <c r="BD301" s="892">
        <f t="shared" si="150"/>
        <v>0</v>
      </c>
      <c r="BE301" s="875">
        <f t="shared" si="150"/>
        <v>0</v>
      </c>
      <c r="BF301" s="773">
        <f t="shared" ref="BF301:BL301" si="151">SUM(BF9,BF68,BF126,BF184,BF242)</f>
        <v>0</v>
      </c>
      <c r="BG301" s="880">
        <f t="shared" si="151"/>
        <v>0</v>
      </c>
      <c r="BH301" s="881">
        <f t="shared" si="151"/>
        <v>0</v>
      </c>
      <c r="BI301" s="869">
        <f t="shared" si="151"/>
        <v>0</v>
      </c>
      <c r="BJ301" s="863">
        <f t="shared" si="151"/>
        <v>0</v>
      </c>
      <c r="BK301" s="864">
        <f t="shared" si="151"/>
        <v>0</v>
      </c>
      <c r="BL301" s="839">
        <f t="shared" si="151"/>
        <v>0</v>
      </c>
      <c r="BM301" s="773">
        <f t="shared" ref="BM301:BS301" si="152">SUM(BM9,BM68,BM126,BM184,BM242)</f>
        <v>0</v>
      </c>
      <c r="BN301" s="850">
        <f t="shared" si="152"/>
        <v>0</v>
      </c>
      <c r="BO301" s="851">
        <f t="shared" si="152"/>
        <v>0</v>
      </c>
      <c r="BP301" s="845">
        <f t="shared" si="152"/>
        <v>0</v>
      </c>
      <c r="BQ301" s="891">
        <f t="shared" si="152"/>
        <v>0</v>
      </c>
      <c r="BR301" s="892">
        <f t="shared" si="152"/>
        <v>0</v>
      </c>
      <c r="BS301" s="875">
        <f t="shared" si="152"/>
        <v>0</v>
      </c>
      <c r="BT301" s="773">
        <f t="shared" ref="BT301:BZ301" si="153">SUM(BT9,BT68,BT126,BT184,BT242)</f>
        <v>0</v>
      </c>
      <c r="BU301" s="880">
        <f t="shared" si="153"/>
        <v>0</v>
      </c>
      <c r="BV301" s="881">
        <f t="shared" si="153"/>
        <v>0</v>
      </c>
      <c r="BW301" s="869">
        <f t="shared" si="153"/>
        <v>0</v>
      </c>
      <c r="BX301" s="863">
        <f t="shared" si="153"/>
        <v>0</v>
      </c>
      <c r="BY301" s="864">
        <f t="shared" si="153"/>
        <v>0</v>
      </c>
      <c r="BZ301" s="839">
        <f t="shared" si="153"/>
        <v>0</v>
      </c>
      <c r="CA301" s="773">
        <f t="shared" ref="CA301:CG301" si="154">SUM(CA9,CA68,CA126,CA184,CA242)</f>
        <v>0</v>
      </c>
      <c r="CB301" s="850">
        <f t="shared" si="154"/>
        <v>0</v>
      </c>
      <c r="CC301" s="851">
        <f t="shared" si="154"/>
        <v>0</v>
      </c>
      <c r="CD301" s="845">
        <f t="shared" si="154"/>
        <v>0</v>
      </c>
      <c r="CE301" s="891">
        <f t="shared" si="154"/>
        <v>0</v>
      </c>
      <c r="CF301" s="892">
        <f t="shared" si="154"/>
        <v>0</v>
      </c>
      <c r="CG301" s="875">
        <f t="shared" si="154"/>
        <v>0</v>
      </c>
      <c r="CH301" s="773">
        <f t="shared" ref="CH301:CN301" si="155">SUM(CH9,CH68,CH126,CH184,CH242)</f>
        <v>0</v>
      </c>
      <c r="CI301" s="880">
        <f t="shared" si="155"/>
        <v>0</v>
      </c>
      <c r="CJ301" s="881">
        <f t="shared" si="155"/>
        <v>0</v>
      </c>
      <c r="CK301" s="869">
        <f t="shared" si="155"/>
        <v>0</v>
      </c>
      <c r="CL301" s="863">
        <f t="shared" si="155"/>
        <v>0</v>
      </c>
      <c r="CM301" s="864">
        <f t="shared" si="155"/>
        <v>0</v>
      </c>
      <c r="CN301" s="839">
        <f t="shared" si="155"/>
        <v>0</v>
      </c>
    </row>
    <row r="302" spans="1:92" x14ac:dyDescent="0.25">
      <c r="A302" s="757">
        <v>2</v>
      </c>
      <c r="B302" s="765">
        <f t="shared" ref="B302:B353" si="156">SUM(B10,B69,B127,B185,B243)</f>
        <v>0</v>
      </c>
      <c r="C302" s="870">
        <f t="shared" ref="C302:AX302" si="157">SUM(C10,C69,C127,C185,C243)</f>
        <v>0</v>
      </c>
      <c r="D302" s="870">
        <f t="shared" si="157"/>
        <v>0</v>
      </c>
      <c r="E302" s="871">
        <f t="shared" si="157"/>
        <v>0</v>
      </c>
      <c r="F302" s="838">
        <f t="shared" si="157"/>
        <v>0</v>
      </c>
      <c r="G302" s="866">
        <f t="shared" si="157"/>
        <v>0</v>
      </c>
      <c r="H302" s="840">
        <f t="shared" si="157"/>
        <v>0</v>
      </c>
      <c r="I302" s="765">
        <f t="shared" si="157"/>
        <v>18</v>
      </c>
      <c r="J302" s="852">
        <f t="shared" si="157"/>
        <v>13.76470588235294</v>
      </c>
      <c r="K302" s="853">
        <f t="shared" si="157"/>
        <v>1.0588235294117647</v>
      </c>
      <c r="L302" s="846">
        <f t="shared" si="157"/>
        <v>13.856294117647058</v>
      </c>
      <c r="M302" s="893">
        <f t="shared" si="157"/>
        <v>3.1764705882352944</v>
      </c>
      <c r="N302" s="894">
        <f t="shared" si="157"/>
        <v>0</v>
      </c>
      <c r="O302" s="877">
        <f t="shared" si="157"/>
        <v>3.1764705882352944</v>
      </c>
      <c r="P302" s="765">
        <f t="shared" si="157"/>
        <v>2</v>
      </c>
      <c r="Q302" s="882">
        <f t="shared" si="157"/>
        <v>1.3333333333333333</v>
      </c>
      <c r="R302" s="883">
        <f t="shared" si="157"/>
        <v>0</v>
      </c>
      <c r="S302" s="871">
        <f t="shared" si="157"/>
        <v>1.3333333333333333</v>
      </c>
      <c r="T302" s="858">
        <f t="shared" si="157"/>
        <v>0.66666666666666663</v>
      </c>
      <c r="U302" s="859">
        <f t="shared" si="157"/>
        <v>0</v>
      </c>
      <c r="V302" s="840">
        <f t="shared" si="157"/>
        <v>0.66666666666666663</v>
      </c>
      <c r="W302" s="958">
        <f t="shared" si="157"/>
        <v>0</v>
      </c>
      <c r="X302" s="852">
        <f t="shared" si="157"/>
        <v>0</v>
      </c>
      <c r="Y302" s="853">
        <f t="shared" si="157"/>
        <v>0</v>
      </c>
      <c r="Z302" s="846">
        <f t="shared" si="157"/>
        <v>0</v>
      </c>
      <c r="AA302" s="893">
        <f t="shared" si="157"/>
        <v>0</v>
      </c>
      <c r="AB302" s="894">
        <f t="shared" si="157"/>
        <v>0</v>
      </c>
      <c r="AC302" s="877">
        <f t="shared" si="157"/>
        <v>0</v>
      </c>
      <c r="AD302" s="958">
        <f t="shared" si="157"/>
        <v>0</v>
      </c>
      <c r="AE302" s="1056">
        <f t="shared" si="157"/>
        <v>0</v>
      </c>
      <c r="AF302" s="1057">
        <f t="shared" si="157"/>
        <v>0</v>
      </c>
      <c r="AG302" s="1058">
        <f t="shared" si="157"/>
        <v>0</v>
      </c>
      <c r="AH302" s="1059">
        <f t="shared" si="157"/>
        <v>0</v>
      </c>
      <c r="AI302" s="1060">
        <f t="shared" si="157"/>
        <v>0</v>
      </c>
      <c r="AJ302" s="1061">
        <f t="shared" si="157"/>
        <v>0</v>
      </c>
      <c r="AK302" s="958">
        <f t="shared" si="157"/>
        <v>0</v>
      </c>
      <c r="AL302" s="852">
        <f t="shared" si="157"/>
        <v>0</v>
      </c>
      <c r="AM302" s="853">
        <f t="shared" si="157"/>
        <v>0</v>
      </c>
      <c r="AN302" s="846">
        <f t="shared" si="157"/>
        <v>0</v>
      </c>
      <c r="AO302" s="893">
        <f t="shared" si="157"/>
        <v>0</v>
      </c>
      <c r="AP302" s="894">
        <f t="shared" si="157"/>
        <v>0</v>
      </c>
      <c r="AQ302" s="877">
        <f t="shared" si="157"/>
        <v>0</v>
      </c>
      <c r="AR302" s="765">
        <f t="shared" si="157"/>
        <v>0</v>
      </c>
      <c r="AS302" s="882">
        <f t="shared" si="157"/>
        <v>0</v>
      </c>
      <c r="AT302" s="883">
        <f t="shared" si="157"/>
        <v>0</v>
      </c>
      <c r="AU302" s="871">
        <f t="shared" si="157"/>
        <v>0</v>
      </c>
      <c r="AV302" s="858">
        <f t="shared" si="157"/>
        <v>0</v>
      </c>
      <c r="AW302" s="859">
        <f t="shared" si="157"/>
        <v>0</v>
      </c>
      <c r="AX302" s="840">
        <f t="shared" si="157"/>
        <v>0</v>
      </c>
      <c r="AY302" s="765">
        <f t="shared" ref="AY302:BE302" si="158">SUM(AY10,AY69,AY127,AY185,AY243)</f>
        <v>0</v>
      </c>
      <c r="AZ302" s="852">
        <f t="shared" si="158"/>
        <v>0</v>
      </c>
      <c r="BA302" s="853">
        <f t="shared" si="158"/>
        <v>0</v>
      </c>
      <c r="BB302" s="846">
        <f t="shared" si="158"/>
        <v>0</v>
      </c>
      <c r="BC302" s="893">
        <f t="shared" si="158"/>
        <v>0</v>
      </c>
      <c r="BD302" s="894">
        <f t="shared" si="158"/>
        <v>0</v>
      </c>
      <c r="BE302" s="877">
        <f t="shared" si="158"/>
        <v>0</v>
      </c>
      <c r="BF302" s="765">
        <f t="shared" ref="BF302:BL302" si="159">SUM(BF10,BF69,BF127,BF185,BF243)</f>
        <v>0</v>
      </c>
      <c r="BG302" s="882">
        <f t="shared" si="159"/>
        <v>0</v>
      </c>
      <c r="BH302" s="883">
        <f t="shared" si="159"/>
        <v>0</v>
      </c>
      <c r="BI302" s="871">
        <f t="shared" si="159"/>
        <v>0</v>
      </c>
      <c r="BJ302" s="858">
        <f t="shared" si="159"/>
        <v>0</v>
      </c>
      <c r="BK302" s="859">
        <f t="shared" si="159"/>
        <v>0</v>
      </c>
      <c r="BL302" s="840">
        <f t="shared" si="159"/>
        <v>0</v>
      </c>
      <c r="BM302" s="765">
        <f t="shared" ref="BM302:BS302" si="160">SUM(BM10,BM69,BM127,BM185,BM243)</f>
        <v>0</v>
      </c>
      <c r="BN302" s="852">
        <f t="shared" si="160"/>
        <v>0</v>
      </c>
      <c r="BO302" s="853">
        <f t="shared" si="160"/>
        <v>0</v>
      </c>
      <c r="BP302" s="846">
        <f t="shared" si="160"/>
        <v>0</v>
      </c>
      <c r="BQ302" s="893">
        <f t="shared" si="160"/>
        <v>0</v>
      </c>
      <c r="BR302" s="894">
        <f t="shared" si="160"/>
        <v>0</v>
      </c>
      <c r="BS302" s="877">
        <f t="shared" si="160"/>
        <v>0</v>
      </c>
      <c r="BT302" s="765">
        <f t="shared" ref="BT302:BZ302" si="161">SUM(BT10,BT69,BT127,BT185,BT243)</f>
        <v>0</v>
      </c>
      <c r="BU302" s="882">
        <f t="shared" si="161"/>
        <v>0</v>
      </c>
      <c r="BV302" s="883">
        <f t="shared" si="161"/>
        <v>0</v>
      </c>
      <c r="BW302" s="871">
        <f t="shared" si="161"/>
        <v>0</v>
      </c>
      <c r="BX302" s="858">
        <f t="shared" si="161"/>
        <v>0</v>
      </c>
      <c r="BY302" s="859">
        <f t="shared" si="161"/>
        <v>0</v>
      </c>
      <c r="BZ302" s="840">
        <f t="shared" si="161"/>
        <v>0</v>
      </c>
      <c r="CA302" s="765">
        <f t="shared" ref="CA302:CG302" si="162">SUM(CA10,CA69,CA127,CA185,CA243)</f>
        <v>0</v>
      </c>
      <c r="CB302" s="852">
        <f t="shared" si="162"/>
        <v>0</v>
      </c>
      <c r="CC302" s="853">
        <f t="shared" si="162"/>
        <v>0</v>
      </c>
      <c r="CD302" s="846">
        <f t="shared" si="162"/>
        <v>0</v>
      </c>
      <c r="CE302" s="893">
        <f t="shared" si="162"/>
        <v>0</v>
      </c>
      <c r="CF302" s="894">
        <f t="shared" si="162"/>
        <v>0</v>
      </c>
      <c r="CG302" s="877">
        <f t="shared" si="162"/>
        <v>0</v>
      </c>
      <c r="CH302" s="765">
        <f t="shared" ref="CH302:CN302" si="163">SUM(CH10,CH69,CH127,CH185,CH243)</f>
        <v>0</v>
      </c>
      <c r="CI302" s="882">
        <f t="shared" si="163"/>
        <v>0</v>
      </c>
      <c r="CJ302" s="883">
        <f t="shared" si="163"/>
        <v>0</v>
      </c>
      <c r="CK302" s="871">
        <f t="shared" si="163"/>
        <v>0</v>
      </c>
      <c r="CL302" s="858">
        <f t="shared" si="163"/>
        <v>0</v>
      </c>
      <c r="CM302" s="859">
        <f t="shared" si="163"/>
        <v>0</v>
      </c>
      <c r="CN302" s="840">
        <f t="shared" si="163"/>
        <v>0</v>
      </c>
    </row>
    <row r="303" spans="1:92" x14ac:dyDescent="0.25">
      <c r="A303" s="757">
        <v>3</v>
      </c>
      <c r="B303" s="765">
        <f t="shared" si="156"/>
        <v>0</v>
      </c>
      <c r="C303" s="870">
        <f t="shared" ref="C303:AX303" si="164">SUM(C11,C70,C128,C186,C244)</f>
        <v>0</v>
      </c>
      <c r="D303" s="870">
        <f t="shared" si="164"/>
        <v>0</v>
      </c>
      <c r="E303" s="871">
        <f t="shared" si="164"/>
        <v>0</v>
      </c>
      <c r="F303" s="838">
        <f t="shared" si="164"/>
        <v>0</v>
      </c>
      <c r="G303" s="866">
        <f t="shared" si="164"/>
        <v>0</v>
      </c>
      <c r="H303" s="840">
        <f t="shared" si="164"/>
        <v>0</v>
      </c>
      <c r="I303" s="765">
        <f t="shared" si="164"/>
        <v>89</v>
      </c>
      <c r="J303" s="852">
        <f t="shared" si="164"/>
        <v>33.758620689655167</v>
      </c>
      <c r="K303" s="853">
        <f t="shared" si="164"/>
        <v>2.0459770114942528</v>
      </c>
      <c r="L303" s="846">
        <f t="shared" si="164"/>
        <v>33.935597701149419</v>
      </c>
      <c r="M303" s="893">
        <f t="shared" si="164"/>
        <v>53.195402298850574</v>
      </c>
      <c r="N303" s="894">
        <f t="shared" si="164"/>
        <v>0</v>
      </c>
      <c r="O303" s="877">
        <f t="shared" si="164"/>
        <v>53.195402298850574</v>
      </c>
      <c r="P303" s="765">
        <f t="shared" si="164"/>
        <v>0</v>
      </c>
      <c r="Q303" s="882">
        <f t="shared" si="164"/>
        <v>0</v>
      </c>
      <c r="R303" s="883">
        <f t="shared" si="164"/>
        <v>0</v>
      </c>
      <c r="S303" s="871">
        <f t="shared" si="164"/>
        <v>0</v>
      </c>
      <c r="T303" s="858">
        <f t="shared" si="164"/>
        <v>0</v>
      </c>
      <c r="U303" s="859">
        <f t="shared" si="164"/>
        <v>0</v>
      </c>
      <c r="V303" s="840">
        <f t="shared" si="164"/>
        <v>0</v>
      </c>
      <c r="W303" s="958">
        <f t="shared" si="164"/>
        <v>36</v>
      </c>
      <c r="X303" s="852">
        <f t="shared" si="164"/>
        <v>18</v>
      </c>
      <c r="Y303" s="853">
        <f t="shared" si="164"/>
        <v>4</v>
      </c>
      <c r="Z303" s="846">
        <f t="shared" si="164"/>
        <v>18.347200000000001</v>
      </c>
      <c r="AA303" s="893">
        <f t="shared" si="164"/>
        <v>14</v>
      </c>
      <c r="AB303" s="894">
        <f t="shared" si="164"/>
        <v>0</v>
      </c>
      <c r="AC303" s="877">
        <f t="shared" si="164"/>
        <v>14</v>
      </c>
      <c r="AD303" s="958">
        <f t="shared" si="164"/>
        <v>0</v>
      </c>
      <c r="AE303" s="1056">
        <f t="shared" si="164"/>
        <v>0</v>
      </c>
      <c r="AF303" s="1057">
        <f t="shared" si="164"/>
        <v>0</v>
      </c>
      <c r="AG303" s="1058">
        <f t="shared" si="164"/>
        <v>0</v>
      </c>
      <c r="AH303" s="1059">
        <f t="shared" si="164"/>
        <v>0</v>
      </c>
      <c r="AI303" s="1060">
        <f t="shared" si="164"/>
        <v>0</v>
      </c>
      <c r="AJ303" s="1061">
        <f t="shared" si="164"/>
        <v>0</v>
      </c>
      <c r="AK303" s="958">
        <f t="shared" si="164"/>
        <v>0</v>
      </c>
      <c r="AL303" s="852">
        <f t="shared" si="164"/>
        <v>0</v>
      </c>
      <c r="AM303" s="853">
        <f t="shared" si="164"/>
        <v>0</v>
      </c>
      <c r="AN303" s="846">
        <f t="shared" si="164"/>
        <v>0</v>
      </c>
      <c r="AO303" s="893">
        <f t="shared" si="164"/>
        <v>0</v>
      </c>
      <c r="AP303" s="894">
        <f t="shared" si="164"/>
        <v>0</v>
      </c>
      <c r="AQ303" s="877">
        <f t="shared" si="164"/>
        <v>0</v>
      </c>
      <c r="AR303" s="765">
        <f t="shared" si="164"/>
        <v>0</v>
      </c>
      <c r="AS303" s="882">
        <f t="shared" si="164"/>
        <v>0</v>
      </c>
      <c r="AT303" s="883">
        <f t="shared" si="164"/>
        <v>0</v>
      </c>
      <c r="AU303" s="871">
        <f t="shared" si="164"/>
        <v>0</v>
      </c>
      <c r="AV303" s="858">
        <f t="shared" si="164"/>
        <v>0</v>
      </c>
      <c r="AW303" s="859">
        <f t="shared" si="164"/>
        <v>0</v>
      </c>
      <c r="AX303" s="840">
        <f t="shared" si="164"/>
        <v>0</v>
      </c>
      <c r="AY303" s="765">
        <f t="shared" ref="AY303:BE303" si="165">SUM(AY11,AY70,AY128,AY186,AY244)</f>
        <v>0</v>
      </c>
      <c r="AZ303" s="852">
        <f t="shared" si="165"/>
        <v>0</v>
      </c>
      <c r="BA303" s="853">
        <f t="shared" si="165"/>
        <v>0</v>
      </c>
      <c r="BB303" s="846">
        <f t="shared" si="165"/>
        <v>0</v>
      </c>
      <c r="BC303" s="893">
        <f t="shared" si="165"/>
        <v>0</v>
      </c>
      <c r="BD303" s="894">
        <f t="shared" si="165"/>
        <v>0</v>
      </c>
      <c r="BE303" s="877">
        <f t="shared" si="165"/>
        <v>0</v>
      </c>
      <c r="BF303" s="765">
        <f t="shared" ref="BF303:BL303" si="166">SUM(BF11,BF70,BF128,BF186,BF244)</f>
        <v>0</v>
      </c>
      <c r="BG303" s="882">
        <f t="shared" si="166"/>
        <v>0</v>
      </c>
      <c r="BH303" s="883">
        <f t="shared" si="166"/>
        <v>0</v>
      </c>
      <c r="BI303" s="871">
        <f t="shared" si="166"/>
        <v>0</v>
      </c>
      <c r="BJ303" s="858">
        <f t="shared" si="166"/>
        <v>0</v>
      </c>
      <c r="BK303" s="859">
        <f t="shared" si="166"/>
        <v>0</v>
      </c>
      <c r="BL303" s="840">
        <f t="shared" si="166"/>
        <v>0</v>
      </c>
      <c r="BM303" s="765">
        <f t="shared" ref="BM303:BS303" si="167">SUM(BM11,BM70,BM128,BM186,BM244)</f>
        <v>0</v>
      </c>
      <c r="BN303" s="852">
        <f t="shared" si="167"/>
        <v>0</v>
      </c>
      <c r="BO303" s="853">
        <f t="shared" si="167"/>
        <v>0</v>
      </c>
      <c r="BP303" s="846">
        <f t="shared" si="167"/>
        <v>0</v>
      </c>
      <c r="BQ303" s="893">
        <f t="shared" si="167"/>
        <v>0</v>
      </c>
      <c r="BR303" s="894">
        <f t="shared" si="167"/>
        <v>0</v>
      </c>
      <c r="BS303" s="877">
        <f t="shared" si="167"/>
        <v>0</v>
      </c>
      <c r="BT303" s="765">
        <f t="shared" ref="BT303:BZ303" si="168">SUM(BT11,BT70,BT128,BT186,BT244)</f>
        <v>0</v>
      </c>
      <c r="BU303" s="882">
        <f t="shared" si="168"/>
        <v>0</v>
      </c>
      <c r="BV303" s="883">
        <f t="shared" si="168"/>
        <v>0</v>
      </c>
      <c r="BW303" s="871">
        <f t="shared" si="168"/>
        <v>0</v>
      </c>
      <c r="BX303" s="858">
        <f t="shared" si="168"/>
        <v>0</v>
      </c>
      <c r="BY303" s="859">
        <f t="shared" si="168"/>
        <v>0</v>
      </c>
      <c r="BZ303" s="840">
        <f t="shared" si="168"/>
        <v>0</v>
      </c>
      <c r="CA303" s="765">
        <f t="shared" ref="CA303:CG303" si="169">SUM(CA11,CA70,CA128,CA186,CA244)</f>
        <v>0</v>
      </c>
      <c r="CB303" s="852">
        <f t="shared" si="169"/>
        <v>0</v>
      </c>
      <c r="CC303" s="853">
        <f t="shared" si="169"/>
        <v>0</v>
      </c>
      <c r="CD303" s="846">
        <f t="shared" si="169"/>
        <v>0</v>
      </c>
      <c r="CE303" s="893">
        <f t="shared" si="169"/>
        <v>0</v>
      </c>
      <c r="CF303" s="894">
        <f t="shared" si="169"/>
        <v>0</v>
      </c>
      <c r="CG303" s="877">
        <f t="shared" si="169"/>
        <v>0</v>
      </c>
      <c r="CH303" s="765">
        <f t="shared" ref="CH303:CN303" si="170">SUM(CH11,CH70,CH128,CH186,CH244)</f>
        <v>0</v>
      </c>
      <c r="CI303" s="882">
        <f t="shared" si="170"/>
        <v>0</v>
      </c>
      <c r="CJ303" s="883">
        <f t="shared" si="170"/>
        <v>0</v>
      </c>
      <c r="CK303" s="871">
        <f t="shared" si="170"/>
        <v>0</v>
      </c>
      <c r="CL303" s="858">
        <f t="shared" si="170"/>
        <v>0</v>
      </c>
      <c r="CM303" s="859">
        <f t="shared" si="170"/>
        <v>0</v>
      </c>
      <c r="CN303" s="840">
        <f t="shared" si="170"/>
        <v>0</v>
      </c>
    </row>
    <row r="304" spans="1:92" x14ac:dyDescent="0.25">
      <c r="A304" s="757">
        <v>4</v>
      </c>
      <c r="B304" s="765">
        <f t="shared" si="156"/>
        <v>0</v>
      </c>
      <c r="C304" s="870">
        <f t="shared" ref="C304:AX304" si="171">SUM(C12,C71,C129,C187,C245)</f>
        <v>0</v>
      </c>
      <c r="D304" s="870">
        <f t="shared" si="171"/>
        <v>0</v>
      </c>
      <c r="E304" s="871">
        <f t="shared" si="171"/>
        <v>0</v>
      </c>
      <c r="F304" s="838">
        <f t="shared" si="171"/>
        <v>0</v>
      </c>
      <c r="G304" s="866">
        <f t="shared" si="171"/>
        <v>0</v>
      </c>
      <c r="H304" s="840">
        <f t="shared" si="171"/>
        <v>0</v>
      </c>
      <c r="I304" s="765">
        <f t="shared" si="171"/>
        <v>0</v>
      </c>
      <c r="J304" s="852">
        <f t="shared" si="171"/>
        <v>0</v>
      </c>
      <c r="K304" s="853">
        <f t="shared" si="171"/>
        <v>0</v>
      </c>
      <c r="L304" s="846">
        <f t="shared" si="171"/>
        <v>0</v>
      </c>
      <c r="M304" s="893">
        <f t="shared" si="171"/>
        <v>0</v>
      </c>
      <c r="N304" s="894">
        <f t="shared" si="171"/>
        <v>0</v>
      </c>
      <c r="O304" s="877">
        <f t="shared" si="171"/>
        <v>0</v>
      </c>
      <c r="P304" s="765">
        <f t="shared" si="171"/>
        <v>36</v>
      </c>
      <c r="Q304" s="882">
        <f t="shared" si="171"/>
        <v>11</v>
      </c>
      <c r="R304" s="883">
        <f t="shared" si="171"/>
        <v>5</v>
      </c>
      <c r="S304" s="871">
        <f t="shared" si="171"/>
        <v>11.44</v>
      </c>
      <c r="T304" s="858">
        <f t="shared" si="171"/>
        <v>19</v>
      </c>
      <c r="U304" s="859">
        <f t="shared" si="171"/>
        <v>1</v>
      </c>
      <c r="V304" s="840">
        <f t="shared" si="171"/>
        <v>19.088000000000001</v>
      </c>
      <c r="W304" s="958">
        <f t="shared" si="171"/>
        <v>21</v>
      </c>
      <c r="X304" s="852">
        <f t="shared" si="171"/>
        <v>13.588235294117649</v>
      </c>
      <c r="Y304" s="853">
        <f t="shared" si="171"/>
        <v>0</v>
      </c>
      <c r="Z304" s="846">
        <f t="shared" si="171"/>
        <v>13.588235294117649</v>
      </c>
      <c r="AA304" s="893">
        <f t="shared" si="171"/>
        <v>7.4117647058823533</v>
      </c>
      <c r="AB304" s="894">
        <f t="shared" si="171"/>
        <v>0</v>
      </c>
      <c r="AC304" s="877">
        <f t="shared" si="171"/>
        <v>7.4117647058823533</v>
      </c>
      <c r="AD304" s="958">
        <f t="shared" si="171"/>
        <v>0</v>
      </c>
      <c r="AE304" s="1056">
        <f t="shared" si="171"/>
        <v>0</v>
      </c>
      <c r="AF304" s="1057">
        <f t="shared" si="171"/>
        <v>0</v>
      </c>
      <c r="AG304" s="1058">
        <f t="shared" si="171"/>
        <v>0</v>
      </c>
      <c r="AH304" s="1059">
        <f t="shared" si="171"/>
        <v>0</v>
      </c>
      <c r="AI304" s="1060">
        <f t="shared" si="171"/>
        <v>0</v>
      </c>
      <c r="AJ304" s="1061">
        <f t="shared" si="171"/>
        <v>0</v>
      </c>
      <c r="AK304" s="958">
        <f t="shared" si="171"/>
        <v>0</v>
      </c>
      <c r="AL304" s="852">
        <f t="shared" si="171"/>
        <v>0</v>
      </c>
      <c r="AM304" s="853">
        <f t="shared" si="171"/>
        <v>0</v>
      </c>
      <c r="AN304" s="846">
        <f t="shared" si="171"/>
        <v>0</v>
      </c>
      <c r="AO304" s="893">
        <f t="shared" si="171"/>
        <v>0</v>
      </c>
      <c r="AP304" s="894">
        <f t="shared" si="171"/>
        <v>0</v>
      </c>
      <c r="AQ304" s="877">
        <f t="shared" si="171"/>
        <v>0</v>
      </c>
      <c r="AR304" s="765">
        <f t="shared" si="171"/>
        <v>0</v>
      </c>
      <c r="AS304" s="882">
        <f t="shared" si="171"/>
        <v>0</v>
      </c>
      <c r="AT304" s="883">
        <f t="shared" si="171"/>
        <v>0</v>
      </c>
      <c r="AU304" s="871">
        <f t="shared" si="171"/>
        <v>0</v>
      </c>
      <c r="AV304" s="858">
        <f t="shared" si="171"/>
        <v>0</v>
      </c>
      <c r="AW304" s="859">
        <f t="shared" si="171"/>
        <v>0</v>
      </c>
      <c r="AX304" s="840">
        <f t="shared" si="171"/>
        <v>0</v>
      </c>
      <c r="AY304" s="765">
        <f t="shared" ref="AY304:BE304" si="172">SUM(AY12,AY71,AY129,AY187,AY245)</f>
        <v>0</v>
      </c>
      <c r="AZ304" s="852">
        <f t="shared" si="172"/>
        <v>0</v>
      </c>
      <c r="BA304" s="853">
        <f t="shared" si="172"/>
        <v>0</v>
      </c>
      <c r="BB304" s="846">
        <f t="shared" si="172"/>
        <v>0</v>
      </c>
      <c r="BC304" s="893">
        <f t="shared" si="172"/>
        <v>0</v>
      </c>
      <c r="BD304" s="894">
        <f t="shared" si="172"/>
        <v>0</v>
      </c>
      <c r="BE304" s="877">
        <f t="shared" si="172"/>
        <v>0</v>
      </c>
      <c r="BF304" s="765">
        <f t="shared" ref="BF304:BL304" si="173">SUM(BF12,BF71,BF129,BF187,BF245)</f>
        <v>0</v>
      </c>
      <c r="BG304" s="882">
        <f t="shared" si="173"/>
        <v>0</v>
      </c>
      <c r="BH304" s="883">
        <f t="shared" si="173"/>
        <v>0</v>
      </c>
      <c r="BI304" s="871">
        <f t="shared" si="173"/>
        <v>0</v>
      </c>
      <c r="BJ304" s="858">
        <f t="shared" si="173"/>
        <v>0</v>
      </c>
      <c r="BK304" s="859">
        <f t="shared" si="173"/>
        <v>0</v>
      </c>
      <c r="BL304" s="840">
        <f t="shared" si="173"/>
        <v>0</v>
      </c>
      <c r="BM304" s="765">
        <f t="shared" ref="BM304:BS304" si="174">SUM(BM12,BM71,BM129,BM187,BM245)</f>
        <v>0</v>
      </c>
      <c r="BN304" s="852">
        <f t="shared" si="174"/>
        <v>0</v>
      </c>
      <c r="BO304" s="853">
        <f t="shared" si="174"/>
        <v>0</v>
      </c>
      <c r="BP304" s="846">
        <f t="shared" si="174"/>
        <v>0</v>
      </c>
      <c r="BQ304" s="893">
        <f t="shared" si="174"/>
        <v>0</v>
      </c>
      <c r="BR304" s="894">
        <f t="shared" si="174"/>
        <v>0</v>
      </c>
      <c r="BS304" s="877">
        <f t="shared" si="174"/>
        <v>0</v>
      </c>
      <c r="BT304" s="765">
        <f t="shared" ref="BT304:BZ304" si="175">SUM(BT12,BT71,BT129,BT187,BT245)</f>
        <v>0</v>
      </c>
      <c r="BU304" s="882">
        <f t="shared" si="175"/>
        <v>0</v>
      </c>
      <c r="BV304" s="883">
        <f t="shared" si="175"/>
        <v>0</v>
      </c>
      <c r="BW304" s="871">
        <f t="shared" si="175"/>
        <v>0</v>
      </c>
      <c r="BX304" s="858">
        <f t="shared" si="175"/>
        <v>0</v>
      </c>
      <c r="BY304" s="859">
        <f t="shared" si="175"/>
        <v>0</v>
      </c>
      <c r="BZ304" s="840">
        <f t="shared" si="175"/>
        <v>0</v>
      </c>
      <c r="CA304" s="765">
        <f t="shared" ref="CA304:CG304" si="176">SUM(CA12,CA71,CA129,CA187,CA245)</f>
        <v>0</v>
      </c>
      <c r="CB304" s="852">
        <f t="shared" si="176"/>
        <v>0</v>
      </c>
      <c r="CC304" s="853">
        <f t="shared" si="176"/>
        <v>0</v>
      </c>
      <c r="CD304" s="846">
        <f t="shared" si="176"/>
        <v>0</v>
      </c>
      <c r="CE304" s="893">
        <f t="shared" si="176"/>
        <v>0</v>
      </c>
      <c r="CF304" s="894">
        <f t="shared" si="176"/>
        <v>0</v>
      </c>
      <c r="CG304" s="877">
        <f t="shared" si="176"/>
        <v>0</v>
      </c>
      <c r="CH304" s="765">
        <f t="shared" ref="CH304:CN304" si="177">SUM(CH12,CH71,CH129,CH187,CH245)</f>
        <v>0</v>
      </c>
      <c r="CI304" s="882">
        <f t="shared" si="177"/>
        <v>0</v>
      </c>
      <c r="CJ304" s="883">
        <f t="shared" si="177"/>
        <v>0</v>
      </c>
      <c r="CK304" s="871">
        <f t="shared" si="177"/>
        <v>0</v>
      </c>
      <c r="CL304" s="858">
        <f t="shared" si="177"/>
        <v>0</v>
      </c>
      <c r="CM304" s="859">
        <f t="shared" si="177"/>
        <v>0</v>
      </c>
      <c r="CN304" s="840">
        <f t="shared" si="177"/>
        <v>0</v>
      </c>
    </row>
    <row r="305" spans="1:92" x14ac:dyDescent="0.25">
      <c r="A305" s="757">
        <v>5</v>
      </c>
      <c r="B305" s="765">
        <f t="shared" si="156"/>
        <v>0</v>
      </c>
      <c r="C305" s="870">
        <f t="shared" ref="C305:AX305" si="178">SUM(C13,C72,C130,C188,C246)</f>
        <v>0</v>
      </c>
      <c r="D305" s="870">
        <f t="shared" si="178"/>
        <v>0</v>
      </c>
      <c r="E305" s="871">
        <f t="shared" si="178"/>
        <v>0</v>
      </c>
      <c r="F305" s="838">
        <f t="shared" si="178"/>
        <v>0</v>
      </c>
      <c r="G305" s="866">
        <f t="shared" si="178"/>
        <v>0</v>
      </c>
      <c r="H305" s="840">
        <f t="shared" si="178"/>
        <v>0</v>
      </c>
      <c r="I305" s="765">
        <f t="shared" si="178"/>
        <v>0</v>
      </c>
      <c r="J305" s="852">
        <f t="shared" si="178"/>
        <v>0</v>
      </c>
      <c r="K305" s="853">
        <f t="shared" si="178"/>
        <v>0</v>
      </c>
      <c r="L305" s="846">
        <f t="shared" si="178"/>
        <v>0</v>
      </c>
      <c r="M305" s="893">
        <f t="shared" si="178"/>
        <v>0</v>
      </c>
      <c r="N305" s="894">
        <f t="shared" si="178"/>
        <v>0</v>
      </c>
      <c r="O305" s="877">
        <f t="shared" si="178"/>
        <v>0</v>
      </c>
      <c r="P305" s="765">
        <f t="shared" si="178"/>
        <v>12</v>
      </c>
      <c r="Q305" s="882">
        <f t="shared" si="178"/>
        <v>2</v>
      </c>
      <c r="R305" s="883">
        <f t="shared" si="178"/>
        <v>0</v>
      </c>
      <c r="S305" s="871">
        <f t="shared" si="178"/>
        <v>2</v>
      </c>
      <c r="T305" s="858">
        <f t="shared" si="178"/>
        <v>10</v>
      </c>
      <c r="U305" s="859">
        <f t="shared" si="178"/>
        <v>0</v>
      </c>
      <c r="V305" s="840">
        <f t="shared" si="178"/>
        <v>10</v>
      </c>
      <c r="W305" s="958">
        <f t="shared" si="178"/>
        <v>9</v>
      </c>
      <c r="X305" s="852">
        <f t="shared" si="178"/>
        <v>2.5714285714285712</v>
      </c>
      <c r="Y305" s="853">
        <f t="shared" si="178"/>
        <v>0</v>
      </c>
      <c r="Z305" s="846">
        <f t="shared" si="178"/>
        <v>2.5714285714285712</v>
      </c>
      <c r="AA305" s="893">
        <f t="shared" si="178"/>
        <v>5.1428571428571423</v>
      </c>
      <c r="AB305" s="894">
        <f t="shared" si="178"/>
        <v>1.2857142857142856</v>
      </c>
      <c r="AC305" s="877">
        <f t="shared" si="178"/>
        <v>5.2544571428571425</v>
      </c>
      <c r="AD305" s="958">
        <f t="shared" si="178"/>
        <v>0</v>
      </c>
      <c r="AE305" s="1056">
        <f t="shared" si="178"/>
        <v>0</v>
      </c>
      <c r="AF305" s="1057">
        <f t="shared" si="178"/>
        <v>0</v>
      </c>
      <c r="AG305" s="1058">
        <f t="shared" si="178"/>
        <v>0</v>
      </c>
      <c r="AH305" s="1059">
        <f t="shared" si="178"/>
        <v>0</v>
      </c>
      <c r="AI305" s="1060">
        <f t="shared" si="178"/>
        <v>0</v>
      </c>
      <c r="AJ305" s="1061">
        <f t="shared" si="178"/>
        <v>0</v>
      </c>
      <c r="AK305" s="958">
        <f t="shared" si="178"/>
        <v>0</v>
      </c>
      <c r="AL305" s="852">
        <f t="shared" si="178"/>
        <v>0</v>
      </c>
      <c r="AM305" s="853">
        <f t="shared" si="178"/>
        <v>0</v>
      </c>
      <c r="AN305" s="846">
        <f t="shared" si="178"/>
        <v>0</v>
      </c>
      <c r="AO305" s="893">
        <f t="shared" si="178"/>
        <v>0</v>
      </c>
      <c r="AP305" s="894">
        <f t="shared" si="178"/>
        <v>0</v>
      </c>
      <c r="AQ305" s="877">
        <f t="shared" si="178"/>
        <v>0</v>
      </c>
      <c r="AR305" s="765">
        <f t="shared" si="178"/>
        <v>0</v>
      </c>
      <c r="AS305" s="882">
        <f t="shared" si="178"/>
        <v>0</v>
      </c>
      <c r="AT305" s="883">
        <f t="shared" si="178"/>
        <v>0</v>
      </c>
      <c r="AU305" s="871">
        <f t="shared" si="178"/>
        <v>0</v>
      </c>
      <c r="AV305" s="858">
        <f t="shared" si="178"/>
        <v>0</v>
      </c>
      <c r="AW305" s="859">
        <f t="shared" si="178"/>
        <v>0</v>
      </c>
      <c r="AX305" s="840">
        <f t="shared" si="178"/>
        <v>0</v>
      </c>
      <c r="AY305" s="765">
        <f t="shared" ref="AY305:BE305" si="179">SUM(AY13,AY72,AY130,AY188,AY246)</f>
        <v>0</v>
      </c>
      <c r="AZ305" s="852">
        <f t="shared" si="179"/>
        <v>0</v>
      </c>
      <c r="BA305" s="853">
        <f t="shared" si="179"/>
        <v>0</v>
      </c>
      <c r="BB305" s="846">
        <f t="shared" si="179"/>
        <v>0</v>
      </c>
      <c r="BC305" s="893">
        <f t="shared" si="179"/>
        <v>0</v>
      </c>
      <c r="BD305" s="894">
        <f t="shared" si="179"/>
        <v>0</v>
      </c>
      <c r="BE305" s="877">
        <f t="shared" si="179"/>
        <v>0</v>
      </c>
      <c r="BF305" s="765">
        <f t="shared" ref="BF305:BL305" si="180">SUM(BF13,BF72,BF130,BF188,BF246)</f>
        <v>0</v>
      </c>
      <c r="BG305" s="882">
        <f t="shared" si="180"/>
        <v>0</v>
      </c>
      <c r="BH305" s="883">
        <f t="shared" si="180"/>
        <v>0</v>
      </c>
      <c r="BI305" s="871">
        <f t="shared" si="180"/>
        <v>0</v>
      </c>
      <c r="BJ305" s="858">
        <f t="shared" si="180"/>
        <v>0</v>
      </c>
      <c r="BK305" s="859">
        <f t="shared" si="180"/>
        <v>0</v>
      </c>
      <c r="BL305" s="840">
        <f t="shared" si="180"/>
        <v>0</v>
      </c>
      <c r="BM305" s="765">
        <f t="shared" ref="BM305:BS305" si="181">SUM(BM13,BM72,BM130,BM188,BM246)</f>
        <v>0</v>
      </c>
      <c r="BN305" s="852">
        <f t="shared" si="181"/>
        <v>0</v>
      </c>
      <c r="BO305" s="853">
        <f t="shared" si="181"/>
        <v>0</v>
      </c>
      <c r="BP305" s="846">
        <f t="shared" si="181"/>
        <v>0</v>
      </c>
      <c r="BQ305" s="893">
        <f t="shared" si="181"/>
        <v>0</v>
      </c>
      <c r="BR305" s="894">
        <f t="shared" si="181"/>
        <v>0</v>
      </c>
      <c r="BS305" s="877">
        <f t="shared" si="181"/>
        <v>0</v>
      </c>
      <c r="BT305" s="765">
        <f t="shared" ref="BT305:BZ305" si="182">SUM(BT13,BT72,BT130,BT188,BT246)</f>
        <v>0</v>
      </c>
      <c r="BU305" s="882">
        <f t="shared" si="182"/>
        <v>0</v>
      </c>
      <c r="BV305" s="883">
        <f t="shared" si="182"/>
        <v>0</v>
      </c>
      <c r="BW305" s="871">
        <f t="shared" si="182"/>
        <v>0</v>
      </c>
      <c r="BX305" s="858">
        <f t="shared" si="182"/>
        <v>0</v>
      </c>
      <c r="BY305" s="859">
        <f t="shared" si="182"/>
        <v>0</v>
      </c>
      <c r="BZ305" s="840">
        <f t="shared" si="182"/>
        <v>0</v>
      </c>
      <c r="CA305" s="765">
        <f t="shared" ref="CA305:CG305" si="183">SUM(CA13,CA72,CA130,CA188,CA246)</f>
        <v>0</v>
      </c>
      <c r="CB305" s="852">
        <f t="shared" si="183"/>
        <v>0</v>
      </c>
      <c r="CC305" s="853">
        <f t="shared" si="183"/>
        <v>0</v>
      </c>
      <c r="CD305" s="846">
        <f t="shared" si="183"/>
        <v>0</v>
      </c>
      <c r="CE305" s="893">
        <f t="shared" si="183"/>
        <v>0</v>
      </c>
      <c r="CF305" s="894">
        <f t="shared" si="183"/>
        <v>0</v>
      </c>
      <c r="CG305" s="877">
        <f t="shared" si="183"/>
        <v>0</v>
      </c>
      <c r="CH305" s="765">
        <f t="shared" ref="CH305:CN305" si="184">SUM(CH13,CH72,CH130,CH188,CH246)</f>
        <v>0</v>
      </c>
      <c r="CI305" s="882">
        <f t="shared" si="184"/>
        <v>0</v>
      </c>
      <c r="CJ305" s="883">
        <f t="shared" si="184"/>
        <v>0</v>
      </c>
      <c r="CK305" s="871">
        <f t="shared" si="184"/>
        <v>0</v>
      </c>
      <c r="CL305" s="858">
        <f t="shared" si="184"/>
        <v>0</v>
      </c>
      <c r="CM305" s="859">
        <f t="shared" si="184"/>
        <v>0</v>
      </c>
      <c r="CN305" s="840">
        <f t="shared" si="184"/>
        <v>0</v>
      </c>
    </row>
    <row r="306" spans="1:92" x14ac:dyDescent="0.25">
      <c r="A306" s="757">
        <v>6</v>
      </c>
      <c r="B306" s="765">
        <f t="shared" si="156"/>
        <v>0</v>
      </c>
      <c r="C306" s="870">
        <f t="shared" ref="C306:AX306" si="185">SUM(C14,C73,C131,C189,C247)</f>
        <v>0</v>
      </c>
      <c r="D306" s="870">
        <f t="shared" si="185"/>
        <v>0</v>
      </c>
      <c r="E306" s="871">
        <f t="shared" si="185"/>
        <v>0</v>
      </c>
      <c r="F306" s="838">
        <f t="shared" si="185"/>
        <v>0</v>
      </c>
      <c r="G306" s="866">
        <f t="shared" si="185"/>
        <v>0</v>
      </c>
      <c r="H306" s="840">
        <f t="shared" si="185"/>
        <v>0</v>
      </c>
      <c r="I306" s="765">
        <f t="shared" si="185"/>
        <v>0</v>
      </c>
      <c r="J306" s="852">
        <f t="shared" si="185"/>
        <v>0</v>
      </c>
      <c r="K306" s="853">
        <f t="shared" si="185"/>
        <v>0</v>
      </c>
      <c r="L306" s="846">
        <f t="shared" si="185"/>
        <v>0</v>
      </c>
      <c r="M306" s="893">
        <f t="shared" si="185"/>
        <v>0</v>
      </c>
      <c r="N306" s="894">
        <f t="shared" si="185"/>
        <v>0</v>
      </c>
      <c r="O306" s="877">
        <f t="shared" si="185"/>
        <v>0</v>
      </c>
      <c r="P306" s="765">
        <f t="shared" si="185"/>
        <v>22</v>
      </c>
      <c r="Q306" s="882">
        <f t="shared" si="185"/>
        <v>1</v>
      </c>
      <c r="R306" s="883">
        <f t="shared" si="185"/>
        <v>3</v>
      </c>
      <c r="S306" s="871">
        <f t="shared" si="185"/>
        <v>1.264</v>
      </c>
      <c r="T306" s="858">
        <f t="shared" si="185"/>
        <v>18</v>
      </c>
      <c r="U306" s="859">
        <f t="shared" si="185"/>
        <v>0</v>
      </c>
      <c r="V306" s="840">
        <f t="shared" si="185"/>
        <v>18</v>
      </c>
      <c r="W306" s="958">
        <f t="shared" si="185"/>
        <v>3</v>
      </c>
      <c r="X306" s="852">
        <f t="shared" si="185"/>
        <v>0.85714285714285721</v>
      </c>
      <c r="Y306" s="853">
        <f t="shared" si="185"/>
        <v>0</v>
      </c>
      <c r="Z306" s="846">
        <f t="shared" si="185"/>
        <v>0.85714285714285721</v>
      </c>
      <c r="AA306" s="893">
        <f t="shared" si="185"/>
        <v>1.7142857142857144</v>
      </c>
      <c r="AB306" s="894">
        <f t="shared" si="185"/>
        <v>0.4285714285714286</v>
      </c>
      <c r="AC306" s="877">
        <f t="shared" si="185"/>
        <v>1.7514857142857143</v>
      </c>
      <c r="AD306" s="958">
        <f t="shared" si="185"/>
        <v>0</v>
      </c>
      <c r="AE306" s="1056">
        <f t="shared" si="185"/>
        <v>0</v>
      </c>
      <c r="AF306" s="1057">
        <f t="shared" si="185"/>
        <v>0</v>
      </c>
      <c r="AG306" s="1058">
        <f t="shared" si="185"/>
        <v>0</v>
      </c>
      <c r="AH306" s="1059">
        <f t="shared" si="185"/>
        <v>0</v>
      </c>
      <c r="AI306" s="1060">
        <f t="shared" si="185"/>
        <v>0</v>
      </c>
      <c r="AJ306" s="1061">
        <f t="shared" si="185"/>
        <v>0</v>
      </c>
      <c r="AK306" s="958">
        <f t="shared" si="185"/>
        <v>0</v>
      </c>
      <c r="AL306" s="852">
        <f t="shared" si="185"/>
        <v>0</v>
      </c>
      <c r="AM306" s="853">
        <f t="shared" si="185"/>
        <v>0</v>
      </c>
      <c r="AN306" s="846">
        <f t="shared" si="185"/>
        <v>0</v>
      </c>
      <c r="AO306" s="893">
        <f t="shared" si="185"/>
        <v>0</v>
      </c>
      <c r="AP306" s="894">
        <f t="shared" si="185"/>
        <v>0</v>
      </c>
      <c r="AQ306" s="877">
        <f t="shared" si="185"/>
        <v>0</v>
      </c>
      <c r="AR306" s="765">
        <f t="shared" si="185"/>
        <v>0</v>
      </c>
      <c r="AS306" s="882">
        <f t="shared" si="185"/>
        <v>0</v>
      </c>
      <c r="AT306" s="883">
        <f t="shared" si="185"/>
        <v>0</v>
      </c>
      <c r="AU306" s="871">
        <f t="shared" si="185"/>
        <v>0</v>
      </c>
      <c r="AV306" s="858">
        <f t="shared" si="185"/>
        <v>0</v>
      </c>
      <c r="AW306" s="859">
        <f t="shared" si="185"/>
        <v>0</v>
      </c>
      <c r="AX306" s="840">
        <f t="shared" si="185"/>
        <v>0</v>
      </c>
      <c r="AY306" s="765">
        <f t="shared" ref="AY306:BE306" si="186">SUM(AY14,AY73,AY131,AY189,AY247)</f>
        <v>0</v>
      </c>
      <c r="AZ306" s="852">
        <f t="shared" si="186"/>
        <v>0</v>
      </c>
      <c r="BA306" s="853">
        <f t="shared" si="186"/>
        <v>0</v>
      </c>
      <c r="BB306" s="846">
        <f t="shared" si="186"/>
        <v>0</v>
      </c>
      <c r="BC306" s="893">
        <f t="shared" si="186"/>
        <v>0</v>
      </c>
      <c r="BD306" s="894">
        <f t="shared" si="186"/>
        <v>0</v>
      </c>
      <c r="BE306" s="877">
        <f t="shared" si="186"/>
        <v>0</v>
      </c>
      <c r="BF306" s="765">
        <f t="shared" ref="BF306:BL306" si="187">SUM(BF14,BF73,BF131,BF189,BF247)</f>
        <v>0</v>
      </c>
      <c r="BG306" s="882">
        <f t="shared" si="187"/>
        <v>0</v>
      </c>
      <c r="BH306" s="883">
        <f t="shared" si="187"/>
        <v>0</v>
      </c>
      <c r="BI306" s="871">
        <f t="shared" si="187"/>
        <v>0</v>
      </c>
      <c r="BJ306" s="858">
        <f t="shared" si="187"/>
        <v>0</v>
      </c>
      <c r="BK306" s="859">
        <f t="shared" si="187"/>
        <v>0</v>
      </c>
      <c r="BL306" s="840">
        <f t="shared" si="187"/>
        <v>0</v>
      </c>
      <c r="BM306" s="765">
        <f t="shared" ref="BM306:BS306" si="188">SUM(BM14,BM73,BM131,BM189,BM247)</f>
        <v>0</v>
      </c>
      <c r="BN306" s="852">
        <f t="shared" si="188"/>
        <v>0</v>
      </c>
      <c r="BO306" s="853">
        <f t="shared" si="188"/>
        <v>0</v>
      </c>
      <c r="BP306" s="846">
        <f t="shared" si="188"/>
        <v>0</v>
      </c>
      <c r="BQ306" s="893">
        <f t="shared" si="188"/>
        <v>0</v>
      </c>
      <c r="BR306" s="894">
        <f t="shared" si="188"/>
        <v>0</v>
      </c>
      <c r="BS306" s="877">
        <f t="shared" si="188"/>
        <v>0</v>
      </c>
      <c r="BT306" s="765">
        <f t="shared" ref="BT306:BZ306" si="189">SUM(BT14,BT73,BT131,BT189,BT247)</f>
        <v>0</v>
      </c>
      <c r="BU306" s="882">
        <f t="shared" si="189"/>
        <v>0</v>
      </c>
      <c r="BV306" s="883">
        <f t="shared" si="189"/>
        <v>0</v>
      </c>
      <c r="BW306" s="871">
        <f t="shared" si="189"/>
        <v>0</v>
      </c>
      <c r="BX306" s="858">
        <f t="shared" si="189"/>
        <v>0</v>
      </c>
      <c r="BY306" s="859">
        <f t="shared" si="189"/>
        <v>0</v>
      </c>
      <c r="BZ306" s="840">
        <f t="shared" si="189"/>
        <v>0</v>
      </c>
      <c r="CA306" s="765">
        <f t="shared" ref="CA306:CG306" si="190">SUM(CA14,CA73,CA131,CA189,CA247)</f>
        <v>0</v>
      </c>
      <c r="CB306" s="852">
        <f t="shared" si="190"/>
        <v>0</v>
      </c>
      <c r="CC306" s="853">
        <f t="shared" si="190"/>
        <v>0</v>
      </c>
      <c r="CD306" s="846">
        <f t="shared" si="190"/>
        <v>0</v>
      </c>
      <c r="CE306" s="893">
        <f t="shared" si="190"/>
        <v>0</v>
      </c>
      <c r="CF306" s="894">
        <f t="shared" si="190"/>
        <v>0</v>
      </c>
      <c r="CG306" s="877">
        <f t="shared" si="190"/>
        <v>0</v>
      </c>
      <c r="CH306" s="765">
        <f t="shared" ref="CH306:CN306" si="191">SUM(CH14,CH73,CH131,CH189,CH247)</f>
        <v>0</v>
      </c>
      <c r="CI306" s="882">
        <f t="shared" si="191"/>
        <v>0</v>
      </c>
      <c r="CJ306" s="883">
        <f t="shared" si="191"/>
        <v>0</v>
      </c>
      <c r="CK306" s="871">
        <f t="shared" si="191"/>
        <v>0</v>
      </c>
      <c r="CL306" s="858">
        <f t="shared" si="191"/>
        <v>0</v>
      </c>
      <c r="CM306" s="859">
        <f t="shared" si="191"/>
        <v>0</v>
      </c>
      <c r="CN306" s="840">
        <f t="shared" si="191"/>
        <v>0</v>
      </c>
    </row>
    <row r="307" spans="1:92" x14ac:dyDescent="0.25">
      <c r="A307" s="757">
        <v>7</v>
      </c>
      <c r="B307" s="765">
        <f t="shared" si="156"/>
        <v>0</v>
      </c>
      <c r="C307" s="870">
        <f t="shared" ref="C307:AX307" si="192">SUM(C15,C74,C132,C190,C248)</f>
        <v>0</v>
      </c>
      <c r="D307" s="870">
        <f t="shared" si="192"/>
        <v>0</v>
      </c>
      <c r="E307" s="871">
        <f t="shared" si="192"/>
        <v>0</v>
      </c>
      <c r="F307" s="838">
        <f t="shared" si="192"/>
        <v>0</v>
      </c>
      <c r="G307" s="866">
        <f t="shared" si="192"/>
        <v>0</v>
      </c>
      <c r="H307" s="840">
        <f t="shared" si="192"/>
        <v>0</v>
      </c>
      <c r="I307" s="765">
        <f t="shared" si="192"/>
        <v>0</v>
      </c>
      <c r="J307" s="852">
        <f t="shared" si="192"/>
        <v>0</v>
      </c>
      <c r="K307" s="853">
        <f t="shared" si="192"/>
        <v>0</v>
      </c>
      <c r="L307" s="846">
        <f t="shared" si="192"/>
        <v>0</v>
      </c>
      <c r="M307" s="893">
        <f t="shared" si="192"/>
        <v>0</v>
      </c>
      <c r="N307" s="894">
        <f t="shared" si="192"/>
        <v>0</v>
      </c>
      <c r="O307" s="877">
        <f t="shared" si="192"/>
        <v>0</v>
      </c>
      <c r="P307" s="765">
        <f t="shared" si="192"/>
        <v>59</v>
      </c>
      <c r="Q307" s="882">
        <f t="shared" si="192"/>
        <v>6.1034482758620694</v>
      </c>
      <c r="R307" s="883">
        <f t="shared" si="192"/>
        <v>4.0689655172413799</v>
      </c>
      <c r="S307" s="871">
        <f t="shared" si="192"/>
        <v>6.4615172413793109</v>
      </c>
      <c r="T307" s="858">
        <f t="shared" si="192"/>
        <v>47.810344827586214</v>
      </c>
      <c r="U307" s="859">
        <f t="shared" si="192"/>
        <v>1.017241379310345</v>
      </c>
      <c r="V307" s="840">
        <f t="shared" si="192"/>
        <v>47.899862068965525</v>
      </c>
      <c r="W307" s="958">
        <f t="shared" si="192"/>
        <v>0</v>
      </c>
      <c r="X307" s="852">
        <f t="shared" si="192"/>
        <v>0</v>
      </c>
      <c r="Y307" s="853">
        <f t="shared" si="192"/>
        <v>0</v>
      </c>
      <c r="Z307" s="846">
        <f t="shared" si="192"/>
        <v>0</v>
      </c>
      <c r="AA307" s="893">
        <f t="shared" si="192"/>
        <v>0</v>
      </c>
      <c r="AB307" s="894">
        <f t="shared" si="192"/>
        <v>0</v>
      </c>
      <c r="AC307" s="877">
        <f t="shared" si="192"/>
        <v>0</v>
      </c>
      <c r="AD307" s="958">
        <f t="shared" si="192"/>
        <v>0</v>
      </c>
      <c r="AE307" s="1056">
        <f t="shared" si="192"/>
        <v>0</v>
      </c>
      <c r="AF307" s="1057">
        <f t="shared" si="192"/>
        <v>0</v>
      </c>
      <c r="AG307" s="1058">
        <f t="shared" si="192"/>
        <v>0</v>
      </c>
      <c r="AH307" s="1059">
        <f t="shared" si="192"/>
        <v>0</v>
      </c>
      <c r="AI307" s="1060">
        <f t="shared" si="192"/>
        <v>0</v>
      </c>
      <c r="AJ307" s="1061">
        <f t="shared" si="192"/>
        <v>0</v>
      </c>
      <c r="AK307" s="958">
        <f t="shared" si="192"/>
        <v>0</v>
      </c>
      <c r="AL307" s="852">
        <f t="shared" si="192"/>
        <v>0</v>
      </c>
      <c r="AM307" s="853">
        <f t="shared" si="192"/>
        <v>0</v>
      </c>
      <c r="AN307" s="846">
        <f t="shared" si="192"/>
        <v>0</v>
      </c>
      <c r="AO307" s="893">
        <f t="shared" si="192"/>
        <v>0</v>
      </c>
      <c r="AP307" s="894">
        <f t="shared" si="192"/>
        <v>0</v>
      </c>
      <c r="AQ307" s="877">
        <f t="shared" si="192"/>
        <v>0</v>
      </c>
      <c r="AR307" s="765">
        <f t="shared" si="192"/>
        <v>0</v>
      </c>
      <c r="AS307" s="882">
        <f t="shared" si="192"/>
        <v>0</v>
      </c>
      <c r="AT307" s="883">
        <f t="shared" si="192"/>
        <v>0</v>
      </c>
      <c r="AU307" s="871">
        <f t="shared" si="192"/>
        <v>0</v>
      </c>
      <c r="AV307" s="858">
        <f t="shared" si="192"/>
        <v>0</v>
      </c>
      <c r="AW307" s="859">
        <f t="shared" si="192"/>
        <v>0</v>
      </c>
      <c r="AX307" s="840">
        <f t="shared" si="192"/>
        <v>0</v>
      </c>
      <c r="AY307" s="765">
        <f t="shared" ref="AY307:BE307" si="193">SUM(AY15,AY74,AY132,AY190,AY248)</f>
        <v>0</v>
      </c>
      <c r="AZ307" s="852">
        <f t="shared" si="193"/>
        <v>0</v>
      </c>
      <c r="BA307" s="853">
        <f t="shared" si="193"/>
        <v>0</v>
      </c>
      <c r="BB307" s="846">
        <f t="shared" si="193"/>
        <v>0</v>
      </c>
      <c r="BC307" s="893">
        <f t="shared" si="193"/>
        <v>0</v>
      </c>
      <c r="BD307" s="894">
        <f t="shared" si="193"/>
        <v>0</v>
      </c>
      <c r="BE307" s="877">
        <f t="shared" si="193"/>
        <v>0</v>
      </c>
      <c r="BF307" s="765">
        <f t="shared" ref="BF307:BL307" si="194">SUM(BF15,BF74,BF132,BF190,BF248)</f>
        <v>0</v>
      </c>
      <c r="BG307" s="882">
        <f t="shared" si="194"/>
        <v>0</v>
      </c>
      <c r="BH307" s="883">
        <f t="shared" si="194"/>
        <v>0</v>
      </c>
      <c r="BI307" s="871">
        <f t="shared" si="194"/>
        <v>0</v>
      </c>
      <c r="BJ307" s="858">
        <f t="shared" si="194"/>
        <v>0</v>
      </c>
      <c r="BK307" s="859">
        <f t="shared" si="194"/>
        <v>0</v>
      </c>
      <c r="BL307" s="840">
        <f t="shared" si="194"/>
        <v>0</v>
      </c>
      <c r="BM307" s="765">
        <f>SUM(BM15,BM74,BM132,BM190,BM248)</f>
        <v>0</v>
      </c>
      <c r="BN307" s="852">
        <f t="shared" ref="BN307:BS307" si="195">SUM(BN15,BN74,BN132,BN190,BN248)</f>
        <v>0</v>
      </c>
      <c r="BO307" s="853">
        <f t="shared" si="195"/>
        <v>0</v>
      </c>
      <c r="BP307" s="846">
        <f t="shared" si="195"/>
        <v>0</v>
      </c>
      <c r="BQ307" s="893">
        <f t="shared" si="195"/>
        <v>0</v>
      </c>
      <c r="BR307" s="894">
        <f t="shared" si="195"/>
        <v>0</v>
      </c>
      <c r="BS307" s="877">
        <f t="shared" si="195"/>
        <v>0</v>
      </c>
      <c r="BT307" s="765">
        <f t="shared" ref="BT307:BZ307" si="196">SUM(BT15,BT74,BT132,BT190,BT248)</f>
        <v>0</v>
      </c>
      <c r="BU307" s="882">
        <f t="shared" si="196"/>
        <v>0</v>
      </c>
      <c r="BV307" s="883">
        <f t="shared" si="196"/>
        <v>0</v>
      </c>
      <c r="BW307" s="871">
        <f t="shared" si="196"/>
        <v>0</v>
      </c>
      <c r="BX307" s="858">
        <f t="shared" si="196"/>
        <v>0</v>
      </c>
      <c r="BY307" s="859">
        <f t="shared" si="196"/>
        <v>0</v>
      </c>
      <c r="BZ307" s="840">
        <f t="shared" si="196"/>
        <v>0</v>
      </c>
      <c r="CA307" s="765">
        <f t="shared" ref="CA307:CG307" si="197">SUM(CA15,CA74,CA132,CA190,CA248)</f>
        <v>0</v>
      </c>
      <c r="CB307" s="852">
        <f t="shared" si="197"/>
        <v>0</v>
      </c>
      <c r="CC307" s="853">
        <f t="shared" si="197"/>
        <v>0</v>
      </c>
      <c r="CD307" s="846">
        <f t="shared" si="197"/>
        <v>0</v>
      </c>
      <c r="CE307" s="893">
        <f t="shared" si="197"/>
        <v>0</v>
      </c>
      <c r="CF307" s="894">
        <f t="shared" si="197"/>
        <v>0</v>
      </c>
      <c r="CG307" s="877">
        <f t="shared" si="197"/>
        <v>0</v>
      </c>
      <c r="CH307" s="765">
        <f t="shared" ref="CH307:CN307" si="198">SUM(CH15,CH74,CH132,CH190,CH248)</f>
        <v>0</v>
      </c>
      <c r="CI307" s="882">
        <f t="shared" si="198"/>
        <v>0</v>
      </c>
      <c r="CJ307" s="883">
        <f t="shared" si="198"/>
        <v>0</v>
      </c>
      <c r="CK307" s="871">
        <f t="shared" si="198"/>
        <v>0</v>
      </c>
      <c r="CL307" s="858">
        <f t="shared" si="198"/>
        <v>0</v>
      </c>
      <c r="CM307" s="859">
        <f t="shared" si="198"/>
        <v>0</v>
      </c>
      <c r="CN307" s="840">
        <f t="shared" si="198"/>
        <v>0</v>
      </c>
    </row>
    <row r="308" spans="1:92" x14ac:dyDescent="0.25">
      <c r="A308" s="757">
        <v>8</v>
      </c>
      <c r="B308" s="765">
        <f t="shared" si="156"/>
        <v>0</v>
      </c>
      <c r="C308" s="870">
        <f t="shared" ref="C308:AX308" si="199">SUM(C16,C75,C133,C191,C249)</f>
        <v>0</v>
      </c>
      <c r="D308" s="870">
        <f t="shared" si="199"/>
        <v>0</v>
      </c>
      <c r="E308" s="871">
        <f t="shared" si="199"/>
        <v>0</v>
      </c>
      <c r="F308" s="838">
        <f t="shared" si="199"/>
        <v>0</v>
      </c>
      <c r="G308" s="866">
        <f t="shared" si="199"/>
        <v>0</v>
      </c>
      <c r="H308" s="840">
        <f t="shared" si="199"/>
        <v>0</v>
      </c>
      <c r="I308" s="765">
        <f t="shared" si="199"/>
        <v>0</v>
      </c>
      <c r="J308" s="852">
        <f t="shared" si="199"/>
        <v>0</v>
      </c>
      <c r="K308" s="853">
        <f t="shared" si="199"/>
        <v>0</v>
      </c>
      <c r="L308" s="846">
        <f t="shared" si="199"/>
        <v>0</v>
      </c>
      <c r="M308" s="893">
        <f t="shared" si="199"/>
        <v>0</v>
      </c>
      <c r="N308" s="894">
        <f t="shared" si="199"/>
        <v>0</v>
      </c>
      <c r="O308" s="877">
        <f t="shared" si="199"/>
        <v>0</v>
      </c>
      <c r="P308" s="765">
        <f t="shared" si="199"/>
        <v>0</v>
      </c>
      <c r="Q308" s="882">
        <f t="shared" si="199"/>
        <v>0</v>
      </c>
      <c r="R308" s="883">
        <f t="shared" si="199"/>
        <v>0</v>
      </c>
      <c r="S308" s="871">
        <f t="shared" si="199"/>
        <v>0</v>
      </c>
      <c r="T308" s="858">
        <f t="shared" si="199"/>
        <v>0</v>
      </c>
      <c r="U308" s="859">
        <f t="shared" si="199"/>
        <v>0</v>
      </c>
      <c r="V308" s="840">
        <f t="shared" si="199"/>
        <v>0</v>
      </c>
      <c r="W308" s="958">
        <f t="shared" si="199"/>
        <v>0</v>
      </c>
      <c r="X308" s="852">
        <f t="shared" si="199"/>
        <v>0</v>
      </c>
      <c r="Y308" s="853">
        <f t="shared" si="199"/>
        <v>0</v>
      </c>
      <c r="Z308" s="846">
        <f t="shared" si="199"/>
        <v>0</v>
      </c>
      <c r="AA308" s="893">
        <f t="shared" si="199"/>
        <v>0</v>
      </c>
      <c r="AB308" s="894">
        <f t="shared" si="199"/>
        <v>0</v>
      </c>
      <c r="AC308" s="877">
        <f t="shared" si="199"/>
        <v>0</v>
      </c>
      <c r="AD308" s="958">
        <f t="shared" si="199"/>
        <v>0</v>
      </c>
      <c r="AE308" s="1056">
        <f t="shared" si="199"/>
        <v>0</v>
      </c>
      <c r="AF308" s="1057">
        <f t="shared" si="199"/>
        <v>0</v>
      </c>
      <c r="AG308" s="1058">
        <f t="shared" si="199"/>
        <v>0</v>
      </c>
      <c r="AH308" s="1059">
        <f t="shared" si="199"/>
        <v>0</v>
      </c>
      <c r="AI308" s="1060">
        <f t="shared" si="199"/>
        <v>0</v>
      </c>
      <c r="AJ308" s="1061">
        <f t="shared" si="199"/>
        <v>0</v>
      </c>
      <c r="AK308" s="958">
        <f t="shared" si="199"/>
        <v>0</v>
      </c>
      <c r="AL308" s="852">
        <f t="shared" si="199"/>
        <v>0</v>
      </c>
      <c r="AM308" s="853">
        <f t="shared" si="199"/>
        <v>0</v>
      </c>
      <c r="AN308" s="846">
        <f t="shared" si="199"/>
        <v>0</v>
      </c>
      <c r="AO308" s="893">
        <f t="shared" si="199"/>
        <v>0</v>
      </c>
      <c r="AP308" s="894">
        <f t="shared" si="199"/>
        <v>0</v>
      </c>
      <c r="AQ308" s="877">
        <f t="shared" si="199"/>
        <v>0</v>
      </c>
      <c r="AR308" s="765">
        <f t="shared" si="199"/>
        <v>0</v>
      </c>
      <c r="AS308" s="882">
        <f t="shared" si="199"/>
        <v>0</v>
      </c>
      <c r="AT308" s="883">
        <f t="shared" si="199"/>
        <v>0</v>
      </c>
      <c r="AU308" s="871">
        <f t="shared" si="199"/>
        <v>0</v>
      </c>
      <c r="AV308" s="858">
        <f t="shared" si="199"/>
        <v>0</v>
      </c>
      <c r="AW308" s="859">
        <f t="shared" si="199"/>
        <v>0</v>
      </c>
      <c r="AX308" s="840">
        <f t="shared" si="199"/>
        <v>0</v>
      </c>
      <c r="AY308" s="765">
        <f t="shared" ref="AY308:BE308" si="200">SUM(AY16,AY75,AY133,AY191,AY249)</f>
        <v>67</v>
      </c>
      <c r="AZ308" s="852">
        <f t="shared" si="200"/>
        <v>0</v>
      </c>
      <c r="BA308" s="853">
        <f t="shared" si="200"/>
        <v>0</v>
      </c>
      <c r="BB308" s="846">
        <f t="shared" si="200"/>
        <v>0</v>
      </c>
      <c r="BC308" s="893">
        <f t="shared" si="200"/>
        <v>58.3</v>
      </c>
      <c r="BD308" s="894">
        <f t="shared" si="200"/>
        <v>8.6999999999999993</v>
      </c>
      <c r="BE308" s="877">
        <f t="shared" si="200"/>
        <v>59.077779999999997</v>
      </c>
      <c r="BF308" s="765">
        <f t="shared" ref="BF308:BL308" si="201">SUM(BF16,BF75,BF133,BF191,BF249)</f>
        <v>0</v>
      </c>
      <c r="BG308" s="882">
        <f t="shared" si="201"/>
        <v>0</v>
      </c>
      <c r="BH308" s="883">
        <f t="shared" si="201"/>
        <v>0</v>
      </c>
      <c r="BI308" s="871">
        <f t="shared" si="201"/>
        <v>0</v>
      </c>
      <c r="BJ308" s="858">
        <f t="shared" si="201"/>
        <v>0</v>
      </c>
      <c r="BK308" s="859">
        <f t="shared" si="201"/>
        <v>0</v>
      </c>
      <c r="BL308" s="840">
        <f t="shared" si="201"/>
        <v>0</v>
      </c>
      <c r="BM308" s="765">
        <f>SUM(BM16,BM75,BM133,BM191,BM249)</f>
        <v>8</v>
      </c>
      <c r="BN308" s="852">
        <f t="shared" ref="BN308:BS308" si="202">SUM(BN16,BN75,BN133,BN191,BN249)</f>
        <v>0</v>
      </c>
      <c r="BO308" s="853">
        <f t="shared" si="202"/>
        <v>0</v>
      </c>
      <c r="BP308" s="846">
        <f t="shared" si="202"/>
        <v>0</v>
      </c>
      <c r="BQ308" s="893">
        <f t="shared" si="202"/>
        <v>8</v>
      </c>
      <c r="BR308" s="894">
        <f t="shared" si="202"/>
        <v>0</v>
      </c>
      <c r="BS308" s="877">
        <f t="shared" si="202"/>
        <v>8</v>
      </c>
      <c r="BT308" s="765">
        <f t="shared" ref="BT308:BZ308" si="203">SUM(BT16,BT75,BT133,BT191,BT249)</f>
        <v>0</v>
      </c>
      <c r="BU308" s="882">
        <f t="shared" si="203"/>
        <v>0</v>
      </c>
      <c r="BV308" s="883">
        <f t="shared" si="203"/>
        <v>0</v>
      </c>
      <c r="BW308" s="871">
        <f t="shared" si="203"/>
        <v>0</v>
      </c>
      <c r="BX308" s="858">
        <f t="shared" si="203"/>
        <v>0</v>
      </c>
      <c r="BY308" s="859">
        <f t="shared" si="203"/>
        <v>0</v>
      </c>
      <c r="BZ308" s="840">
        <f t="shared" si="203"/>
        <v>0</v>
      </c>
      <c r="CA308" s="765">
        <f t="shared" ref="CA308:CG308" si="204">SUM(CA16,CA75,CA133,CA191,CA249)</f>
        <v>0</v>
      </c>
      <c r="CB308" s="852">
        <f t="shared" si="204"/>
        <v>0</v>
      </c>
      <c r="CC308" s="853">
        <f t="shared" si="204"/>
        <v>0</v>
      </c>
      <c r="CD308" s="846">
        <f t="shared" si="204"/>
        <v>0</v>
      </c>
      <c r="CE308" s="893">
        <f t="shared" si="204"/>
        <v>0</v>
      </c>
      <c r="CF308" s="894">
        <f t="shared" si="204"/>
        <v>0</v>
      </c>
      <c r="CG308" s="877">
        <f t="shared" si="204"/>
        <v>0</v>
      </c>
      <c r="CH308" s="765">
        <f t="shared" ref="CH308:CN308" si="205">SUM(CH16,CH75,CH133,CH191,CH249)</f>
        <v>0</v>
      </c>
      <c r="CI308" s="882">
        <f t="shared" si="205"/>
        <v>0</v>
      </c>
      <c r="CJ308" s="883">
        <f t="shared" si="205"/>
        <v>0</v>
      </c>
      <c r="CK308" s="871">
        <f t="shared" si="205"/>
        <v>0</v>
      </c>
      <c r="CL308" s="858">
        <f t="shared" si="205"/>
        <v>0</v>
      </c>
      <c r="CM308" s="859">
        <f t="shared" si="205"/>
        <v>0</v>
      </c>
      <c r="CN308" s="840">
        <f t="shared" si="205"/>
        <v>0</v>
      </c>
    </row>
    <row r="309" spans="1:92" x14ac:dyDescent="0.25">
      <c r="A309" s="757">
        <v>9</v>
      </c>
      <c r="B309" s="765">
        <f t="shared" si="156"/>
        <v>0</v>
      </c>
      <c r="C309" s="870">
        <f t="shared" ref="C309:AX309" si="206">SUM(C17,C76,C134,C192,C250)</f>
        <v>0</v>
      </c>
      <c r="D309" s="870">
        <f t="shared" si="206"/>
        <v>0</v>
      </c>
      <c r="E309" s="871">
        <f t="shared" si="206"/>
        <v>0</v>
      </c>
      <c r="F309" s="838">
        <f t="shared" si="206"/>
        <v>0</v>
      </c>
      <c r="G309" s="866">
        <f t="shared" si="206"/>
        <v>0</v>
      </c>
      <c r="H309" s="840">
        <f t="shared" si="206"/>
        <v>0</v>
      </c>
      <c r="I309" s="765">
        <f t="shared" si="206"/>
        <v>0</v>
      </c>
      <c r="J309" s="852">
        <f t="shared" si="206"/>
        <v>0</v>
      </c>
      <c r="K309" s="853">
        <f t="shared" si="206"/>
        <v>0</v>
      </c>
      <c r="L309" s="846">
        <f t="shared" si="206"/>
        <v>0</v>
      </c>
      <c r="M309" s="893">
        <f t="shared" si="206"/>
        <v>0</v>
      </c>
      <c r="N309" s="894">
        <f t="shared" si="206"/>
        <v>0</v>
      </c>
      <c r="O309" s="877">
        <f t="shared" si="206"/>
        <v>0</v>
      </c>
      <c r="P309" s="765">
        <f t="shared" si="206"/>
        <v>0</v>
      </c>
      <c r="Q309" s="882">
        <f t="shared" si="206"/>
        <v>0</v>
      </c>
      <c r="R309" s="883">
        <f t="shared" si="206"/>
        <v>0</v>
      </c>
      <c r="S309" s="871">
        <f t="shared" si="206"/>
        <v>0</v>
      </c>
      <c r="T309" s="858">
        <f t="shared" si="206"/>
        <v>0</v>
      </c>
      <c r="U309" s="859">
        <f t="shared" si="206"/>
        <v>0</v>
      </c>
      <c r="V309" s="840">
        <f t="shared" si="206"/>
        <v>0</v>
      </c>
      <c r="W309" s="958">
        <f t="shared" si="206"/>
        <v>0</v>
      </c>
      <c r="X309" s="852">
        <f t="shared" si="206"/>
        <v>0</v>
      </c>
      <c r="Y309" s="853">
        <f t="shared" si="206"/>
        <v>0</v>
      </c>
      <c r="Z309" s="846">
        <f t="shared" si="206"/>
        <v>0</v>
      </c>
      <c r="AA309" s="893">
        <f t="shared" si="206"/>
        <v>0</v>
      </c>
      <c r="AB309" s="894">
        <f t="shared" si="206"/>
        <v>0</v>
      </c>
      <c r="AC309" s="877">
        <f t="shared" si="206"/>
        <v>0</v>
      </c>
      <c r="AD309" s="958">
        <f t="shared" si="206"/>
        <v>0</v>
      </c>
      <c r="AE309" s="1056">
        <f t="shared" si="206"/>
        <v>0</v>
      </c>
      <c r="AF309" s="1057">
        <f t="shared" si="206"/>
        <v>0</v>
      </c>
      <c r="AG309" s="1058">
        <f t="shared" si="206"/>
        <v>0</v>
      </c>
      <c r="AH309" s="1059">
        <f t="shared" si="206"/>
        <v>0</v>
      </c>
      <c r="AI309" s="1060">
        <f t="shared" si="206"/>
        <v>0</v>
      </c>
      <c r="AJ309" s="1061">
        <f t="shared" si="206"/>
        <v>0</v>
      </c>
      <c r="AK309" s="958">
        <f t="shared" si="206"/>
        <v>0</v>
      </c>
      <c r="AL309" s="852">
        <f t="shared" si="206"/>
        <v>0</v>
      </c>
      <c r="AM309" s="853">
        <f t="shared" si="206"/>
        <v>0</v>
      </c>
      <c r="AN309" s="846">
        <f t="shared" si="206"/>
        <v>0</v>
      </c>
      <c r="AO309" s="893">
        <f t="shared" si="206"/>
        <v>0</v>
      </c>
      <c r="AP309" s="894">
        <f t="shared" si="206"/>
        <v>0</v>
      </c>
      <c r="AQ309" s="877">
        <f t="shared" si="206"/>
        <v>0</v>
      </c>
      <c r="AR309" s="765">
        <f t="shared" si="206"/>
        <v>0</v>
      </c>
      <c r="AS309" s="882">
        <f t="shared" si="206"/>
        <v>0</v>
      </c>
      <c r="AT309" s="883">
        <f t="shared" si="206"/>
        <v>0</v>
      </c>
      <c r="AU309" s="871">
        <f t="shared" si="206"/>
        <v>0</v>
      </c>
      <c r="AV309" s="858">
        <f t="shared" si="206"/>
        <v>0</v>
      </c>
      <c r="AW309" s="859">
        <f t="shared" si="206"/>
        <v>0</v>
      </c>
      <c r="AX309" s="840">
        <f t="shared" si="206"/>
        <v>0</v>
      </c>
      <c r="AY309" s="765">
        <f t="shared" ref="AY309:BE309" si="207">SUM(AY17,AY76,AY134,AY192,AY250)</f>
        <v>0</v>
      </c>
      <c r="AZ309" s="852">
        <f t="shared" si="207"/>
        <v>0</v>
      </c>
      <c r="BA309" s="853">
        <f t="shared" si="207"/>
        <v>0</v>
      </c>
      <c r="BB309" s="846">
        <f t="shared" si="207"/>
        <v>0</v>
      </c>
      <c r="BC309" s="893">
        <f t="shared" si="207"/>
        <v>0</v>
      </c>
      <c r="BD309" s="894">
        <f t="shared" si="207"/>
        <v>0</v>
      </c>
      <c r="BE309" s="877">
        <f t="shared" si="207"/>
        <v>0</v>
      </c>
      <c r="BF309" s="765">
        <f t="shared" ref="BF309:BL309" si="208">SUM(BF17,BF76,BF134,BF192,BF250)</f>
        <v>0</v>
      </c>
      <c r="BG309" s="882">
        <f t="shared" si="208"/>
        <v>0</v>
      </c>
      <c r="BH309" s="883">
        <f t="shared" si="208"/>
        <v>0</v>
      </c>
      <c r="BI309" s="871">
        <f t="shared" si="208"/>
        <v>0</v>
      </c>
      <c r="BJ309" s="858">
        <f t="shared" si="208"/>
        <v>0</v>
      </c>
      <c r="BK309" s="859">
        <f t="shared" si="208"/>
        <v>0</v>
      </c>
      <c r="BL309" s="840">
        <f t="shared" si="208"/>
        <v>0</v>
      </c>
      <c r="BM309" s="765">
        <f>SUM(BM17,BM76,BM134,BM192,BM250)</f>
        <v>0</v>
      </c>
      <c r="BN309" s="852">
        <f t="shared" ref="BN309:BS309" si="209">SUM(BN17,BN76,BN134,BN192,BN250)</f>
        <v>0</v>
      </c>
      <c r="BO309" s="853">
        <f t="shared" si="209"/>
        <v>0</v>
      </c>
      <c r="BP309" s="846">
        <f t="shared" si="209"/>
        <v>0</v>
      </c>
      <c r="BQ309" s="893">
        <f t="shared" si="209"/>
        <v>0</v>
      </c>
      <c r="BR309" s="894">
        <f t="shared" si="209"/>
        <v>0</v>
      </c>
      <c r="BS309" s="877">
        <f t="shared" si="209"/>
        <v>0</v>
      </c>
      <c r="BT309" s="765">
        <f t="shared" ref="BT309:BZ309" si="210">SUM(BT17,BT76,BT134,BT192,BT250)</f>
        <v>0</v>
      </c>
      <c r="BU309" s="882">
        <f t="shared" si="210"/>
        <v>0</v>
      </c>
      <c r="BV309" s="883">
        <f t="shared" si="210"/>
        <v>0</v>
      </c>
      <c r="BW309" s="871">
        <f t="shared" si="210"/>
        <v>0</v>
      </c>
      <c r="BX309" s="858">
        <f t="shared" si="210"/>
        <v>0</v>
      </c>
      <c r="BY309" s="859">
        <f t="shared" si="210"/>
        <v>0</v>
      </c>
      <c r="BZ309" s="840">
        <f t="shared" si="210"/>
        <v>0</v>
      </c>
      <c r="CA309" s="765">
        <f t="shared" ref="CA309:CG309" si="211">SUM(CA17,CA76,CA134,CA192,CA250)</f>
        <v>0</v>
      </c>
      <c r="CB309" s="852">
        <f t="shared" si="211"/>
        <v>0</v>
      </c>
      <c r="CC309" s="853">
        <f t="shared" si="211"/>
        <v>0</v>
      </c>
      <c r="CD309" s="846">
        <f t="shared" si="211"/>
        <v>0</v>
      </c>
      <c r="CE309" s="893">
        <f t="shared" si="211"/>
        <v>0</v>
      </c>
      <c r="CF309" s="894">
        <f t="shared" si="211"/>
        <v>0</v>
      </c>
      <c r="CG309" s="877">
        <f t="shared" si="211"/>
        <v>0</v>
      </c>
      <c r="CH309" s="765">
        <f t="shared" ref="CH309:CN309" si="212">SUM(CH17,CH76,CH134,CH192,CH250)</f>
        <v>0</v>
      </c>
      <c r="CI309" s="882">
        <f t="shared" si="212"/>
        <v>0</v>
      </c>
      <c r="CJ309" s="883">
        <f t="shared" si="212"/>
        <v>0</v>
      </c>
      <c r="CK309" s="871">
        <f t="shared" si="212"/>
        <v>0</v>
      </c>
      <c r="CL309" s="858">
        <f t="shared" si="212"/>
        <v>0</v>
      </c>
      <c r="CM309" s="859">
        <f t="shared" si="212"/>
        <v>0</v>
      </c>
      <c r="CN309" s="840">
        <f t="shared" si="212"/>
        <v>0</v>
      </c>
    </row>
    <row r="310" spans="1:92" x14ac:dyDescent="0.25">
      <c r="A310" s="757">
        <v>10</v>
      </c>
      <c r="B310" s="765">
        <f t="shared" si="156"/>
        <v>0</v>
      </c>
      <c r="C310" s="870">
        <f t="shared" ref="C310:AX310" si="213">SUM(C18,C77,C135,C193,C251)</f>
        <v>0</v>
      </c>
      <c r="D310" s="870">
        <f t="shared" si="213"/>
        <v>0</v>
      </c>
      <c r="E310" s="871">
        <f t="shared" si="213"/>
        <v>0</v>
      </c>
      <c r="F310" s="838">
        <f t="shared" si="213"/>
        <v>0</v>
      </c>
      <c r="G310" s="866">
        <f t="shared" si="213"/>
        <v>0</v>
      </c>
      <c r="H310" s="840">
        <f t="shared" si="213"/>
        <v>0</v>
      </c>
      <c r="I310" s="765">
        <f t="shared" si="213"/>
        <v>0</v>
      </c>
      <c r="J310" s="852">
        <f t="shared" si="213"/>
        <v>0</v>
      </c>
      <c r="K310" s="853">
        <f t="shared" si="213"/>
        <v>0</v>
      </c>
      <c r="L310" s="846">
        <f t="shared" si="213"/>
        <v>0</v>
      </c>
      <c r="M310" s="893">
        <f t="shared" si="213"/>
        <v>0</v>
      </c>
      <c r="N310" s="894">
        <f t="shared" si="213"/>
        <v>0</v>
      </c>
      <c r="O310" s="877">
        <f t="shared" si="213"/>
        <v>0</v>
      </c>
      <c r="P310" s="765">
        <f t="shared" si="213"/>
        <v>0</v>
      </c>
      <c r="Q310" s="882">
        <f t="shared" si="213"/>
        <v>0</v>
      </c>
      <c r="R310" s="883">
        <f t="shared" si="213"/>
        <v>0</v>
      </c>
      <c r="S310" s="871">
        <f t="shared" si="213"/>
        <v>0</v>
      </c>
      <c r="T310" s="858">
        <f t="shared" si="213"/>
        <v>0</v>
      </c>
      <c r="U310" s="859">
        <f t="shared" si="213"/>
        <v>0</v>
      </c>
      <c r="V310" s="840">
        <f t="shared" si="213"/>
        <v>0</v>
      </c>
      <c r="W310" s="958">
        <f t="shared" si="213"/>
        <v>0</v>
      </c>
      <c r="X310" s="852">
        <f t="shared" si="213"/>
        <v>0</v>
      </c>
      <c r="Y310" s="853">
        <f t="shared" si="213"/>
        <v>0</v>
      </c>
      <c r="Z310" s="846">
        <f t="shared" si="213"/>
        <v>0</v>
      </c>
      <c r="AA310" s="893">
        <f t="shared" si="213"/>
        <v>0</v>
      </c>
      <c r="AB310" s="894">
        <f t="shared" si="213"/>
        <v>0</v>
      </c>
      <c r="AC310" s="877">
        <f t="shared" si="213"/>
        <v>0</v>
      </c>
      <c r="AD310" s="958">
        <f t="shared" si="213"/>
        <v>0</v>
      </c>
      <c r="AE310" s="1056">
        <f t="shared" si="213"/>
        <v>0</v>
      </c>
      <c r="AF310" s="1057">
        <f t="shared" si="213"/>
        <v>0</v>
      </c>
      <c r="AG310" s="1058">
        <f t="shared" si="213"/>
        <v>0</v>
      </c>
      <c r="AH310" s="1059">
        <f t="shared" si="213"/>
        <v>0</v>
      </c>
      <c r="AI310" s="1060">
        <f t="shared" si="213"/>
        <v>0</v>
      </c>
      <c r="AJ310" s="1061">
        <f t="shared" si="213"/>
        <v>0</v>
      </c>
      <c r="AK310" s="958">
        <f t="shared" si="213"/>
        <v>0</v>
      </c>
      <c r="AL310" s="852">
        <f t="shared" si="213"/>
        <v>0</v>
      </c>
      <c r="AM310" s="853">
        <f t="shared" si="213"/>
        <v>0</v>
      </c>
      <c r="AN310" s="846">
        <f t="shared" si="213"/>
        <v>0</v>
      </c>
      <c r="AO310" s="893">
        <f t="shared" si="213"/>
        <v>0</v>
      </c>
      <c r="AP310" s="894">
        <f t="shared" si="213"/>
        <v>0</v>
      </c>
      <c r="AQ310" s="877">
        <f t="shared" si="213"/>
        <v>0</v>
      </c>
      <c r="AR310" s="765">
        <f t="shared" si="213"/>
        <v>0</v>
      </c>
      <c r="AS310" s="882">
        <f t="shared" si="213"/>
        <v>0</v>
      </c>
      <c r="AT310" s="883">
        <f t="shared" si="213"/>
        <v>0</v>
      </c>
      <c r="AU310" s="871">
        <f t="shared" si="213"/>
        <v>0</v>
      </c>
      <c r="AV310" s="858">
        <f t="shared" si="213"/>
        <v>0</v>
      </c>
      <c r="AW310" s="859">
        <f t="shared" si="213"/>
        <v>0</v>
      </c>
      <c r="AX310" s="840">
        <f t="shared" si="213"/>
        <v>0</v>
      </c>
      <c r="AY310" s="765">
        <f t="shared" ref="AY310:BE310" si="214">SUM(AY18,AY77,AY135,AY193,AY251)</f>
        <v>0</v>
      </c>
      <c r="AZ310" s="852">
        <f t="shared" si="214"/>
        <v>0</v>
      </c>
      <c r="BA310" s="853">
        <f t="shared" si="214"/>
        <v>0</v>
      </c>
      <c r="BB310" s="846">
        <f t="shared" si="214"/>
        <v>0</v>
      </c>
      <c r="BC310" s="893">
        <f t="shared" si="214"/>
        <v>0</v>
      </c>
      <c r="BD310" s="894">
        <f t="shared" si="214"/>
        <v>0</v>
      </c>
      <c r="BE310" s="877">
        <f t="shared" si="214"/>
        <v>0</v>
      </c>
      <c r="BF310" s="765">
        <f t="shared" ref="BF310:BL310" si="215">SUM(BF18,BF77,BF135,BF193,BF251)</f>
        <v>0</v>
      </c>
      <c r="BG310" s="882">
        <f t="shared" si="215"/>
        <v>0</v>
      </c>
      <c r="BH310" s="883">
        <f t="shared" si="215"/>
        <v>0</v>
      </c>
      <c r="BI310" s="871">
        <f t="shared" si="215"/>
        <v>0</v>
      </c>
      <c r="BJ310" s="858">
        <f t="shared" si="215"/>
        <v>0</v>
      </c>
      <c r="BK310" s="859">
        <f t="shared" si="215"/>
        <v>0</v>
      </c>
      <c r="BL310" s="840">
        <f t="shared" si="215"/>
        <v>0</v>
      </c>
      <c r="BM310" s="765">
        <f t="shared" ref="BM310:BS310" si="216">SUM(BM18,BM77,BM135,BM193,BM251)</f>
        <v>33</v>
      </c>
      <c r="BN310" s="852">
        <f t="shared" si="216"/>
        <v>0</v>
      </c>
      <c r="BO310" s="853">
        <f t="shared" si="216"/>
        <v>0</v>
      </c>
      <c r="BP310" s="846">
        <f t="shared" si="216"/>
        <v>0</v>
      </c>
      <c r="BQ310" s="893">
        <f t="shared" si="216"/>
        <v>33</v>
      </c>
      <c r="BR310" s="894">
        <f t="shared" si="216"/>
        <v>0</v>
      </c>
      <c r="BS310" s="877">
        <f t="shared" si="216"/>
        <v>33</v>
      </c>
      <c r="BT310" s="765">
        <f t="shared" ref="BT310:BZ310" si="217">SUM(BT18,BT77,BT135,BT193,BT251)</f>
        <v>0</v>
      </c>
      <c r="BU310" s="882">
        <f t="shared" si="217"/>
        <v>0</v>
      </c>
      <c r="BV310" s="883">
        <f t="shared" si="217"/>
        <v>0</v>
      </c>
      <c r="BW310" s="871">
        <f t="shared" si="217"/>
        <v>0</v>
      </c>
      <c r="BX310" s="858">
        <f t="shared" si="217"/>
        <v>0</v>
      </c>
      <c r="BY310" s="859">
        <f t="shared" si="217"/>
        <v>0</v>
      </c>
      <c r="BZ310" s="840">
        <f t="shared" si="217"/>
        <v>0</v>
      </c>
      <c r="CA310" s="765">
        <f t="shared" ref="CA310:CG310" si="218">SUM(CA18,CA77,CA135,CA193,CA251)</f>
        <v>0</v>
      </c>
      <c r="CB310" s="852">
        <f t="shared" si="218"/>
        <v>0</v>
      </c>
      <c r="CC310" s="853">
        <f t="shared" si="218"/>
        <v>0</v>
      </c>
      <c r="CD310" s="846">
        <f t="shared" si="218"/>
        <v>0</v>
      </c>
      <c r="CE310" s="893">
        <f t="shared" si="218"/>
        <v>0</v>
      </c>
      <c r="CF310" s="894">
        <f t="shared" si="218"/>
        <v>0</v>
      </c>
      <c r="CG310" s="877">
        <f t="shared" si="218"/>
        <v>0</v>
      </c>
      <c r="CH310" s="765">
        <f t="shared" ref="CH310:CN310" si="219">SUM(CH18,CH77,CH135,CH193,CH251)</f>
        <v>0</v>
      </c>
      <c r="CI310" s="882">
        <f t="shared" si="219"/>
        <v>0</v>
      </c>
      <c r="CJ310" s="883">
        <f t="shared" si="219"/>
        <v>0</v>
      </c>
      <c r="CK310" s="871">
        <f t="shared" si="219"/>
        <v>0</v>
      </c>
      <c r="CL310" s="858">
        <f t="shared" si="219"/>
        <v>0</v>
      </c>
      <c r="CM310" s="859">
        <f t="shared" si="219"/>
        <v>0</v>
      </c>
      <c r="CN310" s="840">
        <f t="shared" si="219"/>
        <v>0</v>
      </c>
    </row>
    <row r="311" spans="1:92" x14ac:dyDescent="0.25">
      <c r="A311" s="757">
        <v>11</v>
      </c>
      <c r="B311" s="765">
        <f t="shared" si="156"/>
        <v>0</v>
      </c>
      <c r="C311" s="870">
        <f t="shared" ref="C311:AX311" si="220">SUM(C19,C78,C136,C194,C252)</f>
        <v>0</v>
      </c>
      <c r="D311" s="870">
        <f t="shared" si="220"/>
        <v>0</v>
      </c>
      <c r="E311" s="871">
        <f t="shared" si="220"/>
        <v>0</v>
      </c>
      <c r="F311" s="838">
        <f t="shared" si="220"/>
        <v>0</v>
      </c>
      <c r="G311" s="866">
        <f t="shared" si="220"/>
        <v>0</v>
      </c>
      <c r="H311" s="840">
        <f t="shared" si="220"/>
        <v>0</v>
      </c>
      <c r="I311" s="765">
        <f t="shared" si="220"/>
        <v>0</v>
      </c>
      <c r="J311" s="852">
        <f t="shared" si="220"/>
        <v>0</v>
      </c>
      <c r="K311" s="853">
        <f t="shared" si="220"/>
        <v>0</v>
      </c>
      <c r="L311" s="846">
        <f t="shared" si="220"/>
        <v>0</v>
      </c>
      <c r="M311" s="893">
        <f t="shared" si="220"/>
        <v>0</v>
      </c>
      <c r="N311" s="894">
        <f t="shared" si="220"/>
        <v>0</v>
      </c>
      <c r="O311" s="877">
        <f t="shared" si="220"/>
        <v>0</v>
      </c>
      <c r="P311" s="765">
        <f t="shared" si="220"/>
        <v>0</v>
      </c>
      <c r="Q311" s="882">
        <f t="shared" si="220"/>
        <v>0</v>
      </c>
      <c r="R311" s="883">
        <f t="shared" si="220"/>
        <v>0</v>
      </c>
      <c r="S311" s="871">
        <f t="shared" si="220"/>
        <v>0</v>
      </c>
      <c r="T311" s="858">
        <f t="shared" si="220"/>
        <v>0</v>
      </c>
      <c r="U311" s="859">
        <f t="shared" si="220"/>
        <v>0</v>
      </c>
      <c r="V311" s="840">
        <f t="shared" si="220"/>
        <v>0</v>
      </c>
      <c r="W311" s="958">
        <f t="shared" si="220"/>
        <v>0</v>
      </c>
      <c r="X311" s="852">
        <f t="shared" si="220"/>
        <v>0</v>
      </c>
      <c r="Y311" s="853">
        <f t="shared" si="220"/>
        <v>0</v>
      </c>
      <c r="Z311" s="846">
        <f t="shared" si="220"/>
        <v>0</v>
      </c>
      <c r="AA311" s="893">
        <f t="shared" si="220"/>
        <v>0</v>
      </c>
      <c r="AB311" s="894">
        <f t="shared" si="220"/>
        <v>0</v>
      </c>
      <c r="AC311" s="877">
        <f t="shared" si="220"/>
        <v>0</v>
      </c>
      <c r="AD311" s="958">
        <f t="shared" si="220"/>
        <v>0</v>
      </c>
      <c r="AE311" s="1056">
        <f t="shared" si="220"/>
        <v>0</v>
      </c>
      <c r="AF311" s="1057">
        <f t="shared" si="220"/>
        <v>0</v>
      </c>
      <c r="AG311" s="1058">
        <f t="shared" si="220"/>
        <v>0</v>
      </c>
      <c r="AH311" s="1059">
        <f t="shared" si="220"/>
        <v>0</v>
      </c>
      <c r="AI311" s="1060">
        <f t="shared" si="220"/>
        <v>0</v>
      </c>
      <c r="AJ311" s="1061">
        <f t="shared" si="220"/>
        <v>0</v>
      </c>
      <c r="AK311" s="958">
        <f t="shared" si="220"/>
        <v>0</v>
      </c>
      <c r="AL311" s="852">
        <f t="shared" si="220"/>
        <v>0</v>
      </c>
      <c r="AM311" s="853">
        <f t="shared" si="220"/>
        <v>0</v>
      </c>
      <c r="AN311" s="846">
        <f t="shared" si="220"/>
        <v>0</v>
      </c>
      <c r="AO311" s="893">
        <f t="shared" si="220"/>
        <v>0</v>
      </c>
      <c r="AP311" s="894">
        <f t="shared" si="220"/>
        <v>0</v>
      </c>
      <c r="AQ311" s="877">
        <f t="shared" si="220"/>
        <v>0</v>
      </c>
      <c r="AR311" s="765">
        <f t="shared" si="220"/>
        <v>0</v>
      </c>
      <c r="AS311" s="882">
        <f t="shared" si="220"/>
        <v>0</v>
      </c>
      <c r="AT311" s="883">
        <f t="shared" si="220"/>
        <v>0</v>
      </c>
      <c r="AU311" s="871">
        <f t="shared" si="220"/>
        <v>0</v>
      </c>
      <c r="AV311" s="858">
        <f t="shared" si="220"/>
        <v>0</v>
      </c>
      <c r="AW311" s="859">
        <f t="shared" si="220"/>
        <v>0</v>
      </c>
      <c r="AX311" s="840">
        <f t="shared" si="220"/>
        <v>0</v>
      </c>
      <c r="AY311" s="765">
        <f t="shared" ref="AY311:BE311" si="221">SUM(AY19,AY78,AY136,AY194,AY252)</f>
        <v>0</v>
      </c>
      <c r="AZ311" s="852">
        <f t="shared" si="221"/>
        <v>0</v>
      </c>
      <c r="BA311" s="853">
        <f t="shared" si="221"/>
        <v>0</v>
      </c>
      <c r="BB311" s="846">
        <f t="shared" si="221"/>
        <v>0</v>
      </c>
      <c r="BC311" s="893">
        <f t="shared" si="221"/>
        <v>0</v>
      </c>
      <c r="BD311" s="894">
        <f t="shared" si="221"/>
        <v>0</v>
      </c>
      <c r="BE311" s="877">
        <f t="shared" si="221"/>
        <v>0</v>
      </c>
      <c r="BF311" s="765">
        <f t="shared" ref="BF311:BL311" si="222">SUM(BF19,BF78,BF136,BF194,BF252)</f>
        <v>0</v>
      </c>
      <c r="BG311" s="882">
        <f t="shared" si="222"/>
        <v>0</v>
      </c>
      <c r="BH311" s="883">
        <f t="shared" si="222"/>
        <v>0</v>
      </c>
      <c r="BI311" s="871">
        <f t="shared" si="222"/>
        <v>0</v>
      </c>
      <c r="BJ311" s="858">
        <f t="shared" si="222"/>
        <v>0</v>
      </c>
      <c r="BK311" s="859">
        <f t="shared" si="222"/>
        <v>0</v>
      </c>
      <c r="BL311" s="840">
        <f t="shared" si="222"/>
        <v>0</v>
      </c>
      <c r="BM311" s="765">
        <f t="shared" ref="BM311:BS311" si="223">SUM(BM19,BM78,BM136,BM194,BM252)</f>
        <v>27</v>
      </c>
      <c r="BN311" s="852">
        <f t="shared" si="223"/>
        <v>0</v>
      </c>
      <c r="BO311" s="853">
        <f t="shared" si="223"/>
        <v>0</v>
      </c>
      <c r="BP311" s="846">
        <f t="shared" si="223"/>
        <v>0</v>
      </c>
      <c r="BQ311" s="893">
        <f t="shared" si="223"/>
        <v>27</v>
      </c>
      <c r="BR311" s="894">
        <f t="shared" si="223"/>
        <v>0</v>
      </c>
      <c r="BS311" s="877">
        <f t="shared" si="223"/>
        <v>27</v>
      </c>
      <c r="BT311" s="765">
        <f t="shared" ref="BT311:BZ311" si="224">SUM(BT19,BT78,BT136,BT194,BT252)</f>
        <v>0</v>
      </c>
      <c r="BU311" s="882">
        <f t="shared" si="224"/>
        <v>0</v>
      </c>
      <c r="BV311" s="883">
        <f t="shared" si="224"/>
        <v>0</v>
      </c>
      <c r="BW311" s="871">
        <f t="shared" si="224"/>
        <v>0</v>
      </c>
      <c r="BX311" s="858">
        <f t="shared" si="224"/>
        <v>0</v>
      </c>
      <c r="BY311" s="859">
        <f t="shared" si="224"/>
        <v>0</v>
      </c>
      <c r="BZ311" s="840">
        <f t="shared" si="224"/>
        <v>0</v>
      </c>
      <c r="CA311" s="765">
        <f t="shared" ref="CA311:CG311" si="225">SUM(CA19,CA78,CA136,CA194,CA252)</f>
        <v>0</v>
      </c>
      <c r="CB311" s="852">
        <f t="shared" si="225"/>
        <v>0</v>
      </c>
      <c r="CC311" s="853">
        <f t="shared" si="225"/>
        <v>0</v>
      </c>
      <c r="CD311" s="846">
        <f t="shared" si="225"/>
        <v>0</v>
      </c>
      <c r="CE311" s="893">
        <f t="shared" si="225"/>
        <v>0</v>
      </c>
      <c r="CF311" s="894">
        <f t="shared" si="225"/>
        <v>0</v>
      </c>
      <c r="CG311" s="877">
        <f t="shared" si="225"/>
        <v>0</v>
      </c>
      <c r="CH311" s="765">
        <f t="shared" ref="CH311:CN311" si="226">SUM(CH19,CH78,CH136,CH194,CH252)</f>
        <v>0</v>
      </c>
      <c r="CI311" s="882">
        <f t="shared" si="226"/>
        <v>0</v>
      </c>
      <c r="CJ311" s="883">
        <f t="shared" si="226"/>
        <v>0</v>
      </c>
      <c r="CK311" s="871">
        <f t="shared" si="226"/>
        <v>0</v>
      </c>
      <c r="CL311" s="858">
        <f t="shared" si="226"/>
        <v>0</v>
      </c>
      <c r="CM311" s="859">
        <f t="shared" si="226"/>
        <v>0</v>
      </c>
      <c r="CN311" s="840">
        <f t="shared" si="226"/>
        <v>0</v>
      </c>
    </row>
    <row r="312" spans="1:92" x14ac:dyDescent="0.25">
      <c r="A312" s="757">
        <v>12</v>
      </c>
      <c r="B312" s="765">
        <f t="shared" si="156"/>
        <v>0</v>
      </c>
      <c r="C312" s="870">
        <f t="shared" ref="C312:AX312" si="227">SUM(C20,C79,C137,C195,C253)</f>
        <v>0</v>
      </c>
      <c r="D312" s="870">
        <f t="shared" si="227"/>
        <v>0</v>
      </c>
      <c r="E312" s="871">
        <f t="shared" si="227"/>
        <v>0</v>
      </c>
      <c r="F312" s="838">
        <f t="shared" si="227"/>
        <v>0</v>
      </c>
      <c r="G312" s="866">
        <f t="shared" si="227"/>
        <v>0</v>
      </c>
      <c r="H312" s="840">
        <f t="shared" si="227"/>
        <v>0</v>
      </c>
      <c r="I312" s="765">
        <f t="shared" si="227"/>
        <v>0</v>
      </c>
      <c r="J312" s="852">
        <f t="shared" si="227"/>
        <v>0</v>
      </c>
      <c r="K312" s="853">
        <f t="shared" si="227"/>
        <v>0</v>
      </c>
      <c r="L312" s="846">
        <f t="shared" si="227"/>
        <v>0</v>
      </c>
      <c r="M312" s="893">
        <f t="shared" si="227"/>
        <v>0</v>
      </c>
      <c r="N312" s="894">
        <f t="shared" si="227"/>
        <v>0</v>
      </c>
      <c r="O312" s="877">
        <f t="shared" si="227"/>
        <v>0</v>
      </c>
      <c r="P312" s="765">
        <f t="shared" si="227"/>
        <v>0</v>
      </c>
      <c r="Q312" s="882">
        <f t="shared" si="227"/>
        <v>0</v>
      </c>
      <c r="R312" s="883">
        <f t="shared" si="227"/>
        <v>0</v>
      </c>
      <c r="S312" s="871">
        <f t="shared" si="227"/>
        <v>0</v>
      </c>
      <c r="T312" s="858">
        <f t="shared" si="227"/>
        <v>0</v>
      </c>
      <c r="U312" s="859">
        <f t="shared" si="227"/>
        <v>0</v>
      </c>
      <c r="V312" s="840">
        <f t="shared" si="227"/>
        <v>0</v>
      </c>
      <c r="W312" s="958">
        <f t="shared" si="227"/>
        <v>0</v>
      </c>
      <c r="X312" s="852">
        <f t="shared" si="227"/>
        <v>0</v>
      </c>
      <c r="Y312" s="853">
        <f t="shared" si="227"/>
        <v>0</v>
      </c>
      <c r="Z312" s="846">
        <f t="shared" si="227"/>
        <v>0</v>
      </c>
      <c r="AA312" s="893">
        <f t="shared" si="227"/>
        <v>0</v>
      </c>
      <c r="AB312" s="894">
        <f t="shared" si="227"/>
        <v>0</v>
      </c>
      <c r="AC312" s="877">
        <f t="shared" si="227"/>
        <v>0</v>
      </c>
      <c r="AD312" s="958">
        <f t="shared" si="227"/>
        <v>0</v>
      </c>
      <c r="AE312" s="1056">
        <f t="shared" si="227"/>
        <v>0</v>
      </c>
      <c r="AF312" s="1057">
        <f t="shared" si="227"/>
        <v>0</v>
      </c>
      <c r="AG312" s="1058">
        <f t="shared" si="227"/>
        <v>0</v>
      </c>
      <c r="AH312" s="1059">
        <f t="shared" si="227"/>
        <v>0</v>
      </c>
      <c r="AI312" s="1060">
        <f t="shared" si="227"/>
        <v>0</v>
      </c>
      <c r="AJ312" s="1061">
        <f t="shared" si="227"/>
        <v>0</v>
      </c>
      <c r="AK312" s="958">
        <f t="shared" si="227"/>
        <v>0</v>
      </c>
      <c r="AL312" s="852">
        <f t="shared" si="227"/>
        <v>0</v>
      </c>
      <c r="AM312" s="853">
        <f t="shared" si="227"/>
        <v>0</v>
      </c>
      <c r="AN312" s="846">
        <f t="shared" si="227"/>
        <v>0</v>
      </c>
      <c r="AO312" s="893">
        <f t="shared" si="227"/>
        <v>0</v>
      </c>
      <c r="AP312" s="894">
        <f t="shared" si="227"/>
        <v>0</v>
      </c>
      <c r="AQ312" s="877">
        <f t="shared" si="227"/>
        <v>0</v>
      </c>
      <c r="AR312" s="765">
        <f t="shared" si="227"/>
        <v>0</v>
      </c>
      <c r="AS312" s="882">
        <f t="shared" si="227"/>
        <v>0</v>
      </c>
      <c r="AT312" s="883">
        <f t="shared" si="227"/>
        <v>0</v>
      </c>
      <c r="AU312" s="871">
        <f t="shared" si="227"/>
        <v>0</v>
      </c>
      <c r="AV312" s="858">
        <f t="shared" si="227"/>
        <v>0</v>
      </c>
      <c r="AW312" s="859">
        <f t="shared" si="227"/>
        <v>0</v>
      </c>
      <c r="AX312" s="840">
        <f t="shared" si="227"/>
        <v>0</v>
      </c>
      <c r="AY312" s="765">
        <f t="shared" ref="AY312:BE312" si="228">SUM(AY20,AY79,AY137,AY195,AY253)</f>
        <v>0</v>
      </c>
      <c r="AZ312" s="852">
        <f t="shared" si="228"/>
        <v>0</v>
      </c>
      <c r="BA312" s="853">
        <f t="shared" si="228"/>
        <v>0</v>
      </c>
      <c r="BB312" s="846">
        <f t="shared" si="228"/>
        <v>0</v>
      </c>
      <c r="BC312" s="893">
        <f t="shared" si="228"/>
        <v>0</v>
      </c>
      <c r="BD312" s="894">
        <f t="shared" si="228"/>
        <v>0</v>
      </c>
      <c r="BE312" s="877">
        <f t="shared" si="228"/>
        <v>0</v>
      </c>
      <c r="BF312" s="765">
        <f t="shared" ref="BF312:BL312" si="229">SUM(BF20,BF79,BF137,BF195,BF253)</f>
        <v>0</v>
      </c>
      <c r="BG312" s="882">
        <f t="shared" si="229"/>
        <v>0</v>
      </c>
      <c r="BH312" s="883">
        <f t="shared" si="229"/>
        <v>0</v>
      </c>
      <c r="BI312" s="871">
        <f t="shared" si="229"/>
        <v>0</v>
      </c>
      <c r="BJ312" s="858">
        <f t="shared" si="229"/>
        <v>0</v>
      </c>
      <c r="BK312" s="859">
        <f t="shared" si="229"/>
        <v>0</v>
      </c>
      <c r="BL312" s="840">
        <f t="shared" si="229"/>
        <v>0</v>
      </c>
      <c r="BM312" s="765">
        <f t="shared" ref="BM312:BS312" si="230">SUM(BM20,BM79,BM137,BM195,BM253)</f>
        <v>0</v>
      </c>
      <c r="BN312" s="852">
        <f t="shared" si="230"/>
        <v>0</v>
      </c>
      <c r="BO312" s="853">
        <f t="shared" si="230"/>
        <v>0</v>
      </c>
      <c r="BP312" s="846">
        <f t="shared" si="230"/>
        <v>0</v>
      </c>
      <c r="BQ312" s="893">
        <f t="shared" si="230"/>
        <v>0</v>
      </c>
      <c r="BR312" s="894">
        <f t="shared" si="230"/>
        <v>0</v>
      </c>
      <c r="BS312" s="877">
        <f t="shared" si="230"/>
        <v>0</v>
      </c>
      <c r="BT312" s="765">
        <f t="shared" ref="BT312:BZ312" si="231">SUM(BT20,BT79,BT137,BT195,BT253)</f>
        <v>0</v>
      </c>
      <c r="BU312" s="882">
        <f t="shared" si="231"/>
        <v>0</v>
      </c>
      <c r="BV312" s="883">
        <f t="shared" si="231"/>
        <v>0</v>
      </c>
      <c r="BW312" s="871">
        <f t="shared" si="231"/>
        <v>0</v>
      </c>
      <c r="BX312" s="858">
        <f t="shared" si="231"/>
        <v>0</v>
      </c>
      <c r="BY312" s="859">
        <f t="shared" si="231"/>
        <v>0</v>
      </c>
      <c r="BZ312" s="840">
        <f t="shared" si="231"/>
        <v>0</v>
      </c>
      <c r="CA312" s="765">
        <f t="shared" ref="CA312:CG312" si="232">SUM(CA20,CA79,CA137,CA195,CA253)</f>
        <v>0</v>
      </c>
      <c r="CB312" s="852">
        <f t="shared" si="232"/>
        <v>0</v>
      </c>
      <c r="CC312" s="853">
        <f t="shared" si="232"/>
        <v>0</v>
      </c>
      <c r="CD312" s="846">
        <f t="shared" si="232"/>
        <v>0</v>
      </c>
      <c r="CE312" s="893">
        <f t="shared" si="232"/>
        <v>0</v>
      </c>
      <c r="CF312" s="894">
        <f t="shared" si="232"/>
        <v>0</v>
      </c>
      <c r="CG312" s="877">
        <f t="shared" si="232"/>
        <v>0</v>
      </c>
      <c r="CH312" s="765">
        <f t="shared" ref="CH312:CN312" si="233">SUM(CH20,CH79,CH137,CH195,CH253)</f>
        <v>0</v>
      </c>
      <c r="CI312" s="882">
        <f t="shared" si="233"/>
        <v>0</v>
      </c>
      <c r="CJ312" s="883">
        <f t="shared" si="233"/>
        <v>0</v>
      </c>
      <c r="CK312" s="871">
        <f t="shared" si="233"/>
        <v>0</v>
      </c>
      <c r="CL312" s="858">
        <f t="shared" si="233"/>
        <v>0</v>
      </c>
      <c r="CM312" s="859">
        <f t="shared" si="233"/>
        <v>0</v>
      </c>
      <c r="CN312" s="840">
        <f t="shared" si="233"/>
        <v>0</v>
      </c>
    </row>
    <row r="313" spans="1:92" x14ac:dyDescent="0.25">
      <c r="A313" s="757">
        <v>13</v>
      </c>
      <c r="B313" s="765">
        <f t="shared" si="156"/>
        <v>0</v>
      </c>
      <c r="C313" s="870">
        <f t="shared" ref="C313:AX313" si="234">SUM(C21,C80,C138,C196,C254)</f>
        <v>0</v>
      </c>
      <c r="D313" s="870">
        <f t="shared" si="234"/>
        <v>0</v>
      </c>
      <c r="E313" s="871">
        <f t="shared" si="234"/>
        <v>0</v>
      </c>
      <c r="F313" s="838">
        <f t="shared" si="234"/>
        <v>0</v>
      </c>
      <c r="G313" s="866">
        <f t="shared" si="234"/>
        <v>0</v>
      </c>
      <c r="H313" s="840">
        <f t="shared" si="234"/>
        <v>0</v>
      </c>
      <c r="I313" s="765">
        <f t="shared" si="234"/>
        <v>0</v>
      </c>
      <c r="J313" s="852">
        <f t="shared" si="234"/>
        <v>0</v>
      </c>
      <c r="K313" s="853">
        <f t="shared" si="234"/>
        <v>0</v>
      </c>
      <c r="L313" s="846">
        <f t="shared" si="234"/>
        <v>0</v>
      </c>
      <c r="M313" s="893">
        <f t="shared" si="234"/>
        <v>0</v>
      </c>
      <c r="N313" s="894">
        <f t="shared" si="234"/>
        <v>0</v>
      </c>
      <c r="O313" s="877">
        <f t="shared" si="234"/>
        <v>0</v>
      </c>
      <c r="P313" s="765">
        <f t="shared" si="234"/>
        <v>0</v>
      </c>
      <c r="Q313" s="882">
        <f t="shared" si="234"/>
        <v>0</v>
      </c>
      <c r="R313" s="883">
        <f t="shared" si="234"/>
        <v>0</v>
      </c>
      <c r="S313" s="871">
        <f t="shared" si="234"/>
        <v>0</v>
      </c>
      <c r="T313" s="858">
        <f t="shared" si="234"/>
        <v>0</v>
      </c>
      <c r="U313" s="859">
        <f t="shared" si="234"/>
        <v>0</v>
      </c>
      <c r="V313" s="840">
        <f t="shared" si="234"/>
        <v>0</v>
      </c>
      <c r="W313" s="958">
        <f t="shared" si="234"/>
        <v>0</v>
      </c>
      <c r="X313" s="852">
        <f t="shared" si="234"/>
        <v>0</v>
      </c>
      <c r="Y313" s="853">
        <f t="shared" si="234"/>
        <v>0</v>
      </c>
      <c r="Z313" s="846">
        <f t="shared" si="234"/>
        <v>0</v>
      </c>
      <c r="AA313" s="893">
        <f t="shared" si="234"/>
        <v>0</v>
      </c>
      <c r="AB313" s="894">
        <f t="shared" si="234"/>
        <v>0</v>
      </c>
      <c r="AC313" s="877">
        <f t="shared" si="234"/>
        <v>0</v>
      </c>
      <c r="AD313" s="958">
        <f t="shared" si="234"/>
        <v>0</v>
      </c>
      <c r="AE313" s="1056">
        <f t="shared" si="234"/>
        <v>0</v>
      </c>
      <c r="AF313" s="1057">
        <f t="shared" si="234"/>
        <v>0</v>
      </c>
      <c r="AG313" s="1058">
        <f t="shared" si="234"/>
        <v>0</v>
      </c>
      <c r="AH313" s="1059">
        <f t="shared" si="234"/>
        <v>0</v>
      </c>
      <c r="AI313" s="1060">
        <f t="shared" si="234"/>
        <v>0</v>
      </c>
      <c r="AJ313" s="1061">
        <f t="shared" si="234"/>
        <v>0</v>
      </c>
      <c r="AK313" s="958">
        <f t="shared" si="234"/>
        <v>0</v>
      </c>
      <c r="AL313" s="852">
        <f t="shared" si="234"/>
        <v>0</v>
      </c>
      <c r="AM313" s="853">
        <f t="shared" si="234"/>
        <v>0</v>
      </c>
      <c r="AN313" s="846">
        <f t="shared" si="234"/>
        <v>0</v>
      </c>
      <c r="AO313" s="893">
        <f t="shared" si="234"/>
        <v>0</v>
      </c>
      <c r="AP313" s="894">
        <f t="shared" si="234"/>
        <v>0</v>
      </c>
      <c r="AQ313" s="877">
        <f t="shared" si="234"/>
        <v>0</v>
      </c>
      <c r="AR313" s="765">
        <f t="shared" si="234"/>
        <v>0</v>
      </c>
      <c r="AS313" s="882">
        <f t="shared" si="234"/>
        <v>0</v>
      </c>
      <c r="AT313" s="883">
        <f t="shared" si="234"/>
        <v>0</v>
      </c>
      <c r="AU313" s="871">
        <f t="shared" si="234"/>
        <v>0</v>
      </c>
      <c r="AV313" s="858">
        <f t="shared" si="234"/>
        <v>0</v>
      </c>
      <c r="AW313" s="859">
        <f t="shared" si="234"/>
        <v>0</v>
      </c>
      <c r="AX313" s="840">
        <f t="shared" si="234"/>
        <v>0</v>
      </c>
      <c r="AY313" s="765">
        <f t="shared" ref="AY313:BE313" si="235">SUM(AY21,AY80,AY138,AY196,AY254)</f>
        <v>0</v>
      </c>
      <c r="AZ313" s="852">
        <f t="shared" si="235"/>
        <v>0</v>
      </c>
      <c r="BA313" s="853">
        <f t="shared" si="235"/>
        <v>0</v>
      </c>
      <c r="BB313" s="846">
        <f t="shared" si="235"/>
        <v>0</v>
      </c>
      <c r="BC313" s="893">
        <f t="shared" si="235"/>
        <v>0</v>
      </c>
      <c r="BD313" s="894">
        <f t="shared" si="235"/>
        <v>0</v>
      </c>
      <c r="BE313" s="877">
        <f t="shared" si="235"/>
        <v>0</v>
      </c>
      <c r="BF313" s="765">
        <f t="shared" ref="BF313:BL313" si="236">SUM(BF21,BF80,BF138,BF196,BF254)</f>
        <v>0</v>
      </c>
      <c r="BG313" s="882">
        <f t="shared" si="236"/>
        <v>0</v>
      </c>
      <c r="BH313" s="883">
        <f t="shared" si="236"/>
        <v>0</v>
      </c>
      <c r="BI313" s="871">
        <f t="shared" si="236"/>
        <v>0</v>
      </c>
      <c r="BJ313" s="858">
        <f t="shared" si="236"/>
        <v>0</v>
      </c>
      <c r="BK313" s="859">
        <f t="shared" si="236"/>
        <v>0</v>
      </c>
      <c r="BL313" s="840">
        <f t="shared" si="236"/>
        <v>0</v>
      </c>
      <c r="BM313" s="765">
        <f t="shared" ref="BM313:BS313" si="237">SUM(BM21,BM80,BM138,BM196,BM254)</f>
        <v>0</v>
      </c>
      <c r="BN313" s="852">
        <f t="shared" si="237"/>
        <v>0</v>
      </c>
      <c r="BO313" s="853">
        <f t="shared" si="237"/>
        <v>0</v>
      </c>
      <c r="BP313" s="846">
        <f t="shared" si="237"/>
        <v>0</v>
      </c>
      <c r="BQ313" s="893">
        <f t="shared" si="237"/>
        <v>0</v>
      </c>
      <c r="BR313" s="894">
        <f t="shared" si="237"/>
        <v>0</v>
      </c>
      <c r="BS313" s="877">
        <f t="shared" si="237"/>
        <v>0</v>
      </c>
      <c r="BT313" s="765">
        <f t="shared" ref="BT313:BZ313" si="238">SUM(BT21,BT80,BT138,BT196,BT254)</f>
        <v>0</v>
      </c>
      <c r="BU313" s="882">
        <f t="shared" si="238"/>
        <v>0</v>
      </c>
      <c r="BV313" s="883">
        <f t="shared" si="238"/>
        <v>0</v>
      </c>
      <c r="BW313" s="871">
        <f t="shared" si="238"/>
        <v>0</v>
      </c>
      <c r="BX313" s="858">
        <f t="shared" si="238"/>
        <v>0</v>
      </c>
      <c r="BY313" s="859">
        <f t="shared" si="238"/>
        <v>0</v>
      </c>
      <c r="BZ313" s="840">
        <f t="shared" si="238"/>
        <v>0</v>
      </c>
      <c r="CA313" s="765">
        <f t="shared" ref="CA313:CG313" si="239">SUM(CA21,CA80,CA138,CA196,CA254)</f>
        <v>0</v>
      </c>
      <c r="CB313" s="852">
        <f t="shared" si="239"/>
        <v>0</v>
      </c>
      <c r="CC313" s="853">
        <f t="shared" si="239"/>
        <v>0</v>
      </c>
      <c r="CD313" s="846">
        <f t="shared" si="239"/>
        <v>0</v>
      </c>
      <c r="CE313" s="893">
        <f t="shared" si="239"/>
        <v>0</v>
      </c>
      <c r="CF313" s="894">
        <f t="shared" si="239"/>
        <v>0</v>
      </c>
      <c r="CG313" s="877">
        <f t="shared" si="239"/>
        <v>0</v>
      </c>
      <c r="CH313" s="765">
        <f t="shared" ref="CH313:CN313" si="240">SUM(CH21,CH80,CH138,CH196,CH254)</f>
        <v>0</v>
      </c>
      <c r="CI313" s="882">
        <f t="shared" si="240"/>
        <v>0</v>
      </c>
      <c r="CJ313" s="883">
        <f t="shared" si="240"/>
        <v>0</v>
      </c>
      <c r="CK313" s="871">
        <f t="shared" si="240"/>
        <v>0</v>
      </c>
      <c r="CL313" s="858">
        <f t="shared" si="240"/>
        <v>0</v>
      </c>
      <c r="CM313" s="859">
        <f t="shared" si="240"/>
        <v>0</v>
      </c>
      <c r="CN313" s="840">
        <f t="shared" si="240"/>
        <v>0</v>
      </c>
    </row>
    <row r="314" spans="1:92" x14ac:dyDescent="0.25">
      <c r="A314" s="757">
        <v>14</v>
      </c>
      <c r="B314" s="765">
        <f t="shared" si="156"/>
        <v>0</v>
      </c>
      <c r="C314" s="870">
        <f t="shared" ref="C314:AX314" si="241">SUM(C22,C81,C139,C197,C255)</f>
        <v>0</v>
      </c>
      <c r="D314" s="870">
        <f t="shared" si="241"/>
        <v>0</v>
      </c>
      <c r="E314" s="871">
        <f t="shared" si="241"/>
        <v>0</v>
      </c>
      <c r="F314" s="838">
        <f t="shared" si="241"/>
        <v>0</v>
      </c>
      <c r="G314" s="866">
        <f t="shared" si="241"/>
        <v>0</v>
      </c>
      <c r="H314" s="840">
        <f t="shared" si="241"/>
        <v>0</v>
      </c>
      <c r="I314" s="765">
        <f t="shared" si="241"/>
        <v>0</v>
      </c>
      <c r="J314" s="852">
        <f t="shared" si="241"/>
        <v>0</v>
      </c>
      <c r="K314" s="853">
        <f t="shared" si="241"/>
        <v>0</v>
      </c>
      <c r="L314" s="846">
        <f t="shared" si="241"/>
        <v>0</v>
      </c>
      <c r="M314" s="893">
        <f t="shared" si="241"/>
        <v>0</v>
      </c>
      <c r="N314" s="894">
        <f t="shared" si="241"/>
        <v>0</v>
      </c>
      <c r="O314" s="877">
        <f t="shared" si="241"/>
        <v>0</v>
      </c>
      <c r="P314" s="765">
        <f t="shared" si="241"/>
        <v>0</v>
      </c>
      <c r="Q314" s="882">
        <f t="shared" si="241"/>
        <v>0</v>
      </c>
      <c r="R314" s="883">
        <f t="shared" si="241"/>
        <v>0</v>
      </c>
      <c r="S314" s="871">
        <f t="shared" si="241"/>
        <v>0</v>
      </c>
      <c r="T314" s="858">
        <f t="shared" si="241"/>
        <v>0</v>
      </c>
      <c r="U314" s="859">
        <f t="shared" si="241"/>
        <v>0</v>
      </c>
      <c r="V314" s="840">
        <f t="shared" si="241"/>
        <v>0</v>
      </c>
      <c r="W314" s="958">
        <f t="shared" si="241"/>
        <v>0</v>
      </c>
      <c r="X314" s="852">
        <f t="shared" si="241"/>
        <v>0</v>
      </c>
      <c r="Y314" s="853">
        <f t="shared" si="241"/>
        <v>0</v>
      </c>
      <c r="Z314" s="846">
        <f t="shared" si="241"/>
        <v>0</v>
      </c>
      <c r="AA314" s="893">
        <f t="shared" si="241"/>
        <v>0</v>
      </c>
      <c r="AB314" s="894">
        <f t="shared" si="241"/>
        <v>0</v>
      </c>
      <c r="AC314" s="877">
        <f t="shared" si="241"/>
        <v>0</v>
      </c>
      <c r="AD314" s="958">
        <f t="shared" si="241"/>
        <v>0</v>
      </c>
      <c r="AE314" s="1056">
        <f t="shared" si="241"/>
        <v>0</v>
      </c>
      <c r="AF314" s="1057">
        <f t="shared" si="241"/>
        <v>0</v>
      </c>
      <c r="AG314" s="1058">
        <f t="shared" si="241"/>
        <v>0</v>
      </c>
      <c r="AH314" s="1059">
        <f t="shared" si="241"/>
        <v>0</v>
      </c>
      <c r="AI314" s="1060">
        <f t="shared" si="241"/>
        <v>0</v>
      </c>
      <c r="AJ314" s="1061">
        <f t="shared" si="241"/>
        <v>0</v>
      </c>
      <c r="AK314" s="958">
        <f t="shared" si="241"/>
        <v>0</v>
      </c>
      <c r="AL314" s="852">
        <f t="shared" si="241"/>
        <v>0</v>
      </c>
      <c r="AM314" s="853">
        <f t="shared" si="241"/>
        <v>0</v>
      </c>
      <c r="AN314" s="846">
        <f t="shared" si="241"/>
        <v>0</v>
      </c>
      <c r="AO314" s="893">
        <f t="shared" si="241"/>
        <v>0</v>
      </c>
      <c r="AP314" s="894">
        <f t="shared" si="241"/>
        <v>0</v>
      </c>
      <c r="AQ314" s="877">
        <f t="shared" si="241"/>
        <v>0</v>
      </c>
      <c r="AR314" s="765">
        <f t="shared" si="241"/>
        <v>0</v>
      </c>
      <c r="AS314" s="882">
        <f t="shared" si="241"/>
        <v>0</v>
      </c>
      <c r="AT314" s="883">
        <f t="shared" si="241"/>
        <v>0</v>
      </c>
      <c r="AU314" s="871">
        <f t="shared" si="241"/>
        <v>0</v>
      </c>
      <c r="AV314" s="858">
        <f t="shared" si="241"/>
        <v>0</v>
      </c>
      <c r="AW314" s="859">
        <f t="shared" si="241"/>
        <v>0</v>
      </c>
      <c r="AX314" s="840">
        <f t="shared" si="241"/>
        <v>0</v>
      </c>
      <c r="AY314" s="765">
        <f t="shared" ref="AY314:BE314" si="242">SUM(AY22,AY81,AY139,AY197,AY255)</f>
        <v>3</v>
      </c>
      <c r="AZ314" s="852">
        <f t="shared" si="242"/>
        <v>0</v>
      </c>
      <c r="BA314" s="853">
        <f t="shared" si="242"/>
        <v>0</v>
      </c>
      <c r="BB314" s="846">
        <f t="shared" si="242"/>
        <v>0</v>
      </c>
      <c r="BC314" s="893">
        <f t="shared" si="242"/>
        <v>3</v>
      </c>
      <c r="BD314" s="894">
        <f t="shared" si="242"/>
        <v>0</v>
      </c>
      <c r="BE314" s="877">
        <f t="shared" si="242"/>
        <v>3</v>
      </c>
      <c r="BF314" s="765">
        <f t="shared" ref="BF314:BL314" si="243">SUM(BF22,BF81,BF139,BF197,BF255)</f>
        <v>0</v>
      </c>
      <c r="BG314" s="882">
        <f t="shared" si="243"/>
        <v>0</v>
      </c>
      <c r="BH314" s="883">
        <f t="shared" si="243"/>
        <v>0</v>
      </c>
      <c r="BI314" s="871">
        <f t="shared" si="243"/>
        <v>0</v>
      </c>
      <c r="BJ314" s="858">
        <f t="shared" si="243"/>
        <v>0</v>
      </c>
      <c r="BK314" s="859">
        <f t="shared" si="243"/>
        <v>0</v>
      </c>
      <c r="BL314" s="840">
        <f t="shared" si="243"/>
        <v>0</v>
      </c>
      <c r="BM314" s="765">
        <f t="shared" ref="BM314:BS314" si="244">SUM(BM22,BM81,BM139,BM197,BM255)</f>
        <v>0</v>
      </c>
      <c r="BN314" s="852">
        <f t="shared" si="244"/>
        <v>0</v>
      </c>
      <c r="BO314" s="853">
        <f t="shared" si="244"/>
        <v>0</v>
      </c>
      <c r="BP314" s="846">
        <f t="shared" si="244"/>
        <v>0</v>
      </c>
      <c r="BQ314" s="893">
        <f t="shared" si="244"/>
        <v>0</v>
      </c>
      <c r="BR314" s="894">
        <f t="shared" si="244"/>
        <v>0</v>
      </c>
      <c r="BS314" s="877">
        <f t="shared" si="244"/>
        <v>0</v>
      </c>
      <c r="BT314" s="765">
        <f t="shared" ref="BT314:BZ314" si="245">SUM(BT22,BT81,BT139,BT197,BT255)</f>
        <v>0</v>
      </c>
      <c r="BU314" s="882">
        <f t="shared" si="245"/>
        <v>0</v>
      </c>
      <c r="BV314" s="883">
        <f t="shared" si="245"/>
        <v>0</v>
      </c>
      <c r="BW314" s="871">
        <f t="shared" si="245"/>
        <v>0</v>
      </c>
      <c r="BX314" s="858">
        <f t="shared" si="245"/>
        <v>0</v>
      </c>
      <c r="BY314" s="859">
        <f t="shared" si="245"/>
        <v>0</v>
      </c>
      <c r="BZ314" s="840">
        <f t="shared" si="245"/>
        <v>0</v>
      </c>
      <c r="CA314" s="765">
        <f t="shared" ref="CA314:CG314" si="246">SUM(CA22,CA81,CA139,CA197,CA255)</f>
        <v>0</v>
      </c>
      <c r="CB314" s="852">
        <f t="shared" si="246"/>
        <v>0</v>
      </c>
      <c r="CC314" s="853">
        <f t="shared" si="246"/>
        <v>0</v>
      </c>
      <c r="CD314" s="846">
        <f t="shared" si="246"/>
        <v>0</v>
      </c>
      <c r="CE314" s="893">
        <f t="shared" si="246"/>
        <v>0</v>
      </c>
      <c r="CF314" s="894">
        <f t="shared" si="246"/>
        <v>0</v>
      </c>
      <c r="CG314" s="877">
        <f t="shared" si="246"/>
        <v>0</v>
      </c>
      <c r="CH314" s="765">
        <f t="shared" ref="CH314:CN314" si="247">SUM(CH22,CH81,CH139,CH197,CH255)</f>
        <v>0</v>
      </c>
      <c r="CI314" s="882">
        <f t="shared" si="247"/>
        <v>0</v>
      </c>
      <c r="CJ314" s="883">
        <f t="shared" si="247"/>
        <v>0</v>
      </c>
      <c r="CK314" s="871">
        <f t="shared" si="247"/>
        <v>0</v>
      </c>
      <c r="CL314" s="858">
        <f t="shared" si="247"/>
        <v>0</v>
      </c>
      <c r="CM314" s="859">
        <f t="shared" si="247"/>
        <v>0</v>
      </c>
      <c r="CN314" s="840">
        <f t="shared" si="247"/>
        <v>0</v>
      </c>
    </row>
    <row r="315" spans="1:92" x14ac:dyDescent="0.25">
      <c r="A315" s="757">
        <v>15</v>
      </c>
      <c r="B315" s="765">
        <f t="shared" si="156"/>
        <v>0</v>
      </c>
      <c r="C315" s="870">
        <f t="shared" ref="C315:AX315" si="248">SUM(C23,C82,C140,C198,C256)</f>
        <v>0</v>
      </c>
      <c r="D315" s="870">
        <f t="shared" si="248"/>
        <v>0</v>
      </c>
      <c r="E315" s="871">
        <f t="shared" si="248"/>
        <v>0</v>
      </c>
      <c r="F315" s="838">
        <f t="shared" si="248"/>
        <v>0</v>
      </c>
      <c r="G315" s="866">
        <f t="shared" si="248"/>
        <v>0</v>
      </c>
      <c r="H315" s="840">
        <f t="shared" si="248"/>
        <v>0</v>
      </c>
      <c r="I315" s="765">
        <f t="shared" si="248"/>
        <v>0</v>
      </c>
      <c r="J315" s="852">
        <f t="shared" si="248"/>
        <v>0</v>
      </c>
      <c r="K315" s="853">
        <f t="shared" si="248"/>
        <v>0</v>
      </c>
      <c r="L315" s="846">
        <f t="shared" si="248"/>
        <v>0</v>
      </c>
      <c r="M315" s="893">
        <f t="shared" si="248"/>
        <v>0</v>
      </c>
      <c r="N315" s="894">
        <f t="shared" si="248"/>
        <v>0</v>
      </c>
      <c r="O315" s="877">
        <f t="shared" si="248"/>
        <v>0</v>
      </c>
      <c r="P315" s="765">
        <f t="shared" si="248"/>
        <v>0</v>
      </c>
      <c r="Q315" s="882">
        <f t="shared" si="248"/>
        <v>0</v>
      </c>
      <c r="R315" s="883">
        <f t="shared" si="248"/>
        <v>0</v>
      </c>
      <c r="S315" s="871">
        <f t="shared" si="248"/>
        <v>0</v>
      </c>
      <c r="T315" s="858">
        <f t="shared" si="248"/>
        <v>0</v>
      </c>
      <c r="U315" s="859">
        <f t="shared" si="248"/>
        <v>0</v>
      </c>
      <c r="V315" s="840">
        <f t="shared" si="248"/>
        <v>0</v>
      </c>
      <c r="W315" s="958">
        <f t="shared" si="248"/>
        <v>0</v>
      </c>
      <c r="X315" s="852">
        <f t="shared" si="248"/>
        <v>0</v>
      </c>
      <c r="Y315" s="853">
        <f t="shared" si="248"/>
        <v>0</v>
      </c>
      <c r="Z315" s="846">
        <f t="shared" si="248"/>
        <v>0</v>
      </c>
      <c r="AA315" s="893">
        <f t="shared" si="248"/>
        <v>0</v>
      </c>
      <c r="AB315" s="894">
        <f t="shared" si="248"/>
        <v>0</v>
      </c>
      <c r="AC315" s="957">
        <f t="shared" si="248"/>
        <v>0</v>
      </c>
      <c r="AD315" s="958">
        <f t="shared" si="248"/>
        <v>0</v>
      </c>
      <c r="AE315" s="1056">
        <f t="shared" si="248"/>
        <v>0</v>
      </c>
      <c r="AF315" s="1057">
        <f t="shared" si="248"/>
        <v>0</v>
      </c>
      <c r="AG315" s="1058">
        <f t="shared" si="248"/>
        <v>0</v>
      </c>
      <c r="AH315" s="1059">
        <f t="shared" si="248"/>
        <v>0</v>
      </c>
      <c r="AI315" s="1060">
        <f t="shared" si="248"/>
        <v>0</v>
      </c>
      <c r="AJ315" s="1061">
        <f t="shared" si="248"/>
        <v>0</v>
      </c>
      <c r="AK315" s="958">
        <f t="shared" si="248"/>
        <v>0</v>
      </c>
      <c r="AL315" s="852">
        <f t="shared" si="248"/>
        <v>0</v>
      </c>
      <c r="AM315" s="853">
        <f t="shared" si="248"/>
        <v>0</v>
      </c>
      <c r="AN315" s="846">
        <f t="shared" si="248"/>
        <v>0</v>
      </c>
      <c r="AO315" s="893">
        <f t="shared" si="248"/>
        <v>0</v>
      </c>
      <c r="AP315" s="894">
        <f t="shared" si="248"/>
        <v>0</v>
      </c>
      <c r="AQ315" s="957">
        <f t="shared" si="248"/>
        <v>0</v>
      </c>
      <c r="AR315" s="765">
        <f t="shared" si="248"/>
        <v>0</v>
      </c>
      <c r="AS315" s="882">
        <f t="shared" si="248"/>
        <v>0</v>
      </c>
      <c r="AT315" s="883">
        <f t="shared" si="248"/>
        <v>0</v>
      </c>
      <c r="AU315" s="871">
        <f t="shared" si="248"/>
        <v>0</v>
      </c>
      <c r="AV315" s="858">
        <f t="shared" si="248"/>
        <v>0</v>
      </c>
      <c r="AW315" s="859">
        <f t="shared" si="248"/>
        <v>0</v>
      </c>
      <c r="AX315" s="840">
        <f t="shared" si="248"/>
        <v>0</v>
      </c>
      <c r="AY315" s="765">
        <f t="shared" ref="AY315:BE315" si="249">SUM(AY23,AY82,AY140,AY198,AY256)</f>
        <v>0</v>
      </c>
      <c r="AZ315" s="852">
        <f t="shared" si="249"/>
        <v>0</v>
      </c>
      <c r="BA315" s="853">
        <f t="shared" si="249"/>
        <v>0</v>
      </c>
      <c r="BB315" s="846">
        <f t="shared" si="249"/>
        <v>0</v>
      </c>
      <c r="BC315" s="893">
        <f t="shared" si="249"/>
        <v>0</v>
      </c>
      <c r="BD315" s="894">
        <f t="shared" si="249"/>
        <v>0</v>
      </c>
      <c r="BE315" s="957">
        <f t="shared" si="249"/>
        <v>0</v>
      </c>
      <c r="BF315" s="765">
        <f t="shared" ref="BF315:BL315" si="250">SUM(BF23,BF82,BF140,BF198,BF256)</f>
        <v>0</v>
      </c>
      <c r="BG315" s="882">
        <f t="shared" si="250"/>
        <v>0</v>
      </c>
      <c r="BH315" s="883">
        <f t="shared" si="250"/>
        <v>0</v>
      </c>
      <c r="BI315" s="871">
        <f t="shared" si="250"/>
        <v>0</v>
      </c>
      <c r="BJ315" s="858">
        <f t="shared" si="250"/>
        <v>0</v>
      </c>
      <c r="BK315" s="859">
        <f t="shared" si="250"/>
        <v>0</v>
      </c>
      <c r="BL315" s="840">
        <f t="shared" si="250"/>
        <v>0</v>
      </c>
      <c r="BM315" s="765">
        <f t="shared" ref="BM315:BS315" si="251">SUM(BM23,BM82,BM140,BM198,BM256)</f>
        <v>0</v>
      </c>
      <c r="BN315" s="852">
        <f t="shared" si="251"/>
        <v>0</v>
      </c>
      <c r="BO315" s="853">
        <f t="shared" si="251"/>
        <v>0</v>
      </c>
      <c r="BP315" s="846">
        <f t="shared" si="251"/>
        <v>0</v>
      </c>
      <c r="BQ315" s="893">
        <f t="shared" si="251"/>
        <v>0</v>
      </c>
      <c r="BR315" s="894">
        <f t="shared" si="251"/>
        <v>0</v>
      </c>
      <c r="BS315" s="957">
        <f t="shared" si="251"/>
        <v>0</v>
      </c>
      <c r="BT315" s="765">
        <f t="shared" ref="BT315:BZ315" si="252">SUM(BT23,BT82,BT140,BT198,BT256)</f>
        <v>0</v>
      </c>
      <c r="BU315" s="882">
        <f t="shared" si="252"/>
        <v>0</v>
      </c>
      <c r="BV315" s="883">
        <f t="shared" si="252"/>
        <v>0</v>
      </c>
      <c r="BW315" s="871">
        <f t="shared" si="252"/>
        <v>0</v>
      </c>
      <c r="BX315" s="858">
        <f t="shared" si="252"/>
        <v>0</v>
      </c>
      <c r="BY315" s="859">
        <f t="shared" si="252"/>
        <v>0</v>
      </c>
      <c r="BZ315" s="840">
        <f t="shared" si="252"/>
        <v>0</v>
      </c>
      <c r="CA315" s="765">
        <f t="shared" ref="CA315:CG315" si="253">SUM(CA23,CA82,CA140,CA198,CA256)</f>
        <v>12</v>
      </c>
      <c r="CB315" s="852">
        <f t="shared" si="253"/>
        <v>0</v>
      </c>
      <c r="CC315" s="853">
        <f t="shared" si="253"/>
        <v>0</v>
      </c>
      <c r="CD315" s="846">
        <f t="shared" si="253"/>
        <v>0</v>
      </c>
      <c r="CE315" s="893">
        <f t="shared" si="253"/>
        <v>11</v>
      </c>
      <c r="CF315" s="894">
        <f t="shared" si="253"/>
        <v>1</v>
      </c>
      <c r="CG315" s="957">
        <f t="shared" si="253"/>
        <v>11.086600000000001</v>
      </c>
      <c r="CH315" s="765">
        <f t="shared" ref="CH315:CN315" si="254">SUM(CH23,CH82,CH140,CH198,CH256)</f>
        <v>0</v>
      </c>
      <c r="CI315" s="882">
        <f t="shared" si="254"/>
        <v>0</v>
      </c>
      <c r="CJ315" s="883">
        <f t="shared" si="254"/>
        <v>0</v>
      </c>
      <c r="CK315" s="871">
        <f t="shared" si="254"/>
        <v>0</v>
      </c>
      <c r="CL315" s="858">
        <f t="shared" si="254"/>
        <v>0</v>
      </c>
      <c r="CM315" s="859">
        <f t="shared" si="254"/>
        <v>0</v>
      </c>
      <c r="CN315" s="840">
        <f t="shared" si="254"/>
        <v>0</v>
      </c>
    </row>
    <row r="316" spans="1:92" x14ac:dyDescent="0.25">
      <c r="A316" s="757">
        <v>16</v>
      </c>
      <c r="B316" s="765">
        <f t="shared" si="156"/>
        <v>0</v>
      </c>
      <c r="C316" s="870">
        <f t="shared" ref="C316:AX316" si="255">SUM(C24,C83,C141,C199,C257)</f>
        <v>0</v>
      </c>
      <c r="D316" s="870">
        <f t="shared" si="255"/>
        <v>0</v>
      </c>
      <c r="E316" s="871">
        <f t="shared" si="255"/>
        <v>0</v>
      </c>
      <c r="F316" s="838">
        <f t="shared" si="255"/>
        <v>0</v>
      </c>
      <c r="G316" s="866">
        <f t="shared" si="255"/>
        <v>0</v>
      </c>
      <c r="H316" s="840">
        <f t="shared" si="255"/>
        <v>0</v>
      </c>
      <c r="I316" s="765">
        <f t="shared" si="255"/>
        <v>0</v>
      </c>
      <c r="J316" s="852">
        <f t="shared" si="255"/>
        <v>0</v>
      </c>
      <c r="K316" s="853">
        <f t="shared" si="255"/>
        <v>0</v>
      </c>
      <c r="L316" s="846">
        <f t="shared" si="255"/>
        <v>0</v>
      </c>
      <c r="M316" s="893">
        <f t="shared" si="255"/>
        <v>0</v>
      </c>
      <c r="N316" s="894">
        <f t="shared" si="255"/>
        <v>0</v>
      </c>
      <c r="O316" s="877">
        <f t="shared" si="255"/>
        <v>0</v>
      </c>
      <c r="P316" s="765">
        <f t="shared" si="255"/>
        <v>0</v>
      </c>
      <c r="Q316" s="882">
        <f t="shared" si="255"/>
        <v>0</v>
      </c>
      <c r="R316" s="883">
        <f t="shared" si="255"/>
        <v>0</v>
      </c>
      <c r="S316" s="871">
        <f t="shared" si="255"/>
        <v>0</v>
      </c>
      <c r="T316" s="858">
        <f t="shared" si="255"/>
        <v>0</v>
      </c>
      <c r="U316" s="859">
        <f t="shared" si="255"/>
        <v>0</v>
      </c>
      <c r="V316" s="840">
        <f t="shared" si="255"/>
        <v>0</v>
      </c>
      <c r="W316" s="958">
        <f t="shared" si="255"/>
        <v>0</v>
      </c>
      <c r="X316" s="852">
        <f t="shared" si="255"/>
        <v>0</v>
      </c>
      <c r="Y316" s="853">
        <f t="shared" si="255"/>
        <v>0</v>
      </c>
      <c r="Z316" s="846">
        <f t="shared" si="255"/>
        <v>0</v>
      </c>
      <c r="AA316" s="893">
        <f t="shared" si="255"/>
        <v>0</v>
      </c>
      <c r="AB316" s="894">
        <f t="shared" si="255"/>
        <v>0</v>
      </c>
      <c r="AC316" s="957">
        <f t="shared" si="255"/>
        <v>0</v>
      </c>
      <c r="AD316" s="958">
        <f t="shared" si="255"/>
        <v>0</v>
      </c>
      <c r="AE316" s="1056">
        <f t="shared" si="255"/>
        <v>0</v>
      </c>
      <c r="AF316" s="1057">
        <f t="shared" si="255"/>
        <v>0</v>
      </c>
      <c r="AG316" s="1058">
        <f t="shared" si="255"/>
        <v>0</v>
      </c>
      <c r="AH316" s="1059">
        <f t="shared" si="255"/>
        <v>0</v>
      </c>
      <c r="AI316" s="1060">
        <f t="shared" si="255"/>
        <v>0</v>
      </c>
      <c r="AJ316" s="1061">
        <f t="shared" si="255"/>
        <v>0</v>
      </c>
      <c r="AK316" s="958">
        <f t="shared" si="255"/>
        <v>0</v>
      </c>
      <c r="AL316" s="852">
        <f t="shared" si="255"/>
        <v>0</v>
      </c>
      <c r="AM316" s="853">
        <f t="shared" si="255"/>
        <v>0</v>
      </c>
      <c r="AN316" s="846">
        <f t="shared" si="255"/>
        <v>0</v>
      </c>
      <c r="AO316" s="893">
        <f t="shared" si="255"/>
        <v>0</v>
      </c>
      <c r="AP316" s="894">
        <f t="shared" si="255"/>
        <v>0</v>
      </c>
      <c r="AQ316" s="957">
        <f t="shared" si="255"/>
        <v>0</v>
      </c>
      <c r="AR316" s="765">
        <f t="shared" si="255"/>
        <v>0</v>
      </c>
      <c r="AS316" s="882">
        <f t="shared" si="255"/>
        <v>0</v>
      </c>
      <c r="AT316" s="883">
        <f t="shared" si="255"/>
        <v>0</v>
      </c>
      <c r="AU316" s="871">
        <f t="shared" si="255"/>
        <v>0</v>
      </c>
      <c r="AV316" s="858">
        <f t="shared" si="255"/>
        <v>0</v>
      </c>
      <c r="AW316" s="859">
        <f t="shared" si="255"/>
        <v>0</v>
      </c>
      <c r="AX316" s="840">
        <f t="shared" si="255"/>
        <v>0</v>
      </c>
      <c r="AY316" s="765">
        <f t="shared" ref="AY316:BE316" si="256">SUM(AY24,AY83,AY141,AY199,AY257)</f>
        <v>3</v>
      </c>
      <c r="AZ316" s="852">
        <f t="shared" si="256"/>
        <v>0</v>
      </c>
      <c r="BA316" s="853">
        <f t="shared" si="256"/>
        <v>0</v>
      </c>
      <c r="BB316" s="846">
        <f t="shared" si="256"/>
        <v>0</v>
      </c>
      <c r="BC316" s="893">
        <f t="shared" si="256"/>
        <v>3</v>
      </c>
      <c r="BD316" s="894">
        <f t="shared" si="256"/>
        <v>0</v>
      </c>
      <c r="BE316" s="957">
        <f t="shared" si="256"/>
        <v>3</v>
      </c>
      <c r="BF316" s="765">
        <f t="shared" ref="BF316:BL316" si="257">SUM(BF24,BF83,BF141,BF199,BF257)</f>
        <v>0</v>
      </c>
      <c r="BG316" s="882">
        <f t="shared" si="257"/>
        <v>0</v>
      </c>
      <c r="BH316" s="883">
        <f t="shared" si="257"/>
        <v>0</v>
      </c>
      <c r="BI316" s="871">
        <f t="shared" si="257"/>
        <v>0</v>
      </c>
      <c r="BJ316" s="858">
        <f t="shared" si="257"/>
        <v>0</v>
      </c>
      <c r="BK316" s="859">
        <f t="shared" si="257"/>
        <v>0</v>
      </c>
      <c r="BL316" s="840">
        <f t="shared" si="257"/>
        <v>0</v>
      </c>
      <c r="BM316" s="765">
        <f t="shared" ref="BM316:BS316" si="258">SUM(BM24,BM83,BM141,BM199,BM257)</f>
        <v>0</v>
      </c>
      <c r="BN316" s="852">
        <f t="shared" si="258"/>
        <v>0</v>
      </c>
      <c r="BO316" s="853">
        <f t="shared" si="258"/>
        <v>0</v>
      </c>
      <c r="BP316" s="846">
        <f t="shared" si="258"/>
        <v>0</v>
      </c>
      <c r="BQ316" s="893">
        <f t="shared" si="258"/>
        <v>0</v>
      </c>
      <c r="BR316" s="894">
        <f t="shared" si="258"/>
        <v>0</v>
      </c>
      <c r="BS316" s="957">
        <f t="shared" si="258"/>
        <v>0</v>
      </c>
      <c r="BT316" s="765">
        <f t="shared" ref="BT316:BZ316" si="259">SUM(BT24,BT83,BT141,BT199,BT257)</f>
        <v>0</v>
      </c>
      <c r="BU316" s="882">
        <f t="shared" si="259"/>
        <v>0</v>
      </c>
      <c r="BV316" s="883">
        <f t="shared" si="259"/>
        <v>0</v>
      </c>
      <c r="BW316" s="871">
        <f t="shared" si="259"/>
        <v>0</v>
      </c>
      <c r="BX316" s="858">
        <f t="shared" si="259"/>
        <v>0</v>
      </c>
      <c r="BY316" s="859">
        <f t="shared" si="259"/>
        <v>0</v>
      </c>
      <c r="BZ316" s="840">
        <f t="shared" si="259"/>
        <v>0</v>
      </c>
      <c r="CA316" s="765">
        <f t="shared" ref="CA316:CG316" si="260">SUM(CA24,CA83,CA141,CA199,CA257)</f>
        <v>0</v>
      </c>
      <c r="CB316" s="852">
        <f t="shared" si="260"/>
        <v>0</v>
      </c>
      <c r="CC316" s="853">
        <f t="shared" si="260"/>
        <v>0</v>
      </c>
      <c r="CD316" s="846">
        <f t="shared" si="260"/>
        <v>0</v>
      </c>
      <c r="CE316" s="893">
        <f t="shared" si="260"/>
        <v>0</v>
      </c>
      <c r="CF316" s="894">
        <f t="shared" si="260"/>
        <v>0</v>
      </c>
      <c r="CG316" s="957">
        <f t="shared" si="260"/>
        <v>0</v>
      </c>
      <c r="CH316" s="765">
        <f t="shared" ref="CH316:CN316" si="261">SUM(CH24,CH83,CH141,CH199,CH257)</f>
        <v>0</v>
      </c>
      <c r="CI316" s="882">
        <f t="shared" si="261"/>
        <v>0</v>
      </c>
      <c r="CJ316" s="883">
        <f t="shared" si="261"/>
        <v>0</v>
      </c>
      <c r="CK316" s="871">
        <f t="shared" si="261"/>
        <v>0</v>
      </c>
      <c r="CL316" s="858">
        <f t="shared" si="261"/>
        <v>0</v>
      </c>
      <c r="CM316" s="859">
        <f t="shared" si="261"/>
        <v>0</v>
      </c>
      <c r="CN316" s="840">
        <f t="shared" si="261"/>
        <v>0</v>
      </c>
    </row>
    <row r="317" spans="1:92" x14ac:dyDescent="0.25">
      <c r="A317" s="758">
        <v>17</v>
      </c>
      <c r="B317" s="766">
        <f t="shared" si="156"/>
        <v>0</v>
      </c>
      <c r="C317" s="872">
        <f t="shared" ref="C317:AX317" si="262">SUM(C25,C84,C142,C200,C258)</f>
        <v>0</v>
      </c>
      <c r="D317" s="872">
        <f t="shared" si="262"/>
        <v>0</v>
      </c>
      <c r="E317" s="873">
        <f t="shared" si="262"/>
        <v>0</v>
      </c>
      <c r="F317" s="843">
        <f t="shared" si="262"/>
        <v>0</v>
      </c>
      <c r="G317" s="867">
        <f t="shared" si="262"/>
        <v>0</v>
      </c>
      <c r="H317" s="841">
        <f t="shared" si="262"/>
        <v>0</v>
      </c>
      <c r="I317" s="766">
        <f t="shared" si="262"/>
        <v>0</v>
      </c>
      <c r="J317" s="854">
        <f t="shared" si="262"/>
        <v>0</v>
      </c>
      <c r="K317" s="855">
        <f t="shared" si="262"/>
        <v>0</v>
      </c>
      <c r="L317" s="847">
        <f t="shared" si="262"/>
        <v>0</v>
      </c>
      <c r="M317" s="895">
        <f t="shared" si="262"/>
        <v>0</v>
      </c>
      <c r="N317" s="896">
        <f t="shared" si="262"/>
        <v>0</v>
      </c>
      <c r="O317" s="879">
        <f t="shared" si="262"/>
        <v>0</v>
      </c>
      <c r="P317" s="766">
        <f t="shared" si="262"/>
        <v>0</v>
      </c>
      <c r="Q317" s="885">
        <f t="shared" si="262"/>
        <v>0</v>
      </c>
      <c r="R317" s="886">
        <f t="shared" si="262"/>
        <v>0</v>
      </c>
      <c r="S317" s="873">
        <f t="shared" si="262"/>
        <v>0</v>
      </c>
      <c r="T317" s="861">
        <f t="shared" si="262"/>
        <v>0</v>
      </c>
      <c r="U317" s="862">
        <f t="shared" si="262"/>
        <v>0</v>
      </c>
      <c r="V317" s="841">
        <f t="shared" si="262"/>
        <v>0</v>
      </c>
      <c r="W317" s="964">
        <f t="shared" si="262"/>
        <v>0</v>
      </c>
      <c r="X317" s="854">
        <f t="shared" si="262"/>
        <v>0</v>
      </c>
      <c r="Y317" s="855">
        <f t="shared" si="262"/>
        <v>0</v>
      </c>
      <c r="Z317" s="847">
        <f t="shared" si="262"/>
        <v>0</v>
      </c>
      <c r="AA317" s="895">
        <f t="shared" si="262"/>
        <v>0</v>
      </c>
      <c r="AB317" s="896">
        <f t="shared" si="262"/>
        <v>0</v>
      </c>
      <c r="AC317" s="963">
        <f t="shared" si="262"/>
        <v>0</v>
      </c>
      <c r="AD317" s="964">
        <f t="shared" si="262"/>
        <v>0</v>
      </c>
      <c r="AE317" s="1062">
        <f t="shared" si="262"/>
        <v>0</v>
      </c>
      <c r="AF317" s="1063">
        <f t="shared" si="262"/>
        <v>0</v>
      </c>
      <c r="AG317" s="1064">
        <f t="shared" si="262"/>
        <v>0</v>
      </c>
      <c r="AH317" s="1065">
        <f t="shared" si="262"/>
        <v>0</v>
      </c>
      <c r="AI317" s="1066">
        <f t="shared" si="262"/>
        <v>0</v>
      </c>
      <c r="AJ317" s="1067">
        <f t="shared" si="262"/>
        <v>0</v>
      </c>
      <c r="AK317" s="964">
        <f t="shared" si="262"/>
        <v>0</v>
      </c>
      <c r="AL317" s="854">
        <f t="shared" si="262"/>
        <v>0</v>
      </c>
      <c r="AM317" s="855">
        <f t="shared" si="262"/>
        <v>0</v>
      </c>
      <c r="AN317" s="847">
        <f t="shared" si="262"/>
        <v>0</v>
      </c>
      <c r="AO317" s="895">
        <f t="shared" si="262"/>
        <v>0</v>
      </c>
      <c r="AP317" s="896">
        <f t="shared" si="262"/>
        <v>0</v>
      </c>
      <c r="AQ317" s="963">
        <f t="shared" si="262"/>
        <v>0</v>
      </c>
      <c r="AR317" s="766">
        <f t="shared" si="262"/>
        <v>0</v>
      </c>
      <c r="AS317" s="885">
        <f t="shared" si="262"/>
        <v>0</v>
      </c>
      <c r="AT317" s="886">
        <f t="shared" si="262"/>
        <v>0</v>
      </c>
      <c r="AU317" s="873">
        <f t="shared" si="262"/>
        <v>0</v>
      </c>
      <c r="AV317" s="861">
        <f t="shared" si="262"/>
        <v>0</v>
      </c>
      <c r="AW317" s="862">
        <f t="shared" si="262"/>
        <v>0</v>
      </c>
      <c r="AX317" s="841">
        <f t="shared" si="262"/>
        <v>0</v>
      </c>
      <c r="AY317" s="766">
        <f t="shared" ref="AY317:BE317" si="263">SUM(AY25,AY84,AY142,AY200,AY258)</f>
        <v>0</v>
      </c>
      <c r="AZ317" s="854">
        <f t="shared" si="263"/>
        <v>0</v>
      </c>
      <c r="BA317" s="855">
        <f t="shared" si="263"/>
        <v>0</v>
      </c>
      <c r="BB317" s="847">
        <f t="shared" si="263"/>
        <v>0</v>
      </c>
      <c r="BC317" s="895">
        <f t="shared" si="263"/>
        <v>0</v>
      </c>
      <c r="BD317" s="896">
        <f t="shared" si="263"/>
        <v>0</v>
      </c>
      <c r="BE317" s="963">
        <f t="shared" si="263"/>
        <v>0</v>
      </c>
      <c r="BF317" s="766">
        <f t="shared" ref="BF317:BL317" si="264">SUM(BF25,BF84,BF142,BF200,BF258)</f>
        <v>0</v>
      </c>
      <c r="BG317" s="885">
        <f t="shared" si="264"/>
        <v>0</v>
      </c>
      <c r="BH317" s="886">
        <f t="shared" si="264"/>
        <v>0</v>
      </c>
      <c r="BI317" s="873">
        <f t="shared" si="264"/>
        <v>0</v>
      </c>
      <c r="BJ317" s="861">
        <f t="shared" si="264"/>
        <v>0</v>
      </c>
      <c r="BK317" s="862">
        <f t="shared" si="264"/>
        <v>0</v>
      </c>
      <c r="BL317" s="841">
        <f t="shared" si="264"/>
        <v>0</v>
      </c>
      <c r="BM317" s="766">
        <f t="shared" ref="BM317:BS317" si="265">SUM(BM25,BM84,BM142,BM200,BM258)</f>
        <v>0</v>
      </c>
      <c r="BN317" s="854">
        <f t="shared" si="265"/>
        <v>0</v>
      </c>
      <c r="BO317" s="855">
        <f t="shared" si="265"/>
        <v>0</v>
      </c>
      <c r="BP317" s="847">
        <f t="shared" si="265"/>
        <v>0</v>
      </c>
      <c r="BQ317" s="895">
        <f t="shared" si="265"/>
        <v>0</v>
      </c>
      <c r="BR317" s="896">
        <f t="shared" si="265"/>
        <v>0</v>
      </c>
      <c r="BS317" s="963">
        <f t="shared" si="265"/>
        <v>0</v>
      </c>
      <c r="BT317" s="766">
        <f t="shared" ref="BT317:BZ317" si="266">SUM(BT25,BT84,BT142,BT200,BT258)</f>
        <v>0</v>
      </c>
      <c r="BU317" s="885">
        <f t="shared" si="266"/>
        <v>0</v>
      </c>
      <c r="BV317" s="886">
        <f t="shared" si="266"/>
        <v>0</v>
      </c>
      <c r="BW317" s="873">
        <f t="shared" si="266"/>
        <v>0</v>
      </c>
      <c r="BX317" s="861">
        <f t="shared" si="266"/>
        <v>0</v>
      </c>
      <c r="BY317" s="862">
        <f t="shared" si="266"/>
        <v>0</v>
      </c>
      <c r="BZ317" s="841">
        <f t="shared" si="266"/>
        <v>0</v>
      </c>
      <c r="CA317" s="766">
        <f t="shared" ref="CA317:CG317" si="267">SUM(CA25,CA84,CA142,CA200,CA258)</f>
        <v>0</v>
      </c>
      <c r="CB317" s="854">
        <f t="shared" si="267"/>
        <v>0</v>
      </c>
      <c r="CC317" s="855">
        <f t="shared" si="267"/>
        <v>0</v>
      </c>
      <c r="CD317" s="847">
        <f t="shared" si="267"/>
        <v>0</v>
      </c>
      <c r="CE317" s="895">
        <f t="shared" si="267"/>
        <v>0</v>
      </c>
      <c r="CF317" s="896">
        <f t="shared" si="267"/>
        <v>0</v>
      </c>
      <c r="CG317" s="963">
        <f t="shared" si="267"/>
        <v>0</v>
      </c>
      <c r="CH317" s="766">
        <f t="shared" ref="CH317:CN317" si="268">SUM(CH25,CH84,CH142,CH200,CH258)</f>
        <v>0</v>
      </c>
      <c r="CI317" s="885">
        <f t="shared" si="268"/>
        <v>0</v>
      </c>
      <c r="CJ317" s="886">
        <f t="shared" si="268"/>
        <v>0</v>
      </c>
      <c r="CK317" s="873">
        <f t="shared" si="268"/>
        <v>0</v>
      </c>
      <c r="CL317" s="861">
        <f t="shared" si="268"/>
        <v>0</v>
      </c>
      <c r="CM317" s="862">
        <f t="shared" si="268"/>
        <v>0</v>
      </c>
      <c r="CN317" s="841">
        <f t="shared" si="268"/>
        <v>0</v>
      </c>
    </row>
    <row r="318" spans="1:92" x14ac:dyDescent="0.25">
      <c r="A318" s="757">
        <v>18</v>
      </c>
      <c r="B318" s="765">
        <f t="shared" si="156"/>
        <v>0</v>
      </c>
      <c r="C318" s="898">
        <f t="shared" ref="C318:AX318" si="269">SUM(C26,C85,C143,C201,C259)</f>
        <v>0</v>
      </c>
      <c r="D318" s="844">
        <f t="shared" si="269"/>
        <v>0</v>
      </c>
      <c r="E318" s="846">
        <f t="shared" si="269"/>
        <v>0</v>
      </c>
      <c r="F318" s="838">
        <f t="shared" si="269"/>
        <v>0</v>
      </c>
      <c r="G318" s="866">
        <f t="shared" si="269"/>
        <v>0</v>
      </c>
      <c r="H318" s="840">
        <f t="shared" si="269"/>
        <v>0</v>
      </c>
      <c r="I318" s="765">
        <f t="shared" si="269"/>
        <v>0</v>
      </c>
      <c r="J318" s="882">
        <f t="shared" si="269"/>
        <v>0</v>
      </c>
      <c r="K318" s="883">
        <f t="shared" si="269"/>
        <v>0</v>
      </c>
      <c r="L318" s="901">
        <f t="shared" si="269"/>
        <v>0</v>
      </c>
      <c r="M318" s="893">
        <f t="shared" si="269"/>
        <v>0</v>
      </c>
      <c r="N318" s="894">
        <f t="shared" si="269"/>
        <v>0</v>
      </c>
      <c r="O318" s="877">
        <f t="shared" si="269"/>
        <v>0</v>
      </c>
      <c r="P318" s="765">
        <f t="shared" si="269"/>
        <v>0</v>
      </c>
      <c r="Q318" s="852">
        <f t="shared" si="269"/>
        <v>0</v>
      </c>
      <c r="R318" s="853">
        <f t="shared" si="269"/>
        <v>0</v>
      </c>
      <c r="S318" s="846">
        <f t="shared" si="269"/>
        <v>0</v>
      </c>
      <c r="T318" s="858">
        <f t="shared" si="269"/>
        <v>0</v>
      </c>
      <c r="U318" s="859">
        <f t="shared" si="269"/>
        <v>0</v>
      </c>
      <c r="V318" s="840">
        <f t="shared" si="269"/>
        <v>0</v>
      </c>
      <c r="W318" s="958">
        <f t="shared" si="269"/>
        <v>0</v>
      </c>
      <c r="X318" s="880">
        <f t="shared" si="269"/>
        <v>0</v>
      </c>
      <c r="Y318" s="881">
        <f t="shared" si="269"/>
        <v>0</v>
      </c>
      <c r="Z318" s="900">
        <f t="shared" si="269"/>
        <v>0</v>
      </c>
      <c r="AA318" s="891">
        <f t="shared" si="269"/>
        <v>0</v>
      </c>
      <c r="AB318" s="892">
        <f t="shared" si="269"/>
        <v>0</v>
      </c>
      <c r="AC318" s="956">
        <f t="shared" si="269"/>
        <v>0</v>
      </c>
      <c r="AD318" s="958">
        <f t="shared" si="269"/>
        <v>0</v>
      </c>
      <c r="AE318" s="1071">
        <f t="shared" si="269"/>
        <v>0</v>
      </c>
      <c r="AF318" s="1072">
        <f t="shared" si="269"/>
        <v>0</v>
      </c>
      <c r="AG318" s="1073">
        <f t="shared" si="269"/>
        <v>0</v>
      </c>
      <c r="AH318" s="1059">
        <f t="shared" si="269"/>
        <v>0</v>
      </c>
      <c r="AI318" s="1060">
        <f t="shared" si="269"/>
        <v>0</v>
      </c>
      <c r="AJ318" s="1061">
        <f t="shared" si="269"/>
        <v>0</v>
      </c>
      <c r="AK318" s="969">
        <f t="shared" si="269"/>
        <v>0</v>
      </c>
      <c r="AL318" s="880">
        <f t="shared" si="269"/>
        <v>0</v>
      </c>
      <c r="AM318" s="881">
        <f t="shared" si="269"/>
        <v>0</v>
      </c>
      <c r="AN318" s="900">
        <f t="shared" si="269"/>
        <v>0</v>
      </c>
      <c r="AO318" s="891">
        <f t="shared" si="269"/>
        <v>0</v>
      </c>
      <c r="AP318" s="892">
        <f t="shared" si="269"/>
        <v>0</v>
      </c>
      <c r="AQ318" s="956">
        <f t="shared" si="269"/>
        <v>0</v>
      </c>
      <c r="AR318" s="765">
        <f t="shared" si="269"/>
        <v>0</v>
      </c>
      <c r="AS318" s="852">
        <f t="shared" si="269"/>
        <v>0</v>
      </c>
      <c r="AT318" s="853">
        <f t="shared" si="269"/>
        <v>0</v>
      </c>
      <c r="AU318" s="846">
        <f t="shared" si="269"/>
        <v>0</v>
      </c>
      <c r="AV318" s="858">
        <f t="shared" si="269"/>
        <v>0</v>
      </c>
      <c r="AW318" s="859">
        <f t="shared" si="269"/>
        <v>0</v>
      </c>
      <c r="AX318" s="840">
        <f t="shared" si="269"/>
        <v>0</v>
      </c>
      <c r="AY318" s="765">
        <f t="shared" ref="AY318:BE318" si="270">SUM(AY26,AY85,AY143,AY201,AY259)</f>
        <v>0</v>
      </c>
      <c r="AZ318" s="880">
        <f t="shared" si="270"/>
        <v>0</v>
      </c>
      <c r="BA318" s="881">
        <f t="shared" si="270"/>
        <v>0</v>
      </c>
      <c r="BB318" s="900">
        <f t="shared" si="270"/>
        <v>0</v>
      </c>
      <c r="BC318" s="891">
        <f t="shared" si="270"/>
        <v>0</v>
      </c>
      <c r="BD318" s="892">
        <f t="shared" si="270"/>
        <v>0</v>
      </c>
      <c r="BE318" s="956">
        <f t="shared" si="270"/>
        <v>0</v>
      </c>
      <c r="BF318" s="765">
        <f t="shared" ref="BF318:BL318" si="271">SUM(BF26,BF85,BF143,BF201,BF259)</f>
        <v>7</v>
      </c>
      <c r="BG318" s="852">
        <f t="shared" si="271"/>
        <v>0</v>
      </c>
      <c r="BH318" s="853">
        <f t="shared" si="271"/>
        <v>0</v>
      </c>
      <c r="BI318" s="846">
        <f t="shared" si="271"/>
        <v>0</v>
      </c>
      <c r="BJ318" s="858">
        <f t="shared" si="271"/>
        <v>3</v>
      </c>
      <c r="BK318" s="859">
        <f t="shared" si="271"/>
        <v>4</v>
      </c>
      <c r="BL318" s="840">
        <f t="shared" si="271"/>
        <v>3.3416000000000001</v>
      </c>
      <c r="BM318" s="765">
        <f t="shared" ref="BM318:BS318" si="272">SUM(BM26,BM85,BM143,BM201,BM259)</f>
        <v>23</v>
      </c>
      <c r="BN318" s="880">
        <f t="shared" si="272"/>
        <v>0</v>
      </c>
      <c r="BO318" s="881">
        <f t="shared" si="272"/>
        <v>0</v>
      </c>
      <c r="BP318" s="900">
        <f t="shared" si="272"/>
        <v>0</v>
      </c>
      <c r="BQ318" s="891">
        <f t="shared" si="272"/>
        <v>21.6</v>
      </c>
      <c r="BR318" s="892">
        <f t="shared" si="272"/>
        <v>1.4</v>
      </c>
      <c r="BS318" s="956">
        <f t="shared" si="272"/>
        <v>21.719560000000001</v>
      </c>
      <c r="BT318" s="765">
        <f t="shared" ref="BT318:BZ318" si="273">SUM(BT26,BT85,BT143,BT201,BT259)</f>
        <v>45</v>
      </c>
      <c r="BU318" s="852">
        <f t="shared" si="273"/>
        <v>0</v>
      </c>
      <c r="BV318" s="853">
        <f t="shared" si="273"/>
        <v>0</v>
      </c>
      <c r="BW318" s="846">
        <f t="shared" si="273"/>
        <v>0</v>
      </c>
      <c r="BX318" s="858">
        <f t="shared" si="273"/>
        <v>40.9</v>
      </c>
      <c r="BY318" s="859">
        <f t="shared" si="273"/>
        <v>4.0999999999999996</v>
      </c>
      <c r="BZ318" s="840">
        <f t="shared" si="273"/>
        <v>41.232099999999996</v>
      </c>
      <c r="CA318" s="765">
        <f t="shared" ref="CA318:CG318" si="274">SUM(CA26,CA85,CA143,CA201,CA259)</f>
        <v>25</v>
      </c>
      <c r="CB318" s="880">
        <f t="shared" si="274"/>
        <v>0</v>
      </c>
      <c r="CC318" s="881">
        <f t="shared" si="274"/>
        <v>0</v>
      </c>
      <c r="CD318" s="900">
        <f t="shared" si="274"/>
        <v>0</v>
      </c>
      <c r="CE318" s="891">
        <f t="shared" si="274"/>
        <v>10.869565217391305</v>
      </c>
      <c r="CF318" s="892">
        <f t="shared" si="274"/>
        <v>14.130434782608695</v>
      </c>
      <c r="CG318" s="956">
        <f t="shared" si="274"/>
        <v>12.093260869565217</v>
      </c>
      <c r="CH318" s="765">
        <f t="shared" ref="CH318:CN318" si="275">SUM(CH26,CH85,CH143,CH201,CH259)</f>
        <v>0</v>
      </c>
      <c r="CI318" s="852">
        <f t="shared" si="275"/>
        <v>0</v>
      </c>
      <c r="CJ318" s="853">
        <f t="shared" si="275"/>
        <v>0</v>
      </c>
      <c r="CK318" s="846">
        <f t="shared" si="275"/>
        <v>0</v>
      </c>
      <c r="CL318" s="858">
        <f t="shared" si="275"/>
        <v>0</v>
      </c>
      <c r="CM318" s="859">
        <f t="shared" si="275"/>
        <v>0</v>
      </c>
      <c r="CN318" s="840">
        <f t="shared" si="275"/>
        <v>0</v>
      </c>
    </row>
    <row r="319" spans="1:92" x14ac:dyDescent="0.25">
      <c r="A319" s="757">
        <v>19</v>
      </c>
      <c r="B319" s="765">
        <f t="shared" si="156"/>
        <v>17</v>
      </c>
      <c r="C319" s="844">
        <f t="shared" ref="C319:AX319" si="276">SUM(C27,C86,C144,C202,C260)</f>
        <v>0</v>
      </c>
      <c r="D319" s="844">
        <f t="shared" si="276"/>
        <v>0</v>
      </c>
      <c r="E319" s="846">
        <f t="shared" si="276"/>
        <v>0</v>
      </c>
      <c r="F319" s="838">
        <f t="shared" si="276"/>
        <v>11.6875</v>
      </c>
      <c r="G319" s="866">
        <f t="shared" si="276"/>
        <v>5.3125</v>
      </c>
      <c r="H319" s="840">
        <f t="shared" si="276"/>
        <v>12.038656250000001</v>
      </c>
      <c r="I319" s="765">
        <f t="shared" si="276"/>
        <v>15</v>
      </c>
      <c r="J319" s="882">
        <f t="shared" si="276"/>
        <v>0</v>
      </c>
      <c r="K319" s="883">
        <f t="shared" si="276"/>
        <v>0</v>
      </c>
      <c r="L319" s="901">
        <f t="shared" si="276"/>
        <v>0</v>
      </c>
      <c r="M319" s="893">
        <f t="shared" si="276"/>
        <v>6.216640502354787</v>
      </c>
      <c r="N319" s="894">
        <f t="shared" si="276"/>
        <v>8.2108241260504773</v>
      </c>
      <c r="O319" s="877">
        <f t="shared" si="276"/>
        <v>6.9268767892581522</v>
      </c>
      <c r="P319" s="765">
        <f t="shared" si="276"/>
        <v>11</v>
      </c>
      <c r="Q319" s="852">
        <f t="shared" si="276"/>
        <v>0</v>
      </c>
      <c r="R319" s="853">
        <f t="shared" si="276"/>
        <v>0</v>
      </c>
      <c r="S319" s="856">
        <f t="shared" si="276"/>
        <v>0</v>
      </c>
      <c r="T319" s="858">
        <f t="shared" si="276"/>
        <v>8.5555555555555554</v>
      </c>
      <c r="U319" s="859">
        <f t="shared" si="276"/>
        <v>2.4444444444444442</v>
      </c>
      <c r="V319" s="840">
        <f t="shared" si="276"/>
        <v>8.7706666666666671</v>
      </c>
      <c r="W319" s="958">
        <f t="shared" si="276"/>
        <v>12</v>
      </c>
      <c r="X319" s="882">
        <f t="shared" si="276"/>
        <v>0</v>
      </c>
      <c r="Y319" s="883">
        <f t="shared" si="276"/>
        <v>0</v>
      </c>
      <c r="Z319" s="901">
        <f t="shared" si="276"/>
        <v>0</v>
      </c>
      <c r="AA319" s="893">
        <f t="shared" si="276"/>
        <v>6</v>
      </c>
      <c r="AB319" s="894">
        <f t="shared" si="276"/>
        <v>6</v>
      </c>
      <c r="AC319" s="957">
        <f t="shared" si="276"/>
        <v>6.5208000000000004</v>
      </c>
      <c r="AD319" s="958">
        <f t="shared" si="276"/>
        <v>3</v>
      </c>
      <c r="AE319" s="1071">
        <f t="shared" si="276"/>
        <v>0</v>
      </c>
      <c r="AF319" s="1072">
        <f t="shared" si="276"/>
        <v>0</v>
      </c>
      <c r="AG319" s="1073">
        <f t="shared" si="276"/>
        <v>0</v>
      </c>
      <c r="AH319" s="1059">
        <f t="shared" si="276"/>
        <v>1</v>
      </c>
      <c r="AI319" s="1060">
        <f t="shared" si="276"/>
        <v>2</v>
      </c>
      <c r="AJ319" s="1061">
        <f t="shared" si="276"/>
        <v>1.177</v>
      </c>
      <c r="AK319" s="958">
        <f t="shared" si="276"/>
        <v>46</v>
      </c>
      <c r="AL319" s="882">
        <f t="shared" si="276"/>
        <v>0</v>
      </c>
      <c r="AM319" s="883">
        <f t="shared" si="276"/>
        <v>0</v>
      </c>
      <c r="AN319" s="901">
        <f t="shared" si="276"/>
        <v>0</v>
      </c>
      <c r="AO319" s="893">
        <f t="shared" si="276"/>
        <v>0</v>
      </c>
      <c r="AP319" s="894">
        <f t="shared" si="276"/>
        <v>46</v>
      </c>
      <c r="AQ319" s="957">
        <f t="shared" si="276"/>
        <v>4.0388000000000002</v>
      </c>
      <c r="AR319" s="765">
        <f t="shared" si="276"/>
        <v>28</v>
      </c>
      <c r="AS319" s="852">
        <f t="shared" si="276"/>
        <v>0</v>
      </c>
      <c r="AT319" s="853">
        <f t="shared" si="276"/>
        <v>0</v>
      </c>
      <c r="AU319" s="1073">
        <f t="shared" si="276"/>
        <v>0</v>
      </c>
      <c r="AV319" s="858">
        <f t="shared" si="276"/>
        <v>14.7</v>
      </c>
      <c r="AW319" s="859">
        <f t="shared" si="276"/>
        <v>10.3</v>
      </c>
      <c r="AX319" s="1061">
        <f t="shared" si="276"/>
        <v>15.59404</v>
      </c>
      <c r="AY319" s="765">
        <f t="shared" ref="AY319:BE319" si="277">SUM(AY27,AY86,AY144,AY202,AY260)</f>
        <v>100</v>
      </c>
      <c r="AZ319" s="882">
        <f t="shared" si="277"/>
        <v>0</v>
      </c>
      <c r="BA319" s="883">
        <f t="shared" si="277"/>
        <v>1.3</v>
      </c>
      <c r="BB319" s="901">
        <f t="shared" si="277"/>
        <v>0.11102000000000001</v>
      </c>
      <c r="BC319" s="893">
        <f t="shared" si="277"/>
        <v>41.6</v>
      </c>
      <c r="BD319" s="894">
        <f t="shared" si="277"/>
        <v>57.1</v>
      </c>
      <c r="BE319" s="957">
        <f t="shared" si="277"/>
        <v>46.704740000000001</v>
      </c>
      <c r="BF319" s="765">
        <f t="shared" ref="BF319:BL319" si="278">SUM(BF27,BF86,BF144,BF202,BF260)</f>
        <v>45</v>
      </c>
      <c r="BG319" s="852">
        <f t="shared" si="278"/>
        <v>0</v>
      </c>
      <c r="BH319" s="853">
        <f t="shared" si="278"/>
        <v>0</v>
      </c>
      <c r="BI319" s="1073">
        <f t="shared" si="278"/>
        <v>0</v>
      </c>
      <c r="BJ319" s="858">
        <f t="shared" si="278"/>
        <v>24.5</v>
      </c>
      <c r="BK319" s="859">
        <f t="shared" si="278"/>
        <v>20.5</v>
      </c>
      <c r="BL319" s="1061">
        <f t="shared" si="278"/>
        <v>26.250700000000002</v>
      </c>
      <c r="BM319" s="765">
        <f t="shared" ref="BM319:BS319" si="279">SUM(BM27,BM86,BM144,BM202,BM260)</f>
        <v>0</v>
      </c>
      <c r="BN319" s="882">
        <f t="shared" si="279"/>
        <v>0</v>
      </c>
      <c r="BO319" s="883">
        <f t="shared" si="279"/>
        <v>0</v>
      </c>
      <c r="BP319" s="901">
        <f t="shared" si="279"/>
        <v>0</v>
      </c>
      <c r="BQ319" s="893">
        <f t="shared" si="279"/>
        <v>0</v>
      </c>
      <c r="BR319" s="894">
        <f t="shared" si="279"/>
        <v>0</v>
      </c>
      <c r="BS319" s="957">
        <f t="shared" si="279"/>
        <v>0</v>
      </c>
      <c r="BT319" s="765">
        <f t="shared" ref="BT319:BZ319" si="280">SUM(BT27,BT86,BT144,BT202,BT260)</f>
        <v>48</v>
      </c>
      <c r="BU319" s="852">
        <f t="shared" si="280"/>
        <v>0</v>
      </c>
      <c r="BV319" s="853">
        <f t="shared" si="280"/>
        <v>0</v>
      </c>
      <c r="BW319" s="1073">
        <f t="shared" si="280"/>
        <v>0</v>
      </c>
      <c r="BX319" s="858">
        <f t="shared" si="280"/>
        <v>36</v>
      </c>
      <c r="BY319" s="859">
        <f t="shared" si="280"/>
        <v>12</v>
      </c>
      <c r="BZ319" s="1061">
        <f t="shared" si="280"/>
        <v>36.972000000000001</v>
      </c>
      <c r="CA319" s="765">
        <f t="shared" ref="CA319:CG319" si="281">SUM(CA27,CA86,CA144,CA202,CA260)</f>
        <v>74</v>
      </c>
      <c r="CB319" s="882">
        <f t="shared" si="281"/>
        <v>0</v>
      </c>
      <c r="CC319" s="883">
        <f t="shared" si="281"/>
        <v>0</v>
      </c>
      <c r="CD319" s="901">
        <f t="shared" si="281"/>
        <v>0</v>
      </c>
      <c r="CE319" s="893">
        <f t="shared" si="281"/>
        <v>43.527272727272731</v>
      </c>
      <c r="CF319" s="894">
        <f t="shared" si="281"/>
        <v>30.472727272727273</v>
      </c>
      <c r="CG319" s="957">
        <f t="shared" si="281"/>
        <v>46.166210909090907</v>
      </c>
      <c r="CH319" s="765">
        <f t="shared" ref="CH319:CN319" si="282">SUM(CH27,CH86,CH144,CH202,CH260)</f>
        <v>0</v>
      </c>
      <c r="CI319" s="852">
        <f t="shared" si="282"/>
        <v>0</v>
      </c>
      <c r="CJ319" s="853">
        <f t="shared" si="282"/>
        <v>0</v>
      </c>
      <c r="CK319" s="1073">
        <f t="shared" si="282"/>
        <v>0</v>
      </c>
      <c r="CL319" s="858">
        <f t="shared" si="282"/>
        <v>0</v>
      </c>
      <c r="CM319" s="859">
        <f t="shared" si="282"/>
        <v>0</v>
      </c>
      <c r="CN319" s="1061">
        <f t="shared" si="282"/>
        <v>0</v>
      </c>
    </row>
    <row r="320" spans="1:92" x14ac:dyDescent="0.25">
      <c r="A320" s="757">
        <v>20</v>
      </c>
      <c r="B320" s="765">
        <f t="shared" si="156"/>
        <v>57</v>
      </c>
      <c r="C320" s="844">
        <f t="shared" ref="C320:AX320" si="283">SUM(C28,C87,C145,C203,C261)</f>
        <v>1.0363636363636364</v>
      </c>
      <c r="D320" s="844">
        <f t="shared" si="283"/>
        <v>1.0363636363636364</v>
      </c>
      <c r="E320" s="846">
        <f t="shared" si="283"/>
        <v>1.126009090909091</v>
      </c>
      <c r="F320" s="838">
        <f t="shared" si="283"/>
        <v>17.618181818181817</v>
      </c>
      <c r="G320" s="866">
        <f t="shared" si="283"/>
        <v>37.309090909090912</v>
      </c>
      <c r="H320" s="840">
        <f t="shared" si="283"/>
        <v>20.084312727272728</v>
      </c>
      <c r="I320" s="765">
        <f t="shared" si="283"/>
        <v>84</v>
      </c>
      <c r="J320" s="882">
        <f t="shared" si="283"/>
        <v>1.8876404494382022</v>
      </c>
      <c r="K320" s="883">
        <f t="shared" si="283"/>
        <v>0</v>
      </c>
      <c r="L320" s="901">
        <f t="shared" si="283"/>
        <v>1.8876404494382022</v>
      </c>
      <c r="M320" s="893">
        <f t="shared" si="283"/>
        <v>26.0827495042961</v>
      </c>
      <c r="N320" s="894">
        <f t="shared" si="283"/>
        <v>56.029610046265695</v>
      </c>
      <c r="O320" s="877">
        <f t="shared" si="283"/>
        <v>30.929310773298081</v>
      </c>
      <c r="P320" s="765">
        <f t="shared" si="283"/>
        <v>73</v>
      </c>
      <c r="Q320" s="852">
        <f t="shared" si="283"/>
        <v>0</v>
      </c>
      <c r="R320" s="853">
        <f t="shared" si="283"/>
        <v>0</v>
      </c>
      <c r="S320" s="952">
        <f t="shared" si="283"/>
        <v>0</v>
      </c>
      <c r="T320" s="858">
        <f t="shared" si="283"/>
        <v>27.809523809523807</v>
      </c>
      <c r="U320" s="859">
        <f t="shared" si="283"/>
        <v>45.19047619047619</v>
      </c>
      <c r="V320" s="840">
        <f t="shared" si="283"/>
        <v>31.786285714285711</v>
      </c>
      <c r="W320" s="958">
        <f t="shared" si="283"/>
        <v>34</v>
      </c>
      <c r="X320" s="882">
        <f t="shared" si="283"/>
        <v>0</v>
      </c>
      <c r="Y320" s="883">
        <f t="shared" si="283"/>
        <v>0</v>
      </c>
      <c r="Z320" s="901">
        <f t="shared" si="283"/>
        <v>0</v>
      </c>
      <c r="AA320" s="893">
        <f t="shared" si="283"/>
        <v>16.91</v>
      </c>
      <c r="AB320" s="894">
        <f t="shared" si="283"/>
        <v>17.09</v>
      </c>
      <c r="AC320" s="957">
        <f t="shared" si="283"/>
        <v>18.393412000000001</v>
      </c>
      <c r="AD320" s="958">
        <f t="shared" si="283"/>
        <v>18</v>
      </c>
      <c r="AE320" s="1071">
        <f t="shared" si="283"/>
        <v>0</v>
      </c>
      <c r="AF320" s="1072">
        <f t="shared" si="283"/>
        <v>0</v>
      </c>
      <c r="AG320" s="1073">
        <f t="shared" si="283"/>
        <v>0</v>
      </c>
      <c r="AH320" s="1059">
        <f t="shared" si="283"/>
        <v>7</v>
      </c>
      <c r="AI320" s="1060">
        <f t="shared" si="283"/>
        <v>11</v>
      </c>
      <c r="AJ320" s="1061">
        <f t="shared" si="283"/>
        <v>7.9735000000000005</v>
      </c>
      <c r="AK320" s="958">
        <f t="shared" si="283"/>
        <v>35</v>
      </c>
      <c r="AL320" s="882">
        <f t="shared" si="283"/>
        <v>0</v>
      </c>
      <c r="AM320" s="883">
        <f t="shared" si="283"/>
        <v>0</v>
      </c>
      <c r="AN320" s="901">
        <f t="shared" si="283"/>
        <v>0</v>
      </c>
      <c r="AO320" s="893">
        <f t="shared" si="283"/>
        <v>14</v>
      </c>
      <c r="AP320" s="894">
        <f t="shared" si="283"/>
        <v>21</v>
      </c>
      <c r="AQ320" s="957">
        <f t="shared" si="283"/>
        <v>15.843800000000002</v>
      </c>
      <c r="AR320" s="765">
        <f t="shared" si="283"/>
        <v>27</v>
      </c>
      <c r="AS320" s="852">
        <f t="shared" si="283"/>
        <v>3.3330000000000002</v>
      </c>
      <c r="AT320" s="853">
        <f t="shared" si="283"/>
        <v>0</v>
      </c>
      <c r="AU320" s="1073">
        <f t="shared" si="283"/>
        <v>3.3330000000000002</v>
      </c>
      <c r="AV320" s="858">
        <f t="shared" si="283"/>
        <v>8.3330000000000002</v>
      </c>
      <c r="AW320" s="859">
        <f t="shared" si="283"/>
        <v>15.333</v>
      </c>
      <c r="AX320" s="1061">
        <f t="shared" si="283"/>
        <v>9.6639043999999998</v>
      </c>
      <c r="AY320" s="765">
        <f t="shared" ref="AY320:BE320" si="284">SUM(AY28,AY87,AY145,AY203,AY261)</f>
        <v>94</v>
      </c>
      <c r="AZ320" s="882">
        <f t="shared" si="284"/>
        <v>3.8</v>
      </c>
      <c r="BA320" s="883">
        <f t="shared" si="284"/>
        <v>0</v>
      </c>
      <c r="BB320" s="901">
        <f t="shared" si="284"/>
        <v>3.8</v>
      </c>
      <c r="BC320" s="893">
        <f t="shared" si="284"/>
        <v>15.2</v>
      </c>
      <c r="BD320" s="894">
        <f t="shared" si="284"/>
        <v>75</v>
      </c>
      <c r="BE320" s="957">
        <f t="shared" si="284"/>
        <v>21.905000000000001</v>
      </c>
      <c r="BF320" s="765">
        <f t="shared" ref="BF320:BL320" si="285">SUM(BF28,BF87,BF145,BF203,BF261)</f>
        <v>4</v>
      </c>
      <c r="BG320" s="852">
        <f t="shared" si="285"/>
        <v>0</v>
      </c>
      <c r="BH320" s="853">
        <f t="shared" si="285"/>
        <v>0</v>
      </c>
      <c r="BI320" s="1073">
        <f t="shared" si="285"/>
        <v>0</v>
      </c>
      <c r="BJ320" s="858">
        <f t="shared" si="285"/>
        <v>3</v>
      </c>
      <c r="BK320" s="859">
        <f t="shared" si="285"/>
        <v>1</v>
      </c>
      <c r="BL320" s="1061">
        <f t="shared" si="285"/>
        <v>3.0853999999999999</v>
      </c>
      <c r="BM320" s="765">
        <f t="shared" ref="BM320:BS320" si="286">SUM(BM28,BM87,BM145,BM203,BM261)</f>
        <v>47</v>
      </c>
      <c r="BN320" s="882">
        <f t="shared" si="286"/>
        <v>0</v>
      </c>
      <c r="BO320" s="883">
        <f t="shared" si="286"/>
        <v>0</v>
      </c>
      <c r="BP320" s="901">
        <f t="shared" si="286"/>
        <v>0</v>
      </c>
      <c r="BQ320" s="893">
        <f t="shared" si="286"/>
        <v>2.5</v>
      </c>
      <c r="BR320" s="894">
        <f t="shared" si="286"/>
        <v>44.5</v>
      </c>
      <c r="BS320" s="957">
        <f t="shared" si="286"/>
        <v>6.3003</v>
      </c>
      <c r="BT320" s="765">
        <f t="shared" ref="BT320:BZ320" si="287">SUM(BT28,BT87,BT145,BT203,BT261)</f>
        <v>83.1</v>
      </c>
      <c r="BU320" s="852">
        <f t="shared" si="287"/>
        <v>3.5</v>
      </c>
      <c r="BV320" s="853">
        <f t="shared" si="287"/>
        <v>0</v>
      </c>
      <c r="BW320" s="1073">
        <f t="shared" si="287"/>
        <v>3.5</v>
      </c>
      <c r="BX320" s="858">
        <f t="shared" si="287"/>
        <v>28.6</v>
      </c>
      <c r="BY320" s="859">
        <f t="shared" si="287"/>
        <v>51</v>
      </c>
      <c r="BZ320" s="1061">
        <f t="shared" si="287"/>
        <v>32.731000000000002</v>
      </c>
      <c r="CA320" s="765">
        <f t="shared" ref="CA320:CG320" si="288">SUM(CA28,CA87,CA145,CA203,CA261)</f>
        <v>43</v>
      </c>
      <c r="CB320" s="882">
        <f t="shared" si="288"/>
        <v>0</v>
      </c>
      <c r="CC320" s="883">
        <f t="shared" si="288"/>
        <v>0</v>
      </c>
      <c r="CD320" s="901">
        <f t="shared" si="288"/>
        <v>0</v>
      </c>
      <c r="CE320" s="893">
        <f t="shared" si="288"/>
        <v>22</v>
      </c>
      <c r="CF320" s="894">
        <f t="shared" si="288"/>
        <v>21</v>
      </c>
      <c r="CG320" s="957">
        <f t="shared" si="288"/>
        <v>23.8186</v>
      </c>
      <c r="CH320" s="765">
        <f t="shared" ref="CH320:CN320" si="289">SUM(CH28,CH87,CH145,CH203,CH261)</f>
        <v>0</v>
      </c>
      <c r="CI320" s="852">
        <f t="shared" si="289"/>
        <v>0</v>
      </c>
      <c r="CJ320" s="853">
        <f t="shared" si="289"/>
        <v>0</v>
      </c>
      <c r="CK320" s="1073">
        <f t="shared" si="289"/>
        <v>0</v>
      </c>
      <c r="CL320" s="858">
        <f t="shared" si="289"/>
        <v>0</v>
      </c>
      <c r="CM320" s="859">
        <f t="shared" si="289"/>
        <v>0</v>
      </c>
      <c r="CN320" s="1061">
        <f t="shared" si="289"/>
        <v>0</v>
      </c>
    </row>
    <row r="321" spans="1:92" x14ac:dyDescent="0.25">
      <c r="A321" s="757">
        <v>21</v>
      </c>
      <c r="B321" s="765">
        <f t="shared" si="156"/>
        <v>21</v>
      </c>
      <c r="C321" s="844">
        <f t="shared" ref="C321:AX321" si="290">SUM(C29,C88,C146,C204,C262)</f>
        <v>0</v>
      </c>
      <c r="D321" s="844">
        <f t="shared" si="290"/>
        <v>0</v>
      </c>
      <c r="E321" s="846">
        <f t="shared" si="290"/>
        <v>0</v>
      </c>
      <c r="F321" s="838">
        <f t="shared" si="290"/>
        <v>2.625</v>
      </c>
      <c r="G321" s="866">
        <f t="shared" si="290"/>
        <v>18.375</v>
      </c>
      <c r="H321" s="840">
        <f t="shared" si="290"/>
        <v>3.8395875000000004</v>
      </c>
      <c r="I321" s="765">
        <f t="shared" si="290"/>
        <v>66</v>
      </c>
      <c r="J321" s="882">
        <f t="shared" si="290"/>
        <v>1.3469387755102038</v>
      </c>
      <c r="K321" s="883">
        <f t="shared" si="290"/>
        <v>0</v>
      </c>
      <c r="L321" s="901">
        <f t="shared" si="290"/>
        <v>1.3469387755102038</v>
      </c>
      <c r="M321" s="893">
        <f t="shared" si="290"/>
        <v>18.857142857142858</v>
      </c>
      <c r="N321" s="894">
        <f t="shared" si="290"/>
        <v>43.873260285748074</v>
      </c>
      <c r="O321" s="877">
        <f t="shared" si="290"/>
        <v>22.652179871860067</v>
      </c>
      <c r="P321" s="765">
        <f t="shared" si="290"/>
        <v>48</v>
      </c>
      <c r="Q321" s="852">
        <f t="shared" si="290"/>
        <v>0</v>
      </c>
      <c r="R321" s="853">
        <f t="shared" si="290"/>
        <v>0</v>
      </c>
      <c r="S321" s="952">
        <f t="shared" si="290"/>
        <v>0</v>
      </c>
      <c r="T321" s="858">
        <f t="shared" si="290"/>
        <v>19.826086956521735</v>
      </c>
      <c r="U321" s="859">
        <f t="shared" si="290"/>
        <v>28.173913043478262</v>
      </c>
      <c r="V321" s="840">
        <f t="shared" si="290"/>
        <v>22.305391304347825</v>
      </c>
      <c r="W321" s="958">
        <f t="shared" si="290"/>
        <v>42</v>
      </c>
      <c r="X321" s="882">
        <f t="shared" si="290"/>
        <v>0</v>
      </c>
      <c r="Y321" s="883">
        <f t="shared" si="290"/>
        <v>0</v>
      </c>
      <c r="Z321" s="901">
        <f t="shared" si="290"/>
        <v>0</v>
      </c>
      <c r="AA321" s="893">
        <f t="shared" si="290"/>
        <v>0</v>
      </c>
      <c r="AB321" s="894">
        <f t="shared" si="290"/>
        <v>42</v>
      </c>
      <c r="AC321" s="957">
        <f t="shared" si="290"/>
        <v>3.6456</v>
      </c>
      <c r="AD321" s="958">
        <f t="shared" si="290"/>
        <v>17</v>
      </c>
      <c r="AE321" s="1071">
        <f t="shared" si="290"/>
        <v>0</v>
      </c>
      <c r="AF321" s="1072">
        <f t="shared" si="290"/>
        <v>0</v>
      </c>
      <c r="AG321" s="1073">
        <f t="shared" si="290"/>
        <v>0</v>
      </c>
      <c r="AH321" s="1059">
        <f t="shared" si="290"/>
        <v>8.5</v>
      </c>
      <c r="AI321" s="1060">
        <f t="shared" si="290"/>
        <v>8.5</v>
      </c>
      <c r="AJ321" s="1061">
        <f t="shared" si="290"/>
        <v>9.2522500000000001</v>
      </c>
      <c r="AK321" s="958">
        <f t="shared" si="290"/>
        <v>1</v>
      </c>
      <c r="AL321" s="882">
        <f t="shared" si="290"/>
        <v>0</v>
      </c>
      <c r="AM321" s="883">
        <f t="shared" si="290"/>
        <v>0</v>
      </c>
      <c r="AN321" s="901">
        <f t="shared" si="290"/>
        <v>0</v>
      </c>
      <c r="AO321" s="893">
        <f t="shared" si="290"/>
        <v>0.4</v>
      </c>
      <c r="AP321" s="894">
        <f t="shared" si="290"/>
        <v>0.6</v>
      </c>
      <c r="AQ321" s="957">
        <f t="shared" si="290"/>
        <v>0.45268000000000003</v>
      </c>
      <c r="AR321" s="765">
        <f t="shared" si="290"/>
        <v>0</v>
      </c>
      <c r="AS321" s="852">
        <f t="shared" si="290"/>
        <v>0</v>
      </c>
      <c r="AT321" s="853">
        <f t="shared" si="290"/>
        <v>0</v>
      </c>
      <c r="AU321" s="952">
        <f t="shared" si="290"/>
        <v>0</v>
      </c>
      <c r="AV321" s="858">
        <f t="shared" si="290"/>
        <v>0</v>
      </c>
      <c r="AW321" s="859">
        <f t="shared" si="290"/>
        <v>0</v>
      </c>
      <c r="AX321" s="840">
        <f t="shared" si="290"/>
        <v>0</v>
      </c>
      <c r="AY321" s="765">
        <f t="shared" ref="AY321:BE321" si="291">SUM(AY29,AY88,AY146,AY204,AY262)</f>
        <v>36</v>
      </c>
      <c r="AZ321" s="882">
        <f t="shared" si="291"/>
        <v>0</v>
      </c>
      <c r="BA321" s="883">
        <f t="shared" si="291"/>
        <v>0</v>
      </c>
      <c r="BB321" s="901">
        <f t="shared" si="291"/>
        <v>0</v>
      </c>
      <c r="BC321" s="893">
        <f t="shared" si="291"/>
        <v>8</v>
      </c>
      <c r="BD321" s="894">
        <f t="shared" si="291"/>
        <v>28</v>
      </c>
      <c r="BE321" s="957">
        <f t="shared" si="291"/>
        <v>10.5032</v>
      </c>
      <c r="BF321" s="765">
        <f t="shared" ref="BF321:BL321" si="292">SUM(BF29,BF88,BF146,BF204,BF262)</f>
        <v>40</v>
      </c>
      <c r="BG321" s="852">
        <f t="shared" si="292"/>
        <v>0</v>
      </c>
      <c r="BH321" s="853">
        <f t="shared" si="292"/>
        <v>0</v>
      </c>
      <c r="BI321" s="952">
        <f t="shared" si="292"/>
        <v>0</v>
      </c>
      <c r="BJ321" s="858">
        <f t="shared" si="292"/>
        <v>3.4</v>
      </c>
      <c r="BK321" s="859">
        <f t="shared" si="292"/>
        <v>37.6</v>
      </c>
      <c r="BL321" s="840">
        <f t="shared" si="292"/>
        <v>6.61104</v>
      </c>
      <c r="BM321" s="765">
        <f t="shared" ref="BM321:BS321" si="293">SUM(BM29,BM88,BM146,BM204,BM262)</f>
        <v>15</v>
      </c>
      <c r="BN321" s="882">
        <f t="shared" si="293"/>
        <v>0</v>
      </c>
      <c r="BO321" s="883">
        <f t="shared" si="293"/>
        <v>0</v>
      </c>
      <c r="BP321" s="901">
        <f t="shared" si="293"/>
        <v>0</v>
      </c>
      <c r="BQ321" s="893">
        <f t="shared" si="293"/>
        <v>8</v>
      </c>
      <c r="BR321" s="894">
        <f t="shared" si="293"/>
        <v>7</v>
      </c>
      <c r="BS321" s="957">
        <f t="shared" si="293"/>
        <v>8.5977999999999994</v>
      </c>
      <c r="BT321" s="765">
        <f t="shared" ref="BT321:BZ321" si="294">SUM(BT29,BT88,BT146,BT204,BT262)</f>
        <v>6</v>
      </c>
      <c r="BU321" s="852">
        <f t="shared" si="294"/>
        <v>0</v>
      </c>
      <c r="BV321" s="853">
        <f t="shared" si="294"/>
        <v>0</v>
      </c>
      <c r="BW321" s="952">
        <f t="shared" si="294"/>
        <v>0</v>
      </c>
      <c r="BX321" s="858">
        <f t="shared" si="294"/>
        <v>1</v>
      </c>
      <c r="BY321" s="859">
        <f t="shared" si="294"/>
        <v>5</v>
      </c>
      <c r="BZ321" s="840">
        <f t="shared" si="294"/>
        <v>1.405</v>
      </c>
      <c r="CA321" s="765">
        <f t="shared" ref="CA321:CG321" si="295">SUM(CA29,CA88,CA146,CA204,CA262)</f>
        <v>40</v>
      </c>
      <c r="CB321" s="882">
        <f t="shared" si="295"/>
        <v>0</v>
      </c>
      <c r="CC321" s="883">
        <f t="shared" si="295"/>
        <v>0</v>
      </c>
      <c r="CD321" s="901">
        <f t="shared" si="295"/>
        <v>0</v>
      </c>
      <c r="CE321" s="893">
        <f t="shared" si="295"/>
        <v>11.153846153846153</v>
      </c>
      <c r="CF321" s="894">
        <f t="shared" si="295"/>
        <v>28.846153846153847</v>
      </c>
      <c r="CG321" s="957">
        <f t="shared" si="295"/>
        <v>13.651923076923076</v>
      </c>
      <c r="CH321" s="765">
        <f t="shared" ref="CH321:CN321" si="296">SUM(CH29,CH88,CH146,CH204,CH262)</f>
        <v>0</v>
      </c>
      <c r="CI321" s="852">
        <f t="shared" si="296"/>
        <v>0</v>
      </c>
      <c r="CJ321" s="853">
        <f t="shared" si="296"/>
        <v>0</v>
      </c>
      <c r="CK321" s="952">
        <f t="shared" si="296"/>
        <v>0</v>
      </c>
      <c r="CL321" s="858">
        <f t="shared" si="296"/>
        <v>0</v>
      </c>
      <c r="CM321" s="859">
        <f t="shared" si="296"/>
        <v>0</v>
      </c>
      <c r="CN321" s="840">
        <f t="shared" si="296"/>
        <v>0</v>
      </c>
    </row>
    <row r="322" spans="1:92" x14ac:dyDescent="0.25">
      <c r="A322" s="757">
        <v>22</v>
      </c>
      <c r="B322" s="765">
        <f t="shared" si="156"/>
        <v>59</v>
      </c>
      <c r="C322" s="844">
        <f t="shared" ref="C322:AX322" si="297">SUM(C30,C89,C147,C205,C263)</f>
        <v>0</v>
      </c>
      <c r="D322" s="844">
        <f t="shared" si="297"/>
        <v>1</v>
      </c>
      <c r="E322" s="846">
        <f t="shared" si="297"/>
        <v>8.6499999999999994E-2</v>
      </c>
      <c r="F322" s="838">
        <f t="shared" si="297"/>
        <v>13</v>
      </c>
      <c r="G322" s="866">
        <f t="shared" si="297"/>
        <v>45</v>
      </c>
      <c r="H322" s="840">
        <f t="shared" si="297"/>
        <v>15.974500000000001</v>
      </c>
      <c r="I322" s="765">
        <f t="shared" si="297"/>
        <v>0</v>
      </c>
      <c r="J322" s="882">
        <f t="shared" si="297"/>
        <v>0</v>
      </c>
      <c r="K322" s="883">
        <f t="shared" si="297"/>
        <v>0</v>
      </c>
      <c r="L322" s="901">
        <f t="shared" si="297"/>
        <v>0</v>
      </c>
      <c r="M322" s="893">
        <f t="shared" si="297"/>
        <v>0</v>
      </c>
      <c r="N322" s="894">
        <f t="shared" si="297"/>
        <v>0</v>
      </c>
      <c r="O322" s="877">
        <f t="shared" si="297"/>
        <v>0</v>
      </c>
      <c r="P322" s="765">
        <f t="shared" si="297"/>
        <v>14</v>
      </c>
      <c r="Q322" s="852">
        <f t="shared" si="297"/>
        <v>0.93333333333333335</v>
      </c>
      <c r="R322" s="853">
        <f t="shared" si="297"/>
        <v>0</v>
      </c>
      <c r="S322" s="952">
        <f t="shared" si="297"/>
        <v>0</v>
      </c>
      <c r="T322" s="858">
        <f t="shared" si="297"/>
        <v>1.8666666666666667</v>
      </c>
      <c r="U322" s="859">
        <f t="shared" si="297"/>
        <v>11.200000000000001</v>
      </c>
      <c r="V322" s="840">
        <f t="shared" si="297"/>
        <v>2.8522666666666669</v>
      </c>
      <c r="W322" s="958">
        <f t="shared" si="297"/>
        <v>0</v>
      </c>
      <c r="X322" s="882">
        <f t="shared" si="297"/>
        <v>0</v>
      </c>
      <c r="Y322" s="883">
        <f t="shared" si="297"/>
        <v>0</v>
      </c>
      <c r="Z322" s="901">
        <f t="shared" si="297"/>
        <v>0</v>
      </c>
      <c r="AA322" s="893">
        <f t="shared" si="297"/>
        <v>0</v>
      </c>
      <c r="AB322" s="894">
        <f t="shared" si="297"/>
        <v>0</v>
      </c>
      <c r="AC322" s="957">
        <f t="shared" si="297"/>
        <v>0</v>
      </c>
      <c r="AD322" s="958">
        <f t="shared" si="297"/>
        <v>0</v>
      </c>
      <c r="AE322" s="1071">
        <f t="shared" si="297"/>
        <v>0</v>
      </c>
      <c r="AF322" s="1072">
        <f t="shared" si="297"/>
        <v>0</v>
      </c>
      <c r="AG322" s="1073">
        <f t="shared" si="297"/>
        <v>0</v>
      </c>
      <c r="AH322" s="1059">
        <f t="shared" si="297"/>
        <v>0</v>
      </c>
      <c r="AI322" s="1060">
        <f t="shared" si="297"/>
        <v>0</v>
      </c>
      <c r="AJ322" s="1061">
        <f t="shared" si="297"/>
        <v>0</v>
      </c>
      <c r="AK322" s="958">
        <f t="shared" si="297"/>
        <v>0</v>
      </c>
      <c r="AL322" s="882">
        <f t="shared" si="297"/>
        <v>0</v>
      </c>
      <c r="AM322" s="883">
        <f t="shared" si="297"/>
        <v>0</v>
      </c>
      <c r="AN322" s="901">
        <f t="shared" si="297"/>
        <v>0</v>
      </c>
      <c r="AO322" s="893">
        <f t="shared" si="297"/>
        <v>0</v>
      </c>
      <c r="AP322" s="894">
        <f t="shared" si="297"/>
        <v>0</v>
      </c>
      <c r="AQ322" s="957">
        <f t="shared" si="297"/>
        <v>0</v>
      </c>
      <c r="AR322" s="765">
        <f t="shared" si="297"/>
        <v>3</v>
      </c>
      <c r="AS322" s="852">
        <f t="shared" si="297"/>
        <v>1</v>
      </c>
      <c r="AT322" s="853">
        <f t="shared" si="297"/>
        <v>0</v>
      </c>
      <c r="AU322" s="952">
        <f t="shared" si="297"/>
        <v>1</v>
      </c>
      <c r="AV322" s="858">
        <f t="shared" si="297"/>
        <v>1</v>
      </c>
      <c r="AW322" s="859">
        <f t="shared" si="297"/>
        <v>1</v>
      </c>
      <c r="AX322" s="840">
        <f t="shared" si="297"/>
        <v>1.0868</v>
      </c>
      <c r="AY322" s="765">
        <f t="shared" ref="AY322:BE322" si="298">SUM(AY30,AY89,AY147,AY205,AY263)</f>
        <v>1</v>
      </c>
      <c r="AZ322" s="882">
        <f t="shared" si="298"/>
        <v>0</v>
      </c>
      <c r="BA322" s="883">
        <f t="shared" si="298"/>
        <v>0</v>
      </c>
      <c r="BB322" s="901">
        <f t="shared" si="298"/>
        <v>0</v>
      </c>
      <c r="BC322" s="893">
        <f t="shared" si="298"/>
        <v>0</v>
      </c>
      <c r="BD322" s="894">
        <f t="shared" si="298"/>
        <v>1</v>
      </c>
      <c r="BE322" s="957">
        <f t="shared" si="298"/>
        <v>8.9399999999999993E-2</v>
      </c>
      <c r="BF322" s="765">
        <f t="shared" ref="BF322:BL322" si="299">SUM(BF30,BF89,BF147,BF205,BF263)</f>
        <v>0</v>
      </c>
      <c r="BG322" s="852">
        <f t="shared" si="299"/>
        <v>0</v>
      </c>
      <c r="BH322" s="853">
        <f t="shared" si="299"/>
        <v>0</v>
      </c>
      <c r="BI322" s="952">
        <f t="shared" si="299"/>
        <v>0</v>
      </c>
      <c r="BJ322" s="858">
        <f t="shared" si="299"/>
        <v>0</v>
      </c>
      <c r="BK322" s="859">
        <f t="shared" si="299"/>
        <v>0</v>
      </c>
      <c r="BL322" s="840">
        <f t="shared" si="299"/>
        <v>0</v>
      </c>
      <c r="BM322" s="765">
        <f t="shared" ref="BM322:BS322" si="300">SUM(BM30,BM89,BM147,BM205,BM263)</f>
        <v>2</v>
      </c>
      <c r="BN322" s="882">
        <f t="shared" si="300"/>
        <v>0</v>
      </c>
      <c r="BO322" s="883">
        <f t="shared" si="300"/>
        <v>0</v>
      </c>
      <c r="BP322" s="901">
        <f t="shared" si="300"/>
        <v>0</v>
      </c>
      <c r="BQ322" s="893">
        <f t="shared" si="300"/>
        <v>2</v>
      </c>
      <c r="BR322" s="894">
        <f t="shared" si="300"/>
        <v>0</v>
      </c>
      <c r="BS322" s="957">
        <f t="shared" si="300"/>
        <v>2</v>
      </c>
      <c r="BT322" s="765">
        <f t="shared" ref="BT322:BZ322" si="301">SUM(BT30,BT89,BT147,BT205,BT263)</f>
        <v>8</v>
      </c>
      <c r="BU322" s="852">
        <f t="shared" si="301"/>
        <v>0</v>
      </c>
      <c r="BV322" s="853">
        <f t="shared" si="301"/>
        <v>0</v>
      </c>
      <c r="BW322" s="952">
        <f t="shared" si="301"/>
        <v>0</v>
      </c>
      <c r="BX322" s="858">
        <f t="shared" si="301"/>
        <v>4</v>
      </c>
      <c r="BY322" s="859">
        <f t="shared" si="301"/>
        <v>4</v>
      </c>
      <c r="BZ322" s="840">
        <f t="shared" si="301"/>
        <v>4.3239999999999998</v>
      </c>
      <c r="CA322" s="765">
        <f t="shared" ref="CA322:CG322" si="302">SUM(CA30,CA89,CA147,CA205,CA263)</f>
        <v>7</v>
      </c>
      <c r="CB322" s="882">
        <f t="shared" si="302"/>
        <v>0</v>
      </c>
      <c r="CC322" s="883">
        <f t="shared" si="302"/>
        <v>0</v>
      </c>
      <c r="CD322" s="901">
        <f t="shared" si="302"/>
        <v>0</v>
      </c>
      <c r="CE322" s="893">
        <f t="shared" si="302"/>
        <v>7</v>
      </c>
      <c r="CF322" s="894">
        <f t="shared" si="302"/>
        <v>0</v>
      </c>
      <c r="CG322" s="957">
        <f t="shared" si="302"/>
        <v>7</v>
      </c>
      <c r="CH322" s="765">
        <f t="shared" ref="CH322:CN322" si="303">SUM(CH30,CH89,CH147,CH205,CH263)</f>
        <v>0</v>
      </c>
      <c r="CI322" s="852">
        <f t="shared" si="303"/>
        <v>0</v>
      </c>
      <c r="CJ322" s="853">
        <f t="shared" si="303"/>
        <v>0</v>
      </c>
      <c r="CK322" s="952">
        <f t="shared" si="303"/>
        <v>0</v>
      </c>
      <c r="CL322" s="858">
        <f t="shared" si="303"/>
        <v>0</v>
      </c>
      <c r="CM322" s="859">
        <f t="shared" si="303"/>
        <v>0</v>
      </c>
      <c r="CN322" s="840">
        <f t="shared" si="303"/>
        <v>0</v>
      </c>
    </row>
    <row r="323" spans="1:92" x14ac:dyDescent="0.25">
      <c r="A323" s="757">
        <v>23</v>
      </c>
      <c r="B323" s="765">
        <f t="shared" si="156"/>
        <v>0</v>
      </c>
      <c r="C323" s="844">
        <f t="shared" ref="C323:AX323" si="304">SUM(C31,C90,C148,C206,C264)</f>
        <v>0</v>
      </c>
      <c r="D323" s="844">
        <f t="shared" si="304"/>
        <v>0</v>
      </c>
      <c r="E323" s="846">
        <f t="shared" si="304"/>
        <v>0</v>
      </c>
      <c r="F323" s="838">
        <f t="shared" si="304"/>
        <v>0</v>
      </c>
      <c r="G323" s="866">
        <f t="shared" si="304"/>
        <v>0</v>
      </c>
      <c r="H323" s="840">
        <f t="shared" si="304"/>
        <v>0</v>
      </c>
      <c r="I323" s="765">
        <f t="shared" si="304"/>
        <v>0</v>
      </c>
      <c r="J323" s="882">
        <f t="shared" si="304"/>
        <v>0</v>
      </c>
      <c r="K323" s="883">
        <f t="shared" si="304"/>
        <v>0</v>
      </c>
      <c r="L323" s="901">
        <f t="shared" si="304"/>
        <v>0</v>
      </c>
      <c r="M323" s="893">
        <f t="shared" si="304"/>
        <v>0</v>
      </c>
      <c r="N323" s="894">
        <f t="shared" si="304"/>
        <v>0</v>
      </c>
      <c r="O323" s="877">
        <f t="shared" si="304"/>
        <v>0</v>
      </c>
      <c r="P323" s="765">
        <f t="shared" si="304"/>
        <v>0</v>
      </c>
      <c r="Q323" s="852">
        <f t="shared" si="304"/>
        <v>0</v>
      </c>
      <c r="R323" s="853">
        <f t="shared" si="304"/>
        <v>0</v>
      </c>
      <c r="S323" s="856">
        <f t="shared" si="304"/>
        <v>0</v>
      </c>
      <c r="T323" s="858">
        <f t="shared" si="304"/>
        <v>0</v>
      </c>
      <c r="U323" s="859">
        <f t="shared" si="304"/>
        <v>0</v>
      </c>
      <c r="V323" s="840">
        <f t="shared" si="304"/>
        <v>0</v>
      </c>
      <c r="W323" s="958">
        <f t="shared" si="304"/>
        <v>0</v>
      </c>
      <c r="X323" s="882">
        <f t="shared" si="304"/>
        <v>0</v>
      </c>
      <c r="Y323" s="883">
        <f t="shared" si="304"/>
        <v>0</v>
      </c>
      <c r="Z323" s="901">
        <f t="shared" si="304"/>
        <v>0</v>
      </c>
      <c r="AA323" s="893">
        <f t="shared" si="304"/>
        <v>0</v>
      </c>
      <c r="AB323" s="894">
        <f t="shared" si="304"/>
        <v>0</v>
      </c>
      <c r="AC323" s="957">
        <f t="shared" si="304"/>
        <v>0</v>
      </c>
      <c r="AD323" s="958">
        <f t="shared" si="304"/>
        <v>0</v>
      </c>
      <c r="AE323" s="1071">
        <f t="shared" si="304"/>
        <v>0</v>
      </c>
      <c r="AF323" s="1072">
        <f t="shared" si="304"/>
        <v>0</v>
      </c>
      <c r="AG323" s="1073">
        <f t="shared" si="304"/>
        <v>0</v>
      </c>
      <c r="AH323" s="1059">
        <f t="shared" si="304"/>
        <v>0</v>
      </c>
      <c r="AI323" s="1060">
        <f t="shared" si="304"/>
        <v>0</v>
      </c>
      <c r="AJ323" s="1061">
        <f t="shared" si="304"/>
        <v>0</v>
      </c>
      <c r="AK323" s="958">
        <f t="shared" si="304"/>
        <v>0</v>
      </c>
      <c r="AL323" s="882">
        <f t="shared" si="304"/>
        <v>0</v>
      </c>
      <c r="AM323" s="883">
        <f t="shared" si="304"/>
        <v>0</v>
      </c>
      <c r="AN323" s="901">
        <f t="shared" si="304"/>
        <v>0</v>
      </c>
      <c r="AO323" s="893">
        <f t="shared" si="304"/>
        <v>0</v>
      </c>
      <c r="AP323" s="894">
        <f t="shared" si="304"/>
        <v>0</v>
      </c>
      <c r="AQ323" s="957">
        <f t="shared" si="304"/>
        <v>0</v>
      </c>
      <c r="AR323" s="765">
        <f t="shared" si="304"/>
        <v>0</v>
      </c>
      <c r="AS323" s="852">
        <f t="shared" si="304"/>
        <v>0</v>
      </c>
      <c r="AT323" s="853">
        <f t="shared" si="304"/>
        <v>0</v>
      </c>
      <c r="AU323" s="856">
        <f t="shared" si="304"/>
        <v>0</v>
      </c>
      <c r="AV323" s="858">
        <f t="shared" si="304"/>
        <v>0</v>
      </c>
      <c r="AW323" s="859">
        <f t="shared" si="304"/>
        <v>0</v>
      </c>
      <c r="AX323" s="840">
        <f t="shared" si="304"/>
        <v>0</v>
      </c>
      <c r="AY323" s="765">
        <f t="shared" ref="AY323:BE323" si="305">SUM(AY31,AY90,AY148,AY206,AY264)</f>
        <v>0</v>
      </c>
      <c r="AZ323" s="882">
        <f t="shared" si="305"/>
        <v>0</v>
      </c>
      <c r="BA323" s="883">
        <f t="shared" si="305"/>
        <v>0</v>
      </c>
      <c r="BB323" s="901">
        <f t="shared" si="305"/>
        <v>0</v>
      </c>
      <c r="BC323" s="893">
        <f t="shared" si="305"/>
        <v>0</v>
      </c>
      <c r="BD323" s="894">
        <f t="shared" si="305"/>
        <v>0</v>
      </c>
      <c r="BE323" s="957">
        <f t="shared" si="305"/>
        <v>0</v>
      </c>
      <c r="BF323" s="765">
        <f t="shared" ref="BF323:BL323" si="306">SUM(BF31,BF90,BF148,BF206,BF264)</f>
        <v>0</v>
      </c>
      <c r="BG323" s="852">
        <f t="shared" si="306"/>
        <v>0</v>
      </c>
      <c r="BH323" s="853">
        <f t="shared" si="306"/>
        <v>0</v>
      </c>
      <c r="BI323" s="856">
        <f t="shared" si="306"/>
        <v>0</v>
      </c>
      <c r="BJ323" s="858">
        <f t="shared" si="306"/>
        <v>0</v>
      </c>
      <c r="BK323" s="859">
        <f t="shared" si="306"/>
        <v>0</v>
      </c>
      <c r="BL323" s="840">
        <f t="shared" si="306"/>
        <v>0</v>
      </c>
      <c r="BM323" s="765">
        <f t="shared" ref="BM323:BS323" si="307">SUM(BM31,BM90,BM148,BM206,BM264)</f>
        <v>0</v>
      </c>
      <c r="BN323" s="882">
        <f t="shared" si="307"/>
        <v>0</v>
      </c>
      <c r="BO323" s="883">
        <f t="shared" si="307"/>
        <v>0</v>
      </c>
      <c r="BP323" s="901">
        <f t="shared" si="307"/>
        <v>0</v>
      </c>
      <c r="BQ323" s="893">
        <f t="shared" si="307"/>
        <v>0</v>
      </c>
      <c r="BR323" s="894">
        <f t="shared" si="307"/>
        <v>0</v>
      </c>
      <c r="BS323" s="957">
        <f t="shared" si="307"/>
        <v>0</v>
      </c>
      <c r="BT323" s="765">
        <f t="shared" ref="BT323:BZ323" si="308">SUM(BT31,BT90,BT148,BT206,BT264)</f>
        <v>0</v>
      </c>
      <c r="BU323" s="852">
        <f t="shared" si="308"/>
        <v>0</v>
      </c>
      <c r="BV323" s="853">
        <f t="shared" si="308"/>
        <v>0</v>
      </c>
      <c r="BW323" s="952">
        <f t="shared" si="308"/>
        <v>0</v>
      </c>
      <c r="BX323" s="858">
        <f t="shared" si="308"/>
        <v>0</v>
      </c>
      <c r="BY323" s="859">
        <f t="shared" si="308"/>
        <v>0</v>
      </c>
      <c r="BZ323" s="840">
        <f t="shared" si="308"/>
        <v>0</v>
      </c>
      <c r="CA323" s="765">
        <f t="shared" ref="CA323:CG323" si="309">SUM(CA31,CA90,CA148,CA206,CA264)</f>
        <v>0</v>
      </c>
      <c r="CB323" s="882">
        <f t="shared" si="309"/>
        <v>0</v>
      </c>
      <c r="CC323" s="883">
        <f t="shared" si="309"/>
        <v>0</v>
      </c>
      <c r="CD323" s="901">
        <f t="shared" si="309"/>
        <v>0</v>
      </c>
      <c r="CE323" s="893">
        <f t="shared" si="309"/>
        <v>0</v>
      </c>
      <c r="CF323" s="894">
        <f t="shared" si="309"/>
        <v>0</v>
      </c>
      <c r="CG323" s="957">
        <f t="shared" si="309"/>
        <v>0</v>
      </c>
      <c r="CH323" s="765">
        <f t="shared" ref="CH323:CN323" si="310">SUM(CH31,CH90,CH148,CH206,CH264)</f>
        <v>0</v>
      </c>
      <c r="CI323" s="852">
        <f t="shared" si="310"/>
        <v>0</v>
      </c>
      <c r="CJ323" s="853">
        <f t="shared" si="310"/>
        <v>0</v>
      </c>
      <c r="CK323" s="952">
        <f t="shared" si="310"/>
        <v>0</v>
      </c>
      <c r="CL323" s="858">
        <f t="shared" si="310"/>
        <v>0</v>
      </c>
      <c r="CM323" s="859">
        <f t="shared" si="310"/>
        <v>0</v>
      </c>
      <c r="CN323" s="840">
        <f t="shared" si="310"/>
        <v>0</v>
      </c>
    </row>
    <row r="324" spans="1:92" x14ac:dyDescent="0.25">
      <c r="A324" s="757">
        <v>24</v>
      </c>
      <c r="B324" s="765">
        <f t="shared" si="156"/>
        <v>0</v>
      </c>
      <c r="C324" s="844">
        <f t="shared" ref="C324:AX324" si="311">SUM(C32,C91,C149,C207,C265)</f>
        <v>0</v>
      </c>
      <c r="D324" s="844">
        <f t="shared" si="311"/>
        <v>0</v>
      </c>
      <c r="E324" s="846">
        <f t="shared" si="311"/>
        <v>0</v>
      </c>
      <c r="F324" s="838">
        <f t="shared" si="311"/>
        <v>0</v>
      </c>
      <c r="G324" s="866">
        <f t="shared" si="311"/>
        <v>0</v>
      </c>
      <c r="H324" s="840">
        <f t="shared" si="311"/>
        <v>0</v>
      </c>
      <c r="I324" s="765">
        <f t="shared" si="311"/>
        <v>0</v>
      </c>
      <c r="J324" s="882">
        <f t="shared" si="311"/>
        <v>0</v>
      </c>
      <c r="K324" s="883">
        <f t="shared" si="311"/>
        <v>0</v>
      </c>
      <c r="L324" s="901">
        <f t="shared" si="311"/>
        <v>0</v>
      </c>
      <c r="M324" s="893">
        <f t="shared" si="311"/>
        <v>0</v>
      </c>
      <c r="N324" s="894">
        <f t="shared" si="311"/>
        <v>0</v>
      </c>
      <c r="O324" s="877">
        <f t="shared" si="311"/>
        <v>0</v>
      </c>
      <c r="P324" s="765">
        <f t="shared" si="311"/>
        <v>0</v>
      </c>
      <c r="Q324" s="852">
        <f t="shared" si="311"/>
        <v>0</v>
      </c>
      <c r="R324" s="853">
        <f t="shared" si="311"/>
        <v>0</v>
      </c>
      <c r="S324" s="856">
        <f t="shared" si="311"/>
        <v>0</v>
      </c>
      <c r="T324" s="858">
        <f t="shared" si="311"/>
        <v>0</v>
      </c>
      <c r="U324" s="859">
        <f t="shared" si="311"/>
        <v>0</v>
      </c>
      <c r="V324" s="840">
        <f t="shared" si="311"/>
        <v>0</v>
      </c>
      <c r="W324" s="958">
        <f t="shared" si="311"/>
        <v>0</v>
      </c>
      <c r="X324" s="882">
        <f t="shared" si="311"/>
        <v>0</v>
      </c>
      <c r="Y324" s="883">
        <f t="shared" si="311"/>
        <v>0</v>
      </c>
      <c r="Z324" s="901">
        <f t="shared" si="311"/>
        <v>0</v>
      </c>
      <c r="AA324" s="893">
        <f t="shared" si="311"/>
        <v>0</v>
      </c>
      <c r="AB324" s="894">
        <f t="shared" si="311"/>
        <v>0</v>
      </c>
      <c r="AC324" s="957">
        <f t="shared" si="311"/>
        <v>0</v>
      </c>
      <c r="AD324" s="958">
        <f t="shared" si="311"/>
        <v>0</v>
      </c>
      <c r="AE324" s="1071">
        <f t="shared" si="311"/>
        <v>0</v>
      </c>
      <c r="AF324" s="1072">
        <f t="shared" si="311"/>
        <v>0</v>
      </c>
      <c r="AG324" s="1073">
        <f t="shared" si="311"/>
        <v>0</v>
      </c>
      <c r="AH324" s="1059">
        <f t="shared" si="311"/>
        <v>0</v>
      </c>
      <c r="AI324" s="1060">
        <f t="shared" si="311"/>
        <v>0</v>
      </c>
      <c r="AJ324" s="1061">
        <f t="shared" si="311"/>
        <v>0</v>
      </c>
      <c r="AK324" s="958">
        <f t="shared" si="311"/>
        <v>0</v>
      </c>
      <c r="AL324" s="882">
        <f t="shared" si="311"/>
        <v>0</v>
      </c>
      <c r="AM324" s="883">
        <f t="shared" si="311"/>
        <v>0</v>
      </c>
      <c r="AN324" s="901">
        <f t="shared" si="311"/>
        <v>0</v>
      </c>
      <c r="AO324" s="893">
        <f t="shared" si="311"/>
        <v>0</v>
      </c>
      <c r="AP324" s="894">
        <f t="shared" si="311"/>
        <v>0</v>
      </c>
      <c r="AQ324" s="957">
        <f t="shared" si="311"/>
        <v>0</v>
      </c>
      <c r="AR324" s="765">
        <f t="shared" si="311"/>
        <v>0</v>
      </c>
      <c r="AS324" s="852">
        <f t="shared" si="311"/>
        <v>0</v>
      </c>
      <c r="AT324" s="853">
        <f t="shared" si="311"/>
        <v>0</v>
      </c>
      <c r="AU324" s="856">
        <f t="shared" si="311"/>
        <v>0</v>
      </c>
      <c r="AV324" s="858">
        <f t="shared" si="311"/>
        <v>0</v>
      </c>
      <c r="AW324" s="859">
        <f t="shared" si="311"/>
        <v>0</v>
      </c>
      <c r="AX324" s="840">
        <f t="shared" si="311"/>
        <v>0</v>
      </c>
      <c r="AY324" s="765">
        <f t="shared" ref="AY324:BE324" si="312">SUM(AY32,AY91,AY149,AY207,AY265)</f>
        <v>0</v>
      </c>
      <c r="AZ324" s="882">
        <f t="shared" si="312"/>
        <v>0</v>
      </c>
      <c r="BA324" s="883">
        <f t="shared" si="312"/>
        <v>0</v>
      </c>
      <c r="BB324" s="901">
        <f t="shared" si="312"/>
        <v>0</v>
      </c>
      <c r="BC324" s="893">
        <f t="shared" si="312"/>
        <v>0</v>
      </c>
      <c r="BD324" s="894">
        <f t="shared" si="312"/>
        <v>0</v>
      </c>
      <c r="BE324" s="957">
        <f t="shared" si="312"/>
        <v>0</v>
      </c>
      <c r="BF324" s="765">
        <f t="shared" ref="BF324:BL324" si="313">SUM(BF32,BF91,BF149,BF207,BF265)</f>
        <v>0</v>
      </c>
      <c r="BG324" s="852">
        <f t="shared" si="313"/>
        <v>0</v>
      </c>
      <c r="BH324" s="853">
        <f t="shared" si="313"/>
        <v>0</v>
      </c>
      <c r="BI324" s="856">
        <f t="shared" si="313"/>
        <v>0</v>
      </c>
      <c r="BJ324" s="858">
        <f t="shared" si="313"/>
        <v>0</v>
      </c>
      <c r="BK324" s="859">
        <f t="shared" si="313"/>
        <v>0</v>
      </c>
      <c r="BL324" s="840">
        <f t="shared" si="313"/>
        <v>0</v>
      </c>
      <c r="BM324" s="765">
        <f t="shared" ref="BM324:BS324" si="314">SUM(BM32,BM91,BM149,BM207,BM265)</f>
        <v>0</v>
      </c>
      <c r="BN324" s="882">
        <f t="shared" si="314"/>
        <v>0</v>
      </c>
      <c r="BO324" s="883">
        <f t="shared" si="314"/>
        <v>0</v>
      </c>
      <c r="BP324" s="901">
        <f t="shared" si="314"/>
        <v>0</v>
      </c>
      <c r="BQ324" s="893">
        <f t="shared" si="314"/>
        <v>0</v>
      </c>
      <c r="BR324" s="894">
        <f t="shared" si="314"/>
        <v>0</v>
      </c>
      <c r="BS324" s="957">
        <f t="shared" si="314"/>
        <v>0</v>
      </c>
      <c r="BT324" s="765">
        <f t="shared" ref="BT324:BZ324" si="315">SUM(BT32,BT91,BT149,BT207,BT265)</f>
        <v>0</v>
      </c>
      <c r="BU324" s="852">
        <f t="shared" si="315"/>
        <v>0</v>
      </c>
      <c r="BV324" s="853">
        <f t="shared" si="315"/>
        <v>0</v>
      </c>
      <c r="BW324" s="952">
        <f t="shared" si="315"/>
        <v>0</v>
      </c>
      <c r="BX324" s="858">
        <f t="shared" si="315"/>
        <v>0</v>
      </c>
      <c r="BY324" s="859">
        <f t="shared" si="315"/>
        <v>0</v>
      </c>
      <c r="BZ324" s="840">
        <f t="shared" si="315"/>
        <v>0</v>
      </c>
      <c r="CA324" s="765">
        <f t="shared" ref="CA324:CG324" si="316">SUM(CA32,CA91,CA149,CA207,CA265)</f>
        <v>0</v>
      </c>
      <c r="CB324" s="882">
        <f t="shared" si="316"/>
        <v>0</v>
      </c>
      <c r="CC324" s="883">
        <f t="shared" si="316"/>
        <v>0</v>
      </c>
      <c r="CD324" s="901">
        <f t="shared" si="316"/>
        <v>0</v>
      </c>
      <c r="CE324" s="893">
        <f t="shared" si="316"/>
        <v>0</v>
      </c>
      <c r="CF324" s="894">
        <f t="shared" si="316"/>
        <v>0</v>
      </c>
      <c r="CG324" s="957">
        <f t="shared" si="316"/>
        <v>0</v>
      </c>
      <c r="CH324" s="765">
        <f t="shared" ref="CH324:CN324" si="317">SUM(CH32,CH91,CH149,CH207,CH265)</f>
        <v>0</v>
      </c>
      <c r="CI324" s="852">
        <f t="shared" si="317"/>
        <v>0</v>
      </c>
      <c r="CJ324" s="853">
        <f t="shared" si="317"/>
        <v>0</v>
      </c>
      <c r="CK324" s="952">
        <f t="shared" si="317"/>
        <v>0</v>
      </c>
      <c r="CL324" s="858">
        <f t="shared" si="317"/>
        <v>0</v>
      </c>
      <c r="CM324" s="859">
        <f t="shared" si="317"/>
        <v>0</v>
      </c>
      <c r="CN324" s="840">
        <f t="shared" si="317"/>
        <v>0</v>
      </c>
    </row>
    <row r="325" spans="1:92" x14ac:dyDescent="0.25">
      <c r="A325" s="757">
        <v>25</v>
      </c>
      <c r="B325" s="765">
        <f t="shared" si="156"/>
        <v>20</v>
      </c>
      <c r="C325" s="844">
        <f t="shared" ref="C325:AX325" si="318">SUM(C33,C92,C150,C208,C266)</f>
        <v>2.6666666666666665</v>
      </c>
      <c r="D325" s="844">
        <f t="shared" si="318"/>
        <v>0</v>
      </c>
      <c r="E325" s="846">
        <f t="shared" si="318"/>
        <v>2.6666666666666665</v>
      </c>
      <c r="F325" s="838">
        <f t="shared" si="318"/>
        <v>1.3333333333333333</v>
      </c>
      <c r="G325" s="866">
        <f t="shared" si="318"/>
        <v>16</v>
      </c>
      <c r="H325" s="840">
        <f t="shared" si="318"/>
        <v>2.3909333333333334</v>
      </c>
      <c r="I325" s="765">
        <f t="shared" si="318"/>
        <v>2</v>
      </c>
      <c r="J325" s="882">
        <f t="shared" si="318"/>
        <v>0</v>
      </c>
      <c r="K325" s="883">
        <f t="shared" si="318"/>
        <v>0</v>
      </c>
      <c r="L325" s="901">
        <f t="shared" si="318"/>
        <v>0</v>
      </c>
      <c r="M325" s="893">
        <f t="shared" si="318"/>
        <v>0</v>
      </c>
      <c r="N325" s="894">
        <f t="shared" si="318"/>
        <v>4.6249981846824663E-3</v>
      </c>
      <c r="O325" s="877">
        <f t="shared" si="318"/>
        <v>4.0006234297503332E-4</v>
      </c>
      <c r="P325" s="765">
        <f t="shared" si="318"/>
        <v>1</v>
      </c>
      <c r="Q325" s="852">
        <f t="shared" si="318"/>
        <v>0</v>
      </c>
      <c r="R325" s="853">
        <f t="shared" si="318"/>
        <v>0</v>
      </c>
      <c r="S325" s="856">
        <f t="shared" si="318"/>
        <v>0</v>
      </c>
      <c r="T325" s="858">
        <f t="shared" si="318"/>
        <v>1</v>
      </c>
      <c r="U325" s="859">
        <f t="shared" si="318"/>
        <v>0</v>
      </c>
      <c r="V325" s="840">
        <f t="shared" si="318"/>
        <v>1</v>
      </c>
      <c r="W325" s="958">
        <f t="shared" si="318"/>
        <v>0</v>
      </c>
      <c r="X325" s="882">
        <f t="shared" si="318"/>
        <v>0</v>
      </c>
      <c r="Y325" s="883">
        <f t="shared" si="318"/>
        <v>0</v>
      </c>
      <c r="Z325" s="901">
        <f t="shared" si="318"/>
        <v>0</v>
      </c>
      <c r="AA325" s="893">
        <f t="shared" si="318"/>
        <v>0</v>
      </c>
      <c r="AB325" s="894">
        <f t="shared" si="318"/>
        <v>0</v>
      </c>
      <c r="AC325" s="957">
        <f t="shared" si="318"/>
        <v>0</v>
      </c>
      <c r="AD325" s="958">
        <f t="shared" si="318"/>
        <v>0</v>
      </c>
      <c r="AE325" s="1071">
        <f t="shared" si="318"/>
        <v>0</v>
      </c>
      <c r="AF325" s="1072">
        <f t="shared" si="318"/>
        <v>0</v>
      </c>
      <c r="AG325" s="1073">
        <f t="shared" si="318"/>
        <v>0</v>
      </c>
      <c r="AH325" s="1059">
        <f t="shared" si="318"/>
        <v>0</v>
      </c>
      <c r="AI325" s="1060">
        <f t="shared" si="318"/>
        <v>0</v>
      </c>
      <c r="AJ325" s="1061">
        <f t="shared" si="318"/>
        <v>0</v>
      </c>
      <c r="AK325" s="958">
        <f t="shared" si="318"/>
        <v>0</v>
      </c>
      <c r="AL325" s="882">
        <f t="shared" si="318"/>
        <v>0</v>
      </c>
      <c r="AM325" s="883">
        <f t="shared" si="318"/>
        <v>0</v>
      </c>
      <c r="AN325" s="901">
        <f t="shared" si="318"/>
        <v>0</v>
      </c>
      <c r="AO325" s="893">
        <f t="shared" si="318"/>
        <v>0</v>
      </c>
      <c r="AP325" s="894">
        <f t="shared" si="318"/>
        <v>0</v>
      </c>
      <c r="AQ325" s="957">
        <f t="shared" si="318"/>
        <v>0</v>
      </c>
      <c r="AR325" s="765">
        <f t="shared" si="318"/>
        <v>0</v>
      </c>
      <c r="AS325" s="852">
        <f t="shared" si="318"/>
        <v>0</v>
      </c>
      <c r="AT325" s="853">
        <f t="shared" si="318"/>
        <v>0</v>
      </c>
      <c r="AU325" s="856">
        <f t="shared" si="318"/>
        <v>0</v>
      </c>
      <c r="AV325" s="858">
        <f t="shared" si="318"/>
        <v>0</v>
      </c>
      <c r="AW325" s="859">
        <f t="shared" si="318"/>
        <v>0</v>
      </c>
      <c r="AX325" s="840">
        <f t="shared" si="318"/>
        <v>0</v>
      </c>
      <c r="AY325" s="765">
        <f t="shared" ref="AY325:BE325" si="319">SUM(AY33,AY92,AY150,AY208,AY266)</f>
        <v>0</v>
      </c>
      <c r="AZ325" s="882">
        <f t="shared" si="319"/>
        <v>0</v>
      </c>
      <c r="BA325" s="883">
        <f t="shared" si="319"/>
        <v>0</v>
      </c>
      <c r="BB325" s="901">
        <f t="shared" si="319"/>
        <v>0</v>
      </c>
      <c r="BC325" s="893">
        <f t="shared" si="319"/>
        <v>0</v>
      </c>
      <c r="BD325" s="894">
        <f t="shared" si="319"/>
        <v>0</v>
      </c>
      <c r="BE325" s="957">
        <f t="shared" si="319"/>
        <v>0</v>
      </c>
      <c r="BF325" s="765">
        <f t="shared" ref="BF325:BL325" si="320">SUM(BF33,BF92,BF150,BF208,BF266)</f>
        <v>0</v>
      </c>
      <c r="BG325" s="852">
        <f t="shared" si="320"/>
        <v>0</v>
      </c>
      <c r="BH325" s="853">
        <f t="shared" si="320"/>
        <v>0</v>
      </c>
      <c r="BI325" s="856">
        <f t="shared" si="320"/>
        <v>0</v>
      </c>
      <c r="BJ325" s="858">
        <f t="shared" si="320"/>
        <v>0</v>
      </c>
      <c r="BK325" s="859">
        <f t="shared" si="320"/>
        <v>0</v>
      </c>
      <c r="BL325" s="840">
        <f t="shared" si="320"/>
        <v>0</v>
      </c>
      <c r="BM325" s="765">
        <f t="shared" ref="BM325:BS325" si="321">SUM(BM33,BM92,BM150,BM208,BM266)</f>
        <v>0</v>
      </c>
      <c r="BN325" s="882">
        <f t="shared" si="321"/>
        <v>0</v>
      </c>
      <c r="BO325" s="883">
        <f t="shared" si="321"/>
        <v>0</v>
      </c>
      <c r="BP325" s="901">
        <f t="shared" si="321"/>
        <v>0</v>
      </c>
      <c r="BQ325" s="893">
        <f t="shared" si="321"/>
        <v>0</v>
      </c>
      <c r="BR325" s="894">
        <f t="shared" si="321"/>
        <v>0</v>
      </c>
      <c r="BS325" s="957">
        <f t="shared" si="321"/>
        <v>0</v>
      </c>
      <c r="BT325" s="765">
        <f t="shared" ref="BT325:BZ325" si="322">SUM(BT33,BT92,BT150,BT208,BT266)</f>
        <v>0</v>
      </c>
      <c r="BU325" s="852">
        <f t="shared" si="322"/>
        <v>0</v>
      </c>
      <c r="BV325" s="853">
        <f t="shared" si="322"/>
        <v>0</v>
      </c>
      <c r="BW325" s="952">
        <f t="shared" si="322"/>
        <v>0</v>
      </c>
      <c r="BX325" s="858">
        <f t="shared" si="322"/>
        <v>0</v>
      </c>
      <c r="BY325" s="859">
        <f t="shared" si="322"/>
        <v>0</v>
      </c>
      <c r="BZ325" s="840">
        <f t="shared" si="322"/>
        <v>0</v>
      </c>
      <c r="CA325" s="765">
        <f t="shared" ref="CA325:CG325" si="323">SUM(CA33,CA92,CA150,CA208,CA266)</f>
        <v>0</v>
      </c>
      <c r="CB325" s="882">
        <f t="shared" si="323"/>
        <v>0</v>
      </c>
      <c r="CC325" s="883">
        <f t="shared" si="323"/>
        <v>0</v>
      </c>
      <c r="CD325" s="901">
        <f t="shared" si="323"/>
        <v>0</v>
      </c>
      <c r="CE325" s="893">
        <f t="shared" si="323"/>
        <v>0</v>
      </c>
      <c r="CF325" s="894">
        <f t="shared" si="323"/>
        <v>0</v>
      </c>
      <c r="CG325" s="957">
        <f t="shared" si="323"/>
        <v>0</v>
      </c>
      <c r="CH325" s="765">
        <f t="shared" ref="CH325:CN325" si="324">SUM(CH33,CH92,CH150,CH208,CH266)</f>
        <v>0</v>
      </c>
      <c r="CI325" s="852">
        <f t="shared" si="324"/>
        <v>0</v>
      </c>
      <c r="CJ325" s="853">
        <f t="shared" si="324"/>
        <v>0</v>
      </c>
      <c r="CK325" s="952">
        <f t="shared" si="324"/>
        <v>0</v>
      </c>
      <c r="CL325" s="858">
        <f t="shared" si="324"/>
        <v>0</v>
      </c>
      <c r="CM325" s="859">
        <f t="shared" si="324"/>
        <v>0</v>
      </c>
      <c r="CN325" s="840">
        <f t="shared" si="324"/>
        <v>0</v>
      </c>
    </row>
    <row r="326" spans="1:92" x14ac:dyDescent="0.25">
      <c r="A326" s="758">
        <v>26</v>
      </c>
      <c r="B326" s="766">
        <f t="shared" si="156"/>
        <v>3</v>
      </c>
      <c r="C326" s="844">
        <f t="shared" ref="C326:AX326" si="325">SUM(C34,C93,C151,C209,C267)</f>
        <v>3</v>
      </c>
      <c r="D326" s="844">
        <f t="shared" si="325"/>
        <v>0</v>
      </c>
      <c r="E326" s="847">
        <f t="shared" si="325"/>
        <v>3</v>
      </c>
      <c r="F326" s="838">
        <f t="shared" si="325"/>
        <v>0</v>
      </c>
      <c r="G326" s="866">
        <f t="shared" si="325"/>
        <v>0</v>
      </c>
      <c r="H326" s="840">
        <f t="shared" si="325"/>
        <v>0</v>
      </c>
      <c r="I326" s="765">
        <f t="shared" si="325"/>
        <v>4</v>
      </c>
      <c r="J326" s="885">
        <f t="shared" si="325"/>
        <v>0</v>
      </c>
      <c r="K326" s="886">
        <f t="shared" si="325"/>
        <v>1</v>
      </c>
      <c r="L326" s="887">
        <f t="shared" si="325"/>
        <v>8.7999999999999995E-2</v>
      </c>
      <c r="M326" s="895">
        <f t="shared" si="325"/>
        <v>1</v>
      </c>
      <c r="N326" s="896">
        <f t="shared" si="325"/>
        <v>2</v>
      </c>
      <c r="O326" s="877">
        <f t="shared" si="325"/>
        <v>1.173</v>
      </c>
      <c r="P326" s="765">
        <f t="shared" si="325"/>
        <v>1</v>
      </c>
      <c r="Q326" s="854">
        <f t="shared" si="325"/>
        <v>0</v>
      </c>
      <c r="R326" s="855">
        <f t="shared" si="325"/>
        <v>0</v>
      </c>
      <c r="S326" s="857">
        <f t="shared" si="325"/>
        <v>0</v>
      </c>
      <c r="T326" s="861">
        <f t="shared" si="325"/>
        <v>1</v>
      </c>
      <c r="U326" s="862">
        <f t="shared" si="325"/>
        <v>0</v>
      </c>
      <c r="V326" s="840">
        <f t="shared" si="325"/>
        <v>1</v>
      </c>
      <c r="W326" s="958">
        <f t="shared" si="325"/>
        <v>2</v>
      </c>
      <c r="X326" s="885">
        <f t="shared" si="325"/>
        <v>1</v>
      </c>
      <c r="Y326" s="886">
        <f t="shared" si="325"/>
        <v>0</v>
      </c>
      <c r="Z326" s="902">
        <f t="shared" si="325"/>
        <v>1</v>
      </c>
      <c r="AA326" s="895">
        <f t="shared" si="325"/>
        <v>1</v>
      </c>
      <c r="AB326" s="896">
        <f t="shared" si="325"/>
        <v>0</v>
      </c>
      <c r="AC326" s="957">
        <f t="shared" si="325"/>
        <v>1</v>
      </c>
      <c r="AD326" s="958">
        <f t="shared" si="325"/>
        <v>3</v>
      </c>
      <c r="AE326" s="1074">
        <f t="shared" si="325"/>
        <v>3</v>
      </c>
      <c r="AF326" s="1075">
        <f t="shared" si="325"/>
        <v>0</v>
      </c>
      <c r="AG326" s="1076">
        <f t="shared" si="325"/>
        <v>3</v>
      </c>
      <c r="AH326" s="1065">
        <f t="shared" si="325"/>
        <v>0</v>
      </c>
      <c r="AI326" s="1066">
        <f t="shared" si="325"/>
        <v>0</v>
      </c>
      <c r="AJ326" s="1061">
        <f t="shared" si="325"/>
        <v>0</v>
      </c>
      <c r="AK326" s="958">
        <f t="shared" si="325"/>
        <v>0</v>
      </c>
      <c r="AL326" s="885">
        <f t="shared" si="325"/>
        <v>0</v>
      </c>
      <c r="AM326" s="886">
        <f t="shared" si="325"/>
        <v>0</v>
      </c>
      <c r="AN326" s="902">
        <f t="shared" si="325"/>
        <v>0</v>
      </c>
      <c r="AO326" s="895">
        <f t="shared" si="325"/>
        <v>0</v>
      </c>
      <c r="AP326" s="896">
        <f t="shared" si="325"/>
        <v>0</v>
      </c>
      <c r="AQ326" s="957">
        <f t="shared" si="325"/>
        <v>0</v>
      </c>
      <c r="AR326" s="765">
        <f t="shared" si="325"/>
        <v>18</v>
      </c>
      <c r="AS326" s="854">
        <f t="shared" si="325"/>
        <v>4.5999999999999996</v>
      </c>
      <c r="AT326" s="855">
        <f t="shared" si="325"/>
        <v>0</v>
      </c>
      <c r="AU326" s="1076">
        <f t="shared" si="325"/>
        <v>4.5999999999999996</v>
      </c>
      <c r="AV326" s="861">
        <f t="shared" si="325"/>
        <v>8.8000000000000007</v>
      </c>
      <c r="AW326" s="862">
        <f t="shared" si="325"/>
        <v>4.5999999999999996</v>
      </c>
      <c r="AX326" s="1061">
        <f t="shared" si="325"/>
        <v>9.1992799999999999</v>
      </c>
      <c r="AY326" s="765">
        <f t="shared" ref="AY326:BE326" si="326">SUM(AY34,AY93,AY151,AY209,AY267)</f>
        <v>4</v>
      </c>
      <c r="AZ326" s="885">
        <f t="shared" si="326"/>
        <v>0.3</v>
      </c>
      <c r="BA326" s="886">
        <f t="shared" si="326"/>
        <v>0</v>
      </c>
      <c r="BB326" s="902">
        <f t="shared" si="326"/>
        <v>0.3</v>
      </c>
      <c r="BC326" s="895">
        <f t="shared" si="326"/>
        <v>1</v>
      </c>
      <c r="BD326" s="896">
        <f t="shared" si="326"/>
        <v>2.7</v>
      </c>
      <c r="BE326" s="957">
        <f t="shared" si="326"/>
        <v>1.2413800000000001</v>
      </c>
      <c r="BF326" s="765">
        <f t="shared" ref="BF326:BL326" si="327">SUM(BF34,BF93,BF151,BF209,BF267)</f>
        <v>0</v>
      </c>
      <c r="BG326" s="854">
        <f t="shared" si="327"/>
        <v>0</v>
      </c>
      <c r="BH326" s="855">
        <f t="shared" si="327"/>
        <v>0</v>
      </c>
      <c r="BI326" s="1076">
        <f t="shared" si="327"/>
        <v>0</v>
      </c>
      <c r="BJ326" s="861">
        <f t="shared" si="327"/>
        <v>0</v>
      </c>
      <c r="BK326" s="862">
        <f t="shared" si="327"/>
        <v>0</v>
      </c>
      <c r="BL326" s="1061">
        <f t="shared" si="327"/>
        <v>0</v>
      </c>
      <c r="BM326" s="765">
        <f t="shared" ref="BM326:BS326" si="328">SUM(BM34,BM93,BM151,BM209,BM267)</f>
        <v>0</v>
      </c>
      <c r="BN326" s="885">
        <f t="shared" si="328"/>
        <v>0</v>
      </c>
      <c r="BO326" s="886">
        <f t="shared" si="328"/>
        <v>0</v>
      </c>
      <c r="BP326" s="902">
        <f t="shared" si="328"/>
        <v>0</v>
      </c>
      <c r="BQ326" s="895">
        <f t="shared" si="328"/>
        <v>0</v>
      </c>
      <c r="BR326" s="896">
        <f t="shared" si="328"/>
        <v>0</v>
      </c>
      <c r="BS326" s="957">
        <f t="shared" si="328"/>
        <v>0</v>
      </c>
      <c r="BT326" s="765">
        <f t="shared" ref="BT326:BZ326" si="329">SUM(BT34,BT93,BT151,BT209,BT267)</f>
        <v>5</v>
      </c>
      <c r="BU326" s="854">
        <f t="shared" si="329"/>
        <v>0</v>
      </c>
      <c r="BV326" s="855">
        <f t="shared" si="329"/>
        <v>0</v>
      </c>
      <c r="BW326" s="1076">
        <f t="shared" si="329"/>
        <v>0</v>
      </c>
      <c r="BX326" s="861">
        <f t="shared" si="329"/>
        <v>0</v>
      </c>
      <c r="BY326" s="862">
        <f t="shared" si="329"/>
        <v>5</v>
      </c>
      <c r="BZ326" s="1061">
        <f t="shared" si="329"/>
        <v>0.40500000000000003</v>
      </c>
      <c r="CA326" s="765">
        <f t="shared" ref="CA326:CG326" si="330">SUM(CA34,CA93,CA151,CA209,CA267)</f>
        <v>0</v>
      </c>
      <c r="CB326" s="885">
        <f t="shared" si="330"/>
        <v>0</v>
      </c>
      <c r="CC326" s="886">
        <f t="shared" si="330"/>
        <v>0</v>
      </c>
      <c r="CD326" s="902">
        <f t="shared" si="330"/>
        <v>0</v>
      </c>
      <c r="CE326" s="895">
        <f t="shared" si="330"/>
        <v>0</v>
      </c>
      <c r="CF326" s="896">
        <f t="shared" si="330"/>
        <v>0</v>
      </c>
      <c r="CG326" s="957">
        <f t="shared" si="330"/>
        <v>0</v>
      </c>
      <c r="CH326" s="765">
        <f t="shared" ref="CH326:CN326" si="331">SUM(CH34,CH93,CH151,CH209,CH267)</f>
        <v>0</v>
      </c>
      <c r="CI326" s="854">
        <f t="shared" si="331"/>
        <v>0</v>
      </c>
      <c r="CJ326" s="855">
        <f t="shared" si="331"/>
        <v>0</v>
      </c>
      <c r="CK326" s="1076">
        <f t="shared" si="331"/>
        <v>0</v>
      </c>
      <c r="CL326" s="861">
        <f t="shared" si="331"/>
        <v>0</v>
      </c>
      <c r="CM326" s="862">
        <f t="shared" si="331"/>
        <v>0</v>
      </c>
      <c r="CN326" s="1061">
        <f t="shared" si="331"/>
        <v>0</v>
      </c>
    </row>
    <row r="327" spans="1:92" x14ac:dyDescent="0.25">
      <c r="A327" s="757">
        <v>27</v>
      </c>
      <c r="B327" s="765">
        <f t="shared" si="156"/>
        <v>16</v>
      </c>
      <c r="C327" s="848">
        <f t="shared" ref="C327:AX327" si="332">SUM(C35,C94,C152,C210,C268)</f>
        <v>6.8571428571428568</v>
      </c>
      <c r="D327" s="848">
        <f t="shared" si="332"/>
        <v>0</v>
      </c>
      <c r="E327" s="846">
        <f t="shared" si="332"/>
        <v>6.8571428571428568</v>
      </c>
      <c r="F327" s="874">
        <f t="shared" si="332"/>
        <v>2.2857142857142856</v>
      </c>
      <c r="G327" s="888">
        <f t="shared" si="332"/>
        <v>6.8571428571428568</v>
      </c>
      <c r="H327" s="875">
        <f t="shared" si="332"/>
        <v>2.878857142857143</v>
      </c>
      <c r="I327" s="773">
        <f t="shared" si="332"/>
        <v>3</v>
      </c>
      <c r="J327" s="882">
        <f t="shared" si="332"/>
        <v>1.5</v>
      </c>
      <c r="K327" s="883">
        <f t="shared" si="332"/>
        <v>0</v>
      </c>
      <c r="L327" s="884">
        <f t="shared" si="332"/>
        <v>1.5</v>
      </c>
      <c r="M327" s="858">
        <f t="shared" si="332"/>
        <v>0</v>
      </c>
      <c r="N327" s="859">
        <f t="shared" si="332"/>
        <v>1.001722425000505</v>
      </c>
      <c r="O327" s="860">
        <f t="shared" si="332"/>
        <v>0.15585157340004444</v>
      </c>
      <c r="P327" s="773">
        <f t="shared" si="332"/>
        <v>5</v>
      </c>
      <c r="Q327" s="852">
        <f t="shared" si="332"/>
        <v>2</v>
      </c>
      <c r="R327" s="853">
        <f t="shared" si="332"/>
        <v>0</v>
      </c>
      <c r="S327" s="856">
        <f t="shared" si="332"/>
        <v>2</v>
      </c>
      <c r="T327" s="893">
        <f t="shared" si="332"/>
        <v>0</v>
      </c>
      <c r="U327" s="894">
        <f t="shared" si="332"/>
        <v>3</v>
      </c>
      <c r="V327" s="897">
        <f t="shared" si="332"/>
        <v>0.26040000000000002</v>
      </c>
      <c r="W327" s="969">
        <f t="shared" si="332"/>
        <v>13</v>
      </c>
      <c r="X327" s="882">
        <f t="shared" si="332"/>
        <v>3.6333333333333333</v>
      </c>
      <c r="Y327" s="883">
        <f t="shared" si="332"/>
        <v>0</v>
      </c>
      <c r="Z327" s="901">
        <f t="shared" si="332"/>
        <v>3.3</v>
      </c>
      <c r="AA327" s="858">
        <f t="shared" si="332"/>
        <v>4.3666666666666663</v>
      </c>
      <c r="AB327" s="859">
        <f t="shared" si="332"/>
        <v>5</v>
      </c>
      <c r="AC327" s="924">
        <f t="shared" si="332"/>
        <v>4.809166666666667</v>
      </c>
      <c r="AD327" s="969">
        <f t="shared" si="332"/>
        <v>2</v>
      </c>
      <c r="AE327" s="1071">
        <f t="shared" si="332"/>
        <v>1</v>
      </c>
      <c r="AF327" s="1072">
        <f t="shared" si="332"/>
        <v>0</v>
      </c>
      <c r="AG327" s="1073">
        <f t="shared" si="332"/>
        <v>1</v>
      </c>
      <c r="AH327" s="1077">
        <f t="shared" si="332"/>
        <v>0</v>
      </c>
      <c r="AI327" s="1078">
        <f t="shared" si="332"/>
        <v>1</v>
      </c>
      <c r="AJ327" s="1079">
        <f t="shared" si="332"/>
        <v>8.8499999999999995E-2</v>
      </c>
      <c r="AK327" s="969">
        <f t="shared" si="332"/>
        <v>0</v>
      </c>
      <c r="AL327" s="882">
        <f t="shared" si="332"/>
        <v>0</v>
      </c>
      <c r="AM327" s="883">
        <f t="shared" si="332"/>
        <v>0</v>
      </c>
      <c r="AN327" s="901">
        <f t="shared" si="332"/>
        <v>0</v>
      </c>
      <c r="AO327" s="858">
        <f t="shared" si="332"/>
        <v>0</v>
      </c>
      <c r="AP327" s="859">
        <f t="shared" si="332"/>
        <v>0</v>
      </c>
      <c r="AQ327" s="924">
        <f t="shared" si="332"/>
        <v>0</v>
      </c>
      <c r="AR327" s="773">
        <f t="shared" si="332"/>
        <v>16</v>
      </c>
      <c r="AS327" s="852">
        <f t="shared" si="332"/>
        <v>4</v>
      </c>
      <c r="AT327" s="853">
        <f t="shared" si="332"/>
        <v>0</v>
      </c>
      <c r="AU327" s="1073">
        <f t="shared" si="332"/>
        <v>4</v>
      </c>
      <c r="AV327" s="893">
        <f t="shared" si="332"/>
        <v>9</v>
      </c>
      <c r="AW327" s="894">
        <f t="shared" si="332"/>
        <v>2</v>
      </c>
      <c r="AX327" s="1079">
        <f t="shared" si="332"/>
        <v>9.178799999999999</v>
      </c>
      <c r="AY327" s="773">
        <f t="shared" ref="AY327:BE327" si="333">SUM(AY35,AY94,AY152,AY210,AY268)</f>
        <v>6</v>
      </c>
      <c r="AZ327" s="882">
        <f t="shared" si="333"/>
        <v>1.3</v>
      </c>
      <c r="BA327" s="883">
        <f t="shared" si="333"/>
        <v>1</v>
      </c>
      <c r="BB327" s="901">
        <f t="shared" si="333"/>
        <v>1.3854</v>
      </c>
      <c r="BC327" s="858">
        <f t="shared" si="333"/>
        <v>0</v>
      </c>
      <c r="BD327" s="859">
        <f t="shared" si="333"/>
        <v>3.7</v>
      </c>
      <c r="BE327" s="924">
        <f t="shared" si="333"/>
        <v>0.31597999999999998</v>
      </c>
      <c r="BF327" s="773">
        <f t="shared" ref="BF327:BL327" si="334">SUM(BF35,BF94,BF152,BF210,BF268)</f>
        <v>0</v>
      </c>
      <c r="BG327" s="852">
        <f t="shared" si="334"/>
        <v>0</v>
      </c>
      <c r="BH327" s="853">
        <f t="shared" si="334"/>
        <v>0</v>
      </c>
      <c r="BI327" s="1073">
        <f t="shared" si="334"/>
        <v>0</v>
      </c>
      <c r="BJ327" s="893">
        <f t="shared" si="334"/>
        <v>0</v>
      </c>
      <c r="BK327" s="894">
        <f t="shared" si="334"/>
        <v>0</v>
      </c>
      <c r="BL327" s="1079">
        <f t="shared" si="334"/>
        <v>0</v>
      </c>
      <c r="BM327" s="773">
        <f t="shared" ref="BM327:BS327" si="335">SUM(BM35,BM94,BM152,BM210,BM268)</f>
        <v>1</v>
      </c>
      <c r="BN327" s="882">
        <f t="shared" si="335"/>
        <v>0</v>
      </c>
      <c r="BO327" s="883">
        <f t="shared" si="335"/>
        <v>0</v>
      </c>
      <c r="BP327" s="901">
        <f t="shared" si="335"/>
        <v>0</v>
      </c>
      <c r="BQ327" s="858">
        <f t="shared" si="335"/>
        <v>1</v>
      </c>
      <c r="BR327" s="859">
        <f t="shared" si="335"/>
        <v>0</v>
      </c>
      <c r="BS327" s="924">
        <f t="shared" si="335"/>
        <v>1</v>
      </c>
      <c r="BT327" s="773">
        <f t="shared" ref="BT327:BZ327" si="336">SUM(BT35,BT94,BT152,BT210,BT268)</f>
        <v>0</v>
      </c>
      <c r="BU327" s="852">
        <f t="shared" si="336"/>
        <v>0</v>
      </c>
      <c r="BV327" s="853">
        <f t="shared" si="336"/>
        <v>0</v>
      </c>
      <c r="BW327" s="1073">
        <f t="shared" si="336"/>
        <v>0</v>
      </c>
      <c r="BX327" s="893">
        <f t="shared" si="336"/>
        <v>0</v>
      </c>
      <c r="BY327" s="894">
        <f t="shared" si="336"/>
        <v>0</v>
      </c>
      <c r="BZ327" s="1079">
        <f t="shared" si="336"/>
        <v>0</v>
      </c>
      <c r="CA327" s="773">
        <f t="shared" ref="CA327:CG327" si="337">SUM(CA35,CA94,CA152,CA210,CA268)</f>
        <v>3</v>
      </c>
      <c r="CB327" s="882">
        <f t="shared" si="337"/>
        <v>0</v>
      </c>
      <c r="CC327" s="883">
        <f t="shared" si="337"/>
        <v>0</v>
      </c>
      <c r="CD327" s="901">
        <f t="shared" si="337"/>
        <v>0</v>
      </c>
      <c r="CE327" s="858">
        <f t="shared" si="337"/>
        <v>3</v>
      </c>
      <c r="CF327" s="859">
        <f t="shared" si="337"/>
        <v>0</v>
      </c>
      <c r="CG327" s="924">
        <f t="shared" si="337"/>
        <v>3</v>
      </c>
      <c r="CH327" s="773">
        <f t="shared" ref="CH327:CN327" si="338">SUM(CH35,CH94,CH152,CH210,CH268)</f>
        <v>0</v>
      </c>
      <c r="CI327" s="852">
        <f t="shared" si="338"/>
        <v>0</v>
      </c>
      <c r="CJ327" s="853">
        <f t="shared" si="338"/>
        <v>0</v>
      </c>
      <c r="CK327" s="1073">
        <f t="shared" si="338"/>
        <v>0</v>
      </c>
      <c r="CL327" s="893">
        <f t="shared" si="338"/>
        <v>0</v>
      </c>
      <c r="CM327" s="894">
        <f t="shared" si="338"/>
        <v>0</v>
      </c>
      <c r="CN327" s="1079">
        <f t="shared" si="338"/>
        <v>0</v>
      </c>
    </row>
    <row r="328" spans="1:92" x14ac:dyDescent="0.25">
      <c r="A328" s="757">
        <v>28</v>
      </c>
      <c r="B328" s="765">
        <f t="shared" si="156"/>
        <v>4</v>
      </c>
      <c r="C328" s="844">
        <f t="shared" ref="C328:AX328" si="339">SUM(C36,C95,C153,C211,C269)</f>
        <v>4</v>
      </c>
      <c r="D328" s="844">
        <f t="shared" si="339"/>
        <v>0</v>
      </c>
      <c r="E328" s="846">
        <f t="shared" si="339"/>
        <v>4</v>
      </c>
      <c r="F328" s="876">
        <f t="shared" si="339"/>
        <v>0</v>
      </c>
      <c r="G328" s="889">
        <f t="shared" si="339"/>
        <v>0</v>
      </c>
      <c r="H328" s="877">
        <f t="shared" si="339"/>
        <v>0</v>
      </c>
      <c r="I328" s="765">
        <f t="shared" si="339"/>
        <v>2</v>
      </c>
      <c r="J328" s="882">
        <f t="shared" si="339"/>
        <v>0</v>
      </c>
      <c r="K328" s="883">
        <f t="shared" si="339"/>
        <v>0</v>
      </c>
      <c r="L328" s="871">
        <f t="shared" si="339"/>
        <v>0</v>
      </c>
      <c r="M328" s="858">
        <f t="shared" si="339"/>
        <v>1</v>
      </c>
      <c r="N328" s="859">
        <f t="shared" si="339"/>
        <v>2.2952488693284206E-3</v>
      </c>
      <c r="O328" s="840">
        <f t="shared" si="339"/>
        <v>1.0002019819005008</v>
      </c>
      <c r="P328" s="765">
        <f t="shared" si="339"/>
        <v>1</v>
      </c>
      <c r="Q328" s="852">
        <f t="shared" si="339"/>
        <v>0</v>
      </c>
      <c r="R328" s="853">
        <f t="shared" si="339"/>
        <v>0</v>
      </c>
      <c r="S328" s="846">
        <f t="shared" si="339"/>
        <v>0</v>
      </c>
      <c r="T328" s="893">
        <f t="shared" si="339"/>
        <v>0</v>
      </c>
      <c r="U328" s="894">
        <f t="shared" si="339"/>
        <v>1</v>
      </c>
      <c r="V328" s="877">
        <f t="shared" si="339"/>
        <v>8.6800000000000002E-2</v>
      </c>
      <c r="W328" s="958">
        <f t="shared" si="339"/>
        <v>9</v>
      </c>
      <c r="X328" s="882">
        <f t="shared" si="339"/>
        <v>4.5</v>
      </c>
      <c r="Y328" s="883">
        <f t="shared" si="339"/>
        <v>0</v>
      </c>
      <c r="Z328" s="901">
        <f t="shared" si="339"/>
        <v>4.5</v>
      </c>
      <c r="AA328" s="858">
        <f t="shared" si="339"/>
        <v>4.5</v>
      </c>
      <c r="AB328" s="859">
        <f t="shared" si="339"/>
        <v>0</v>
      </c>
      <c r="AC328" s="925">
        <f t="shared" si="339"/>
        <v>4.5</v>
      </c>
      <c r="AD328" s="958">
        <f t="shared" si="339"/>
        <v>2</v>
      </c>
      <c r="AE328" s="1071">
        <f t="shared" si="339"/>
        <v>0</v>
      </c>
      <c r="AF328" s="1072">
        <f t="shared" si="339"/>
        <v>0</v>
      </c>
      <c r="AG328" s="1073">
        <f t="shared" si="339"/>
        <v>0</v>
      </c>
      <c r="AH328" s="1077">
        <f t="shared" si="339"/>
        <v>0</v>
      </c>
      <c r="AI328" s="1078">
        <f t="shared" si="339"/>
        <v>2</v>
      </c>
      <c r="AJ328" s="1080">
        <f t="shared" si="339"/>
        <v>0.17560000000000001</v>
      </c>
      <c r="AK328" s="958">
        <f t="shared" si="339"/>
        <v>0</v>
      </c>
      <c r="AL328" s="882">
        <f t="shared" si="339"/>
        <v>0</v>
      </c>
      <c r="AM328" s="883">
        <f t="shared" si="339"/>
        <v>0</v>
      </c>
      <c r="AN328" s="901">
        <f t="shared" si="339"/>
        <v>0</v>
      </c>
      <c r="AO328" s="858">
        <f t="shared" si="339"/>
        <v>0</v>
      </c>
      <c r="AP328" s="859">
        <f t="shared" si="339"/>
        <v>0</v>
      </c>
      <c r="AQ328" s="925">
        <f t="shared" si="339"/>
        <v>0</v>
      </c>
      <c r="AR328" s="765">
        <f t="shared" si="339"/>
        <v>0</v>
      </c>
      <c r="AS328" s="852">
        <f t="shared" si="339"/>
        <v>0</v>
      </c>
      <c r="AT328" s="853">
        <f t="shared" si="339"/>
        <v>0</v>
      </c>
      <c r="AU328" s="846">
        <f t="shared" si="339"/>
        <v>0</v>
      </c>
      <c r="AV328" s="893">
        <f t="shared" si="339"/>
        <v>0</v>
      </c>
      <c r="AW328" s="894">
        <f t="shared" si="339"/>
        <v>0</v>
      </c>
      <c r="AX328" s="877">
        <f t="shared" si="339"/>
        <v>0</v>
      </c>
      <c r="AY328" s="765">
        <f t="shared" ref="AY328:BE328" si="340">SUM(AY36,AY95,AY153,AY211,AY269)</f>
        <v>1</v>
      </c>
      <c r="AZ328" s="882">
        <f t="shared" si="340"/>
        <v>0</v>
      </c>
      <c r="BA328" s="883">
        <f t="shared" si="340"/>
        <v>0.4</v>
      </c>
      <c r="BB328" s="901">
        <f t="shared" si="340"/>
        <v>3.4160000000000003E-2</v>
      </c>
      <c r="BC328" s="858">
        <f t="shared" si="340"/>
        <v>0</v>
      </c>
      <c r="BD328" s="859">
        <f t="shared" si="340"/>
        <v>0.6</v>
      </c>
      <c r="BE328" s="925">
        <f t="shared" si="340"/>
        <v>5.1240000000000001E-2</v>
      </c>
      <c r="BF328" s="765">
        <f t="shared" ref="BF328:BL328" si="341">SUM(BF36,BF95,BF153,BF211,BF269)</f>
        <v>0</v>
      </c>
      <c r="BG328" s="852">
        <f t="shared" si="341"/>
        <v>0</v>
      </c>
      <c r="BH328" s="853">
        <f t="shared" si="341"/>
        <v>0</v>
      </c>
      <c r="BI328" s="846">
        <f t="shared" si="341"/>
        <v>0</v>
      </c>
      <c r="BJ328" s="893">
        <f t="shared" si="341"/>
        <v>0</v>
      </c>
      <c r="BK328" s="894">
        <f t="shared" si="341"/>
        <v>0</v>
      </c>
      <c r="BL328" s="877">
        <f t="shared" si="341"/>
        <v>0</v>
      </c>
      <c r="BM328" s="765">
        <f t="shared" ref="BM328:BS328" si="342">SUM(BM36,BM95,BM153,BM211,BM269)</f>
        <v>0</v>
      </c>
      <c r="BN328" s="882">
        <f t="shared" si="342"/>
        <v>0</v>
      </c>
      <c r="BO328" s="883">
        <f t="shared" si="342"/>
        <v>0</v>
      </c>
      <c r="BP328" s="901">
        <f t="shared" si="342"/>
        <v>0</v>
      </c>
      <c r="BQ328" s="858">
        <f t="shared" si="342"/>
        <v>0</v>
      </c>
      <c r="BR328" s="859">
        <f t="shared" si="342"/>
        <v>0</v>
      </c>
      <c r="BS328" s="925">
        <f t="shared" si="342"/>
        <v>0</v>
      </c>
      <c r="BT328" s="765">
        <f t="shared" ref="BT328:BZ328" si="343">SUM(BT36,BT95,BT153,BT211,BT269)</f>
        <v>1</v>
      </c>
      <c r="BU328" s="852">
        <f t="shared" si="343"/>
        <v>0</v>
      </c>
      <c r="BV328" s="853">
        <f t="shared" si="343"/>
        <v>0</v>
      </c>
      <c r="BW328" s="846">
        <f t="shared" si="343"/>
        <v>0</v>
      </c>
      <c r="BX328" s="893">
        <f t="shared" si="343"/>
        <v>1</v>
      </c>
      <c r="BY328" s="894">
        <f t="shared" si="343"/>
        <v>0</v>
      </c>
      <c r="BZ328" s="877">
        <f t="shared" si="343"/>
        <v>1</v>
      </c>
      <c r="CA328" s="765">
        <f t="shared" ref="CA328:CG328" si="344">SUM(CA36,CA95,CA153,CA211,CA269)</f>
        <v>1</v>
      </c>
      <c r="CB328" s="882">
        <f t="shared" si="344"/>
        <v>0</v>
      </c>
      <c r="CC328" s="883">
        <f t="shared" si="344"/>
        <v>0</v>
      </c>
      <c r="CD328" s="901">
        <f t="shared" si="344"/>
        <v>0</v>
      </c>
      <c r="CE328" s="858">
        <f t="shared" si="344"/>
        <v>1</v>
      </c>
      <c r="CF328" s="859">
        <f t="shared" si="344"/>
        <v>0</v>
      </c>
      <c r="CG328" s="925">
        <f t="shared" si="344"/>
        <v>1</v>
      </c>
      <c r="CH328" s="765">
        <f t="shared" ref="CH328:CN328" si="345">SUM(CH36,CH95,CH153,CH211,CH269)</f>
        <v>0</v>
      </c>
      <c r="CI328" s="852">
        <f t="shared" si="345"/>
        <v>0</v>
      </c>
      <c r="CJ328" s="853">
        <f t="shared" si="345"/>
        <v>0</v>
      </c>
      <c r="CK328" s="846">
        <f t="shared" si="345"/>
        <v>0</v>
      </c>
      <c r="CL328" s="893">
        <f t="shared" si="345"/>
        <v>0</v>
      </c>
      <c r="CM328" s="894">
        <f t="shared" si="345"/>
        <v>0</v>
      </c>
      <c r="CN328" s="877">
        <f t="shared" si="345"/>
        <v>0</v>
      </c>
    </row>
    <row r="329" spans="1:92" x14ac:dyDescent="0.25">
      <c r="A329" s="757">
        <v>29</v>
      </c>
      <c r="B329" s="765">
        <f t="shared" si="156"/>
        <v>0</v>
      </c>
      <c r="C329" s="844">
        <f t="shared" ref="C329:AX329" si="346">SUM(C37,C96,C154,C212,C270)</f>
        <v>0</v>
      </c>
      <c r="D329" s="844">
        <f t="shared" si="346"/>
        <v>0</v>
      </c>
      <c r="E329" s="846">
        <f t="shared" si="346"/>
        <v>0</v>
      </c>
      <c r="F329" s="876">
        <f t="shared" si="346"/>
        <v>0</v>
      </c>
      <c r="G329" s="889">
        <f t="shared" si="346"/>
        <v>0</v>
      </c>
      <c r="H329" s="877">
        <f t="shared" si="346"/>
        <v>0</v>
      </c>
      <c r="I329" s="765">
        <f t="shared" si="346"/>
        <v>0</v>
      </c>
      <c r="J329" s="882">
        <f t="shared" si="346"/>
        <v>0</v>
      </c>
      <c r="K329" s="883">
        <f t="shared" si="346"/>
        <v>0</v>
      </c>
      <c r="L329" s="871">
        <f t="shared" si="346"/>
        <v>0</v>
      </c>
      <c r="M329" s="858">
        <f t="shared" si="346"/>
        <v>0</v>
      </c>
      <c r="N329" s="859">
        <f t="shared" si="346"/>
        <v>0</v>
      </c>
      <c r="O329" s="840">
        <f t="shared" si="346"/>
        <v>0</v>
      </c>
      <c r="P329" s="765">
        <f t="shared" si="346"/>
        <v>2</v>
      </c>
      <c r="Q329" s="852">
        <f t="shared" si="346"/>
        <v>1</v>
      </c>
      <c r="R329" s="853">
        <f t="shared" si="346"/>
        <v>0</v>
      </c>
      <c r="S329" s="846">
        <f t="shared" si="346"/>
        <v>1</v>
      </c>
      <c r="T329" s="893">
        <f t="shared" si="346"/>
        <v>0</v>
      </c>
      <c r="U329" s="894">
        <f t="shared" si="346"/>
        <v>1</v>
      </c>
      <c r="V329" s="877">
        <f t="shared" si="346"/>
        <v>8.6800000000000002E-2</v>
      </c>
      <c r="W329" s="958">
        <f t="shared" si="346"/>
        <v>0</v>
      </c>
      <c r="X329" s="882">
        <f t="shared" si="346"/>
        <v>0</v>
      </c>
      <c r="Y329" s="883">
        <f t="shared" si="346"/>
        <v>0</v>
      </c>
      <c r="Z329" s="901">
        <f t="shared" si="346"/>
        <v>0</v>
      </c>
      <c r="AA329" s="858">
        <f t="shared" si="346"/>
        <v>0</v>
      </c>
      <c r="AB329" s="859">
        <f t="shared" si="346"/>
        <v>0</v>
      </c>
      <c r="AC329" s="840">
        <f t="shared" si="346"/>
        <v>0</v>
      </c>
      <c r="AD329" s="958">
        <f t="shared" si="346"/>
        <v>4</v>
      </c>
      <c r="AE329" s="1071">
        <f t="shared" si="346"/>
        <v>2.6666666666666665</v>
      </c>
      <c r="AF329" s="1072">
        <f t="shared" si="346"/>
        <v>0</v>
      </c>
      <c r="AG329" s="1073">
        <f t="shared" si="346"/>
        <v>2.6666666666666665</v>
      </c>
      <c r="AH329" s="1077">
        <f t="shared" si="346"/>
        <v>1.3333333333333333</v>
      </c>
      <c r="AI329" s="1078">
        <f t="shared" si="346"/>
        <v>0</v>
      </c>
      <c r="AJ329" s="1080">
        <f t="shared" si="346"/>
        <v>1.3333333333333333</v>
      </c>
      <c r="AK329" s="958">
        <f t="shared" si="346"/>
        <v>0</v>
      </c>
      <c r="AL329" s="882">
        <f t="shared" si="346"/>
        <v>0</v>
      </c>
      <c r="AM329" s="883">
        <f t="shared" si="346"/>
        <v>0</v>
      </c>
      <c r="AN329" s="901">
        <f t="shared" si="346"/>
        <v>0</v>
      </c>
      <c r="AO329" s="858">
        <f t="shared" si="346"/>
        <v>0</v>
      </c>
      <c r="AP329" s="859">
        <f t="shared" si="346"/>
        <v>0</v>
      </c>
      <c r="AQ329" s="840">
        <f t="shared" si="346"/>
        <v>0</v>
      </c>
      <c r="AR329" s="765">
        <f t="shared" si="346"/>
        <v>0</v>
      </c>
      <c r="AS329" s="852">
        <f t="shared" si="346"/>
        <v>0</v>
      </c>
      <c r="AT329" s="853">
        <f t="shared" si="346"/>
        <v>0</v>
      </c>
      <c r="AU329" s="846">
        <f t="shared" si="346"/>
        <v>0</v>
      </c>
      <c r="AV329" s="893">
        <f t="shared" si="346"/>
        <v>0</v>
      </c>
      <c r="AW329" s="894">
        <f t="shared" si="346"/>
        <v>0</v>
      </c>
      <c r="AX329" s="877">
        <f t="shared" si="346"/>
        <v>0</v>
      </c>
      <c r="AY329" s="765">
        <f t="shared" ref="AY329:BE329" si="347">SUM(AY37,AY96,AY154,AY212,AY270)</f>
        <v>0</v>
      </c>
      <c r="AZ329" s="882">
        <f t="shared" si="347"/>
        <v>0</v>
      </c>
      <c r="BA329" s="883">
        <f t="shared" si="347"/>
        <v>0</v>
      </c>
      <c r="BB329" s="901">
        <f t="shared" si="347"/>
        <v>0</v>
      </c>
      <c r="BC329" s="858">
        <f t="shared" si="347"/>
        <v>0</v>
      </c>
      <c r="BD329" s="859">
        <f t="shared" si="347"/>
        <v>0</v>
      </c>
      <c r="BE329" s="840">
        <f t="shared" si="347"/>
        <v>0</v>
      </c>
      <c r="BF329" s="765">
        <f t="shared" ref="BF329:BL329" si="348">SUM(BF37,BF96,BF154,BF212,BF270)</f>
        <v>0</v>
      </c>
      <c r="BG329" s="852">
        <f t="shared" si="348"/>
        <v>0</v>
      </c>
      <c r="BH329" s="853">
        <f t="shared" si="348"/>
        <v>0</v>
      </c>
      <c r="BI329" s="846">
        <f t="shared" si="348"/>
        <v>0</v>
      </c>
      <c r="BJ329" s="893">
        <f t="shared" si="348"/>
        <v>0</v>
      </c>
      <c r="BK329" s="894">
        <f t="shared" si="348"/>
        <v>0</v>
      </c>
      <c r="BL329" s="877">
        <f t="shared" si="348"/>
        <v>0</v>
      </c>
      <c r="BM329" s="765">
        <f t="shared" ref="BM329:BS329" si="349">SUM(BM37,BM96,BM154,BM212,BM270)</f>
        <v>1</v>
      </c>
      <c r="BN329" s="882">
        <f t="shared" si="349"/>
        <v>0</v>
      </c>
      <c r="BO329" s="883">
        <f t="shared" si="349"/>
        <v>0</v>
      </c>
      <c r="BP329" s="901">
        <f t="shared" si="349"/>
        <v>0</v>
      </c>
      <c r="BQ329" s="858">
        <f t="shared" si="349"/>
        <v>1</v>
      </c>
      <c r="BR329" s="859">
        <f t="shared" si="349"/>
        <v>0</v>
      </c>
      <c r="BS329" s="840">
        <f t="shared" si="349"/>
        <v>1</v>
      </c>
      <c r="BT329" s="765">
        <f t="shared" ref="BT329:BZ329" si="350">SUM(BT37,BT96,BT154,BT212,BT270)</f>
        <v>2</v>
      </c>
      <c r="BU329" s="852">
        <f t="shared" si="350"/>
        <v>0</v>
      </c>
      <c r="BV329" s="853">
        <f t="shared" si="350"/>
        <v>0</v>
      </c>
      <c r="BW329" s="846">
        <f t="shared" si="350"/>
        <v>0</v>
      </c>
      <c r="BX329" s="893">
        <f t="shared" si="350"/>
        <v>2</v>
      </c>
      <c r="BY329" s="894">
        <f t="shared" si="350"/>
        <v>0</v>
      </c>
      <c r="BZ329" s="877">
        <f t="shared" si="350"/>
        <v>2</v>
      </c>
      <c r="CA329" s="765">
        <f t="shared" ref="CA329:CG329" si="351">SUM(CA37,CA96,CA154,CA212,CA270)</f>
        <v>0</v>
      </c>
      <c r="CB329" s="882">
        <f t="shared" si="351"/>
        <v>0</v>
      </c>
      <c r="CC329" s="883">
        <f t="shared" si="351"/>
        <v>0</v>
      </c>
      <c r="CD329" s="901">
        <f t="shared" si="351"/>
        <v>0</v>
      </c>
      <c r="CE329" s="858">
        <f t="shared" si="351"/>
        <v>0</v>
      </c>
      <c r="CF329" s="859">
        <f t="shared" si="351"/>
        <v>0</v>
      </c>
      <c r="CG329" s="840">
        <f t="shared" si="351"/>
        <v>0</v>
      </c>
      <c r="CH329" s="765">
        <f t="shared" ref="CH329:CN329" si="352">SUM(CH37,CH96,CH154,CH212,CH270)</f>
        <v>0</v>
      </c>
      <c r="CI329" s="852">
        <f t="shared" si="352"/>
        <v>0</v>
      </c>
      <c r="CJ329" s="853">
        <f t="shared" si="352"/>
        <v>0</v>
      </c>
      <c r="CK329" s="846">
        <f t="shared" si="352"/>
        <v>0</v>
      </c>
      <c r="CL329" s="893">
        <f t="shared" si="352"/>
        <v>0</v>
      </c>
      <c r="CM329" s="894">
        <f t="shared" si="352"/>
        <v>0</v>
      </c>
      <c r="CN329" s="877">
        <f t="shared" si="352"/>
        <v>0</v>
      </c>
    </row>
    <row r="330" spans="1:92" x14ac:dyDescent="0.25">
      <c r="A330" s="757">
        <v>30</v>
      </c>
      <c r="B330" s="765">
        <f t="shared" si="156"/>
        <v>0</v>
      </c>
      <c r="C330" s="844">
        <f t="shared" ref="C330:AX330" si="353">SUM(C38,C97,C155,C213,C271)</f>
        <v>0</v>
      </c>
      <c r="D330" s="844">
        <f t="shared" si="353"/>
        <v>0</v>
      </c>
      <c r="E330" s="846">
        <f t="shared" si="353"/>
        <v>0</v>
      </c>
      <c r="F330" s="876">
        <f t="shared" si="353"/>
        <v>0</v>
      </c>
      <c r="G330" s="889">
        <f t="shared" si="353"/>
        <v>0</v>
      </c>
      <c r="H330" s="877">
        <f t="shared" si="353"/>
        <v>0</v>
      </c>
      <c r="I330" s="765">
        <f t="shared" si="353"/>
        <v>0</v>
      </c>
      <c r="J330" s="882">
        <f t="shared" si="353"/>
        <v>0</v>
      </c>
      <c r="K330" s="883">
        <f t="shared" si="353"/>
        <v>0</v>
      </c>
      <c r="L330" s="871">
        <f t="shared" si="353"/>
        <v>0</v>
      </c>
      <c r="M330" s="858">
        <f t="shared" si="353"/>
        <v>0</v>
      </c>
      <c r="N330" s="859">
        <f t="shared" si="353"/>
        <v>0</v>
      </c>
      <c r="O330" s="840">
        <f t="shared" si="353"/>
        <v>0</v>
      </c>
      <c r="P330" s="765">
        <f t="shared" si="353"/>
        <v>2</v>
      </c>
      <c r="Q330" s="852">
        <f t="shared" si="353"/>
        <v>1</v>
      </c>
      <c r="R330" s="853">
        <f t="shared" si="353"/>
        <v>1</v>
      </c>
      <c r="S330" s="846">
        <f t="shared" si="353"/>
        <v>1.0868</v>
      </c>
      <c r="T330" s="893">
        <f t="shared" si="353"/>
        <v>0</v>
      </c>
      <c r="U330" s="894">
        <f t="shared" si="353"/>
        <v>0</v>
      </c>
      <c r="V330" s="877">
        <f t="shared" si="353"/>
        <v>0</v>
      </c>
      <c r="W330" s="958">
        <f t="shared" si="353"/>
        <v>0</v>
      </c>
      <c r="X330" s="882">
        <f t="shared" si="353"/>
        <v>0</v>
      </c>
      <c r="Y330" s="883">
        <f t="shared" si="353"/>
        <v>0</v>
      </c>
      <c r="Z330" s="901">
        <f t="shared" si="353"/>
        <v>0</v>
      </c>
      <c r="AA330" s="858">
        <f t="shared" si="353"/>
        <v>0</v>
      </c>
      <c r="AB330" s="859">
        <f t="shared" si="353"/>
        <v>0</v>
      </c>
      <c r="AC330" s="840">
        <f t="shared" si="353"/>
        <v>0</v>
      </c>
      <c r="AD330" s="958">
        <f t="shared" si="353"/>
        <v>0</v>
      </c>
      <c r="AE330" s="1071">
        <f t="shared" si="353"/>
        <v>0</v>
      </c>
      <c r="AF330" s="1072">
        <f t="shared" si="353"/>
        <v>0</v>
      </c>
      <c r="AG330" s="1073">
        <f t="shared" si="353"/>
        <v>0</v>
      </c>
      <c r="AH330" s="1077">
        <f t="shared" si="353"/>
        <v>0</v>
      </c>
      <c r="AI330" s="1078">
        <f t="shared" si="353"/>
        <v>0</v>
      </c>
      <c r="AJ330" s="1080">
        <f t="shared" si="353"/>
        <v>0</v>
      </c>
      <c r="AK330" s="958">
        <f t="shared" si="353"/>
        <v>0</v>
      </c>
      <c r="AL330" s="882">
        <f t="shared" si="353"/>
        <v>0</v>
      </c>
      <c r="AM330" s="883">
        <f t="shared" si="353"/>
        <v>0</v>
      </c>
      <c r="AN330" s="901">
        <f t="shared" si="353"/>
        <v>0</v>
      </c>
      <c r="AO330" s="858">
        <f t="shared" si="353"/>
        <v>0</v>
      </c>
      <c r="AP330" s="859">
        <f t="shared" si="353"/>
        <v>0</v>
      </c>
      <c r="AQ330" s="840">
        <f t="shared" si="353"/>
        <v>0</v>
      </c>
      <c r="AR330" s="765">
        <f t="shared" si="353"/>
        <v>0</v>
      </c>
      <c r="AS330" s="852">
        <f t="shared" si="353"/>
        <v>0</v>
      </c>
      <c r="AT330" s="853">
        <f t="shared" si="353"/>
        <v>0</v>
      </c>
      <c r="AU330" s="846">
        <f t="shared" si="353"/>
        <v>0</v>
      </c>
      <c r="AV330" s="893">
        <f t="shared" si="353"/>
        <v>0</v>
      </c>
      <c r="AW330" s="894">
        <f t="shared" si="353"/>
        <v>0</v>
      </c>
      <c r="AX330" s="877">
        <f t="shared" si="353"/>
        <v>0</v>
      </c>
      <c r="AY330" s="765">
        <f t="shared" ref="AY330:BE330" si="354">SUM(AY38,AY97,AY155,AY213,AY271)</f>
        <v>0</v>
      </c>
      <c r="AZ330" s="882">
        <f t="shared" si="354"/>
        <v>0</v>
      </c>
      <c r="BA330" s="883">
        <f t="shared" si="354"/>
        <v>0</v>
      </c>
      <c r="BB330" s="901">
        <f t="shared" si="354"/>
        <v>0</v>
      </c>
      <c r="BC330" s="858">
        <f t="shared" si="354"/>
        <v>0</v>
      </c>
      <c r="BD330" s="859">
        <f t="shared" si="354"/>
        <v>0</v>
      </c>
      <c r="BE330" s="840">
        <f t="shared" si="354"/>
        <v>0</v>
      </c>
      <c r="BF330" s="765">
        <f t="shared" ref="BF330:BL330" si="355">SUM(BF38,BF97,BF155,BF213,BF271)</f>
        <v>5</v>
      </c>
      <c r="BG330" s="852">
        <f t="shared" si="355"/>
        <v>1</v>
      </c>
      <c r="BH330" s="853">
        <f t="shared" si="355"/>
        <v>0</v>
      </c>
      <c r="BI330" s="846">
        <f t="shared" si="355"/>
        <v>1</v>
      </c>
      <c r="BJ330" s="893">
        <f t="shared" si="355"/>
        <v>4</v>
      </c>
      <c r="BK330" s="894">
        <f t="shared" si="355"/>
        <v>0</v>
      </c>
      <c r="BL330" s="877">
        <f t="shared" si="355"/>
        <v>4</v>
      </c>
      <c r="BM330" s="765">
        <f t="shared" ref="BM330:BS330" si="356">SUM(BM38,BM97,BM155,BM213,BM271)</f>
        <v>0</v>
      </c>
      <c r="BN330" s="882">
        <f t="shared" si="356"/>
        <v>0</v>
      </c>
      <c r="BO330" s="883">
        <f t="shared" si="356"/>
        <v>0</v>
      </c>
      <c r="BP330" s="901">
        <f t="shared" si="356"/>
        <v>0</v>
      </c>
      <c r="BQ330" s="858">
        <f t="shared" si="356"/>
        <v>0</v>
      </c>
      <c r="BR330" s="859">
        <f t="shared" si="356"/>
        <v>0</v>
      </c>
      <c r="BS330" s="840">
        <f t="shared" si="356"/>
        <v>0</v>
      </c>
      <c r="BT330" s="765">
        <f t="shared" ref="BT330:BZ330" si="357">SUM(BT38,BT97,BT155,BT213,BT271)</f>
        <v>0</v>
      </c>
      <c r="BU330" s="852">
        <f t="shared" si="357"/>
        <v>0</v>
      </c>
      <c r="BV330" s="853">
        <f t="shared" si="357"/>
        <v>0</v>
      </c>
      <c r="BW330" s="846">
        <f t="shared" si="357"/>
        <v>0</v>
      </c>
      <c r="BX330" s="893">
        <f t="shared" si="357"/>
        <v>0</v>
      </c>
      <c r="BY330" s="894">
        <f t="shared" si="357"/>
        <v>0</v>
      </c>
      <c r="BZ330" s="877">
        <f t="shared" si="357"/>
        <v>0</v>
      </c>
      <c r="CA330" s="765">
        <f t="shared" ref="CA330:CG330" si="358">SUM(CA38,CA97,CA155,CA213,CA271)</f>
        <v>0</v>
      </c>
      <c r="CB330" s="882">
        <f t="shared" si="358"/>
        <v>0</v>
      </c>
      <c r="CC330" s="883">
        <f t="shared" si="358"/>
        <v>0</v>
      </c>
      <c r="CD330" s="901">
        <f t="shared" si="358"/>
        <v>0</v>
      </c>
      <c r="CE330" s="858">
        <f t="shared" si="358"/>
        <v>0</v>
      </c>
      <c r="CF330" s="859">
        <f t="shared" si="358"/>
        <v>0</v>
      </c>
      <c r="CG330" s="840">
        <f t="shared" si="358"/>
        <v>0</v>
      </c>
      <c r="CH330" s="765">
        <f t="shared" ref="CH330:CN330" si="359">SUM(CH38,CH97,CH155,CH213,CH271)</f>
        <v>0</v>
      </c>
      <c r="CI330" s="852">
        <f t="shared" si="359"/>
        <v>0</v>
      </c>
      <c r="CJ330" s="853">
        <f t="shared" si="359"/>
        <v>0</v>
      </c>
      <c r="CK330" s="846">
        <f t="shared" si="359"/>
        <v>0</v>
      </c>
      <c r="CL330" s="893">
        <f t="shared" si="359"/>
        <v>0</v>
      </c>
      <c r="CM330" s="894">
        <f t="shared" si="359"/>
        <v>0</v>
      </c>
      <c r="CN330" s="877">
        <f t="shared" si="359"/>
        <v>0</v>
      </c>
    </row>
    <row r="331" spans="1:92" x14ac:dyDescent="0.25">
      <c r="A331" s="757">
        <v>31</v>
      </c>
      <c r="B331" s="765">
        <f t="shared" si="156"/>
        <v>0</v>
      </c>
      <c r="C331" s="844">
        <f t="shared" ref="C331:AX331" si="360">SUM(C39,C98,C156,C214,C272)</f>
        <v>0</v>
      </c>
      <c r="D331" s="844">
        <f t="shared" si="360"/>
        <v>0</v>
      </c>
      <c r="E331" s="846">
        <f t="shared" si="360"/>
        <v>0</v>
      </c>
      <c r="F331" s="876">
        <f t="shared" si="360"/>
        <v>0</v>
      </c>
      <c r="G331" s="889">
        <f t="shared" si="360"/>
        <v>0</v>
      </c>
      <c r="H331" s="877">
        <f t="shared" si="360"/>
        <v>0</v>
      </c>
      <c r="I331" s="765">
        <f t="shared" si="360"/>
        <v>0</v>
      </c>
      <c r="J331" s="882">
        <f t="shared" si="360"/>
        <v>0</v>
      </c>
      <c r="K331" s="883">
        <f t="shared" si="360"/>
        <v>0</v>
      </c>
      <c r="L331" s="871">
        <f t="shared" si="360"/>
        <v>0</v>
      </c>
      <c r="M331" s="858">
        <f t="shared" si="360"/>
        <v>0</v>
      </c>
      <c r="N331" s="859">
        <f t="shared" si="360"/>
        <v>0</v>
      </c>
      <c r="O331" s="840">
        <f t="shared" si="360"/>
        <v>0</v>
      </c>
      <c r="P331" s="765">
        <f t="shared" si="360"/>
        <v>0</v>
      </c>
      <c r="Q331" s="852">
        <f t="shared" si="360"/>
        <v>0</v>
      </c>
      <c r="R331" s="853">
        <f t="shared" si="360"/>
        <v>0</v>
      </c>
      <c r="S331" s="846">
        <f t="shared" si="360"/>
        <v>0</v>
      </c>
      <c r="T331" s="893">
        <f t="shared" si="360"/>
        <v>0</v>
      </c>
      <c r="U331" s="894">
        <f t="shared" si="360"/>
        <v>0</v>
      </c>
      <c r="V331" s="877">
        <f t="shared" si="360"/>
        <v>0</v>
      </c>
      <c r="W331" s="958">
        <f t="shared" si="360"/>
        <v>0</v>
      </c>
      <c r="X331" s="882">
        <f t="shared" si="360"/>
        <v>0</v>
      </c>
      <c r="Y331" s="883">
        <f t="shared" si="360"/>
        <v>0</v>
      </c>
      <c r="Z331" s="901">
        <f t="shared" si="360"/>
        <v>0</v>
      </c>
      <c r="AA331" s="858">
        <f t="shared" si="360"/>
        <v>0</v>
      </c>
      <c r="AB331" s="859">
        <f t="shared" si="360"/>
        <v>0</v>
      </c>
      <c r="AC331" s="840">
        <f t="shared" si="360"/>
        <v>0</v>
      </c>
      <c r="AD331" s="958">
        <f t="shared" si="360"/>
        <v>0</v>
      </c>
      <c r="AE331" s="1071">
        <f t="shared" si="360"/>
        <v>0</v>
      </c>
      <c r="AF331" s="1072">
        <f t="shared" si="360"/>
        <v>0</v>
      </c>
      <c r="AG331" s="1073">
        <f t="shared" si="360"/>
        <v>0</v>
      </c>
      <c r="AH331" s="1077">
        <f t="shared" si="360"/>
        <v>0</v>
      </c>
      <c r="AI331" s="1078">
        <f t="shared" si="360"/>
        <v>0</v>
      </c>
      <c r="AJ331" s="1080">
        <f t="shared" si="360"/>
        <v>0</v>
      </c>
      <c r="AK331" s="958">
        <f t="shared" si="360"/>
        <v>0</v>
      </c>
      <c r="AL331" s="882">
        <f t="shared" si="360"/>
        <v>0</v>
      </c>
      <c r="AM331" s="883">
        <f t="shared" si="360"/>
        <v>0</v>
      </c>
      <c r="AN331" s="901">
        <f t="shared" si="360"/>
        <v>0</v>
      </c>
      <c r="AO331" s="858">
        <f t="shared" si="360"/>
        <v>0</v>
      </c>
      <c r="AP331" s="859">
        <f t="shared" si="360"/>
        <v>0</v>
      </c>
      <c r="AQ331" s="840">
        <f t="shared" si="360"/>
        <v>0</v>
      </c>
      <c r="AR331" s="765">
        <f t="shared" si="360"/>
        <v>0</v>
      </c>
      <c r="AS331" s="852">
        <f t="shared" si="360"/>
        <v>0</v>
      </c>
      <c r="AT331" s="853">
        <f t="shared" si="360"/>
        <v>0</v>
      </c>
      <c r="AU331" s="846">
        <f t="shared" si="360"/>
        <v>0</v>
      </c>
      <c r="AV331" s="893">
        <f t="shared" si="360"/>
        <v>0</v>
      </c>
      <c r="AW331" s="894">
        <f t="shared" si="360"/>
        <v>0</v>
      </c>
      <c r="AX331" s="877">
        <f t="shared" si="360"/>
        <v>0</v>
      </c>
      <c r="AY331" s="765">
        <f t="shared" ref="AY331:BE331" si="361">SUM(AY39,AY98,AY156,AY214,AY272)</f>
        <v>0</v>
      </c>
      <c r="AZ331" s="882">
        <f t="shared" si="361"/>
        <v>0</v>
      </c>
      <c r="BA331" s="883">
        <f t="shared" si="361"/>
        <v>0</v>
      </c>
      <c r="BB331" s="901">
        <f t="shared" si="361"/>
        <v>0</v>
      </c>
      <c r="BC331" s="858">
        <f t="shared" si="361"/>
        <v>0</v>
      </c>
      <c r="BD331" s="859">
        <f t="shared" si="361"/>
        <v>0</v>
      </c>
      <c r="BE331" s="840">
        <f t="shared" si="361"/>
        <v>0</v>
      </c>
      <c r="BF331" s="765">
        <f t="shared" ref="BF331:BL331" si="362">SUM(BF39,BF98,BF156,BF214,BF272)</f>
        <v>0</v>
      </c>
      <c r="BG331" s="852">
        <f t="shared" si="362"/>
        <v>0</v>
      </c>
      <c r="BH331" s="853">
        <f t="shared" si="362"/>
        <v>0</v>
      </c>
      <c r="BI331" s="846">
        <f t="shared" si="362"/>
        <v>0</v>
      </c>
      <c r="BJ331" s="893">
        <f t="shared" si="362"/>
        <v>0</v>
      </c>
      <c r="BK331" s="894">
        <f t="shared" si="362"/>
        <v>0</v>
      </c>
      <c r="BL331" s="877">
        <f t="shared" si="362"/>
        <v>0</v>
      </c>
      <c r="BM331" s="765">
        <f t="shared" ref="BM331:BS331" si="363">SUM(BM39,BM98,BM156,BM214,BM272)</f>
        <v>0</v>
      </c>
      <c r="BN331" s="882">
        <f t="shared" si="363"/>
        <v>0</v>
      </c>
      <c r="BO331" s="883">
        <f t="shared" si="363"/>
        <v>0</v>
      </c>
      <c r="BP331" s="901">
        <f t="shared" si="363"/>
        <v>0</v>
      </c>
      <c r="BQ331" s="858">
        <f t="shared" si="363"/>
        <v>0</v>
      </c>
      <c r="BR331" s="859">
        <f t="shared" si="363"/>
        <v>0</v>
      </c>
      <c r="BS331" s="840">
        <f t="shared" si="363"/>
        <v>0</v>
      </c>
      <c r="BT331" s="765">
        <f t="shared" ref="BT331:BZ331" si="364">SUM(BT39,BT98,BT156,BT214,BT272)</f>
        <v>0</v>
      </c>
      <c r="BU331" s="852">
        <f t="shared" si="364"/>
        <v>0</v>
      </c>
      <c r="BV331" s="853">
        <f t="shared" si="364"/>
        <v>0</v>
      </c>
      <c r="BW331" s="846">
        <f t="shared" si="364"/>
        <v>0</v>
      </c>
      <c r="BX331" s="893">
        <f t="shared" si="364"/>
        <v>0</v>
      </c>
      <c r="BY331" s="894">
        <f t="shared" si="364"/>
        <v>0</v>
      </c>
      <c r="BZ331" s="877">
        <f t="shared" si="364"/>
        <v>0</v>
      </c>
      <c r="CA331" s="765">
        <f t="shared" ref="CA331:CG331" si="365">SUM(CA39,CA98,CA156,CA214,CA272)</f>
        <v>0</v>
      </c>
      <c r="CB331" s="882">
        <f t="shared" si="365"/>
        <v>0</v>
      </c>
      <c r="CC331" s="883">
        <f t="shared" si="365"/>
        <v>0</v>
      </c>
      <c r="CD331" s="901">
        <f t="shared" si="365"/>
        <v>0</v>
      </c>
      <c r="CE331" s="858">
        <f t="shared" si="365"/>
        <v>0</v>
      </c>
      <c r="CF331" s="859">
        <f t="shared" si="365"/>
        <v>0</v>
      </c>
      <c r="CG331" s="840">
        <f t="shared" si="365"/>
        <v>0</v>
      </c>
      <c r="CH331" s="765">
        <f t="shared" ref="CH331:CN331" si="366">SUM(CH39,CH98,CH156,CH214,CH272)</f>
        <v>0</v>
      </c>
      <c r="CI331" s="852">
        <f t="shared" si="366"/>
        <v>0</v>
      </c>
      <c r="CJ331" s="853">
        <f t="shared" si="366"/>
        <v>0</v>
      </c>
      <c r="CK331" s="846">
        <f t="shared" si="366"/>
        <v>0</v>
      </c>
      <c r="CL331" s="893">
        <f t="shared" si="366"/>
        <v>0</v>
      </c>
      <c r="CM331" s="894">
        <f t="shared" si="366"/>
        <v>0</v>
      </c>
      <c r="CN331" s="877">
        <f t="shared" si="366"/>
        <v>0</v>
      </c>
    </row>
    <row r="332" spans="1:92" x14ac:dyDescent="0.25">
      <c r="A332" s="757">
        <v>32</v>
      </c>
      <c r="B332" s="765">
        <f t="shared" si="156"/>
        <v>0</v>
      </c>
      <c r="C332" s="844">
        <f t="shared" ref="C332:AX332" si="367">SUM(C40,C99,C157,C215,C273)</f>
        <v>0</v>
      </c>
      <c r="D332" s="844">
        <f t="shared" si="367"/>
        <v>0</v>
      </c>
      <c r="E332" s="846">
        <f t="shared" si="367"/>
        <v>0</v>
      </c>
      <c r="F332" s="876">
        <f t="shared" si="367"/>
        <v>0</v>
      </c>
      <c r="G332" s="889">
        <f t="shared" si="367"/>
        <v>0</v>
      </c>
      <c r="H332" s="877">
        <f t="shared" si="367"/>
        <v>0</v>
      </c>
      <c r="I332" s="765">
        <f t="shared" si="367"/>
        <v>0</v>
      </c>
      <c r="J332" s="882">
        <f t="shared" si="367"/>
        <v>0</v>
      </c>
      <c r="K332" s="883">
        <f t="shared" si="367"/>
        <v>0</v>
      </c>
      <c r="L332" s="871">
        <f t="shared" si="367"/>
        <v>0</v>
      </c>
      <c r="M332" s="858">
        <f t="shared" si="367"/>
        <v>0</v>
      </c>
      <c r="N332" s="859">
        <f t="shared" si="367"/>
        <v>0</v>
      </c>
      <c r="O332" s="840">
        <f t="shared" si="367"/>
        <v>0</v>
      </c>
      <c r="P332" s="765">
        <f t="shared" si="367"/>
        <v>0</v>
      </c>
      <c r="Q332" s="852">
        <f t="shared" si="367"/>
        <v>0</v>
      </c>
      <c r="R332" s="853">
        <f t="shared" si="367"/>
        <v>0</v>
      </c>
      <c r="S332" s="846">
        <f t="shared" si="367"/>
        <v>0</v>
      </c>
      <c r="T332" s="893">
        <f t="shared" si="367"/>
        <v>0</v>
      </c>
      <c r="U332" s="894">
        <f t="shared" si="367"/>
        <v>0</v>
      </c>
      <c r="V332" s="877">
        <f t="shared" si="367"/>
        <v>0</v>
      </c>
      <c r="W332" s="958">
        <f t="shared" si="367"/>
        <v>0</v>
      </c>
      <c r="X332" s="882">
        <f t="shared" si="367"/>
        <v>0</v>
      </c>
      <c r="Y332" s="883">
        <f t="shared" si="367"/>
        <v>0</v>
      </c>
      <c r="Z332" s="901">
        <f t="shared" si="367"/>
        <v>0</v>
      </c>
      <c r="AA332" s="858">
        <f t="shared" si="367"/>
        <v>0</v>
      </c>
      <c r="AB332" s="859">
        <f t="shared" si="367"/>
        <v>0</v>
      </c>
      <c r="AC332" s="840">
        <f t="shared" si="367"/>
        <v>0</v>
      </c>
      <c r="AD332" s="958">
        <f t="shared" si="367"/>
        <v>0</v>
      </c>
      <c r="AE332" s="1071">
        <f t="shared" si="367"/>
        <v>0</v>
      </c>
      <c r="AF332" s="1072">
        <f t="shared" si="367"/>
        <v>0</v>
      </c>
      <c r="AG332" s="1073">
        <f t="shared" si="367"/>
        <v>0</v>
      </c>
      <c r="AH332" s="1077">
        <f t="shared" si="367"/>
        <v>0</v>
      </c>
      <c r="AI332" s="1078">
        <f t="shared" si="367"/>
        <v>0</v>
      </c>
      <c r="AJ332" s="1080">
        <f t="shared" si="367"/>
        <v>0</v>
      </c>
      <c r="AK332" s="958">
        <f t="shared" si="367"/>
        <v>0</v>
      </c>
      <c r="AL332" s="882">
        <f t="shared" si="367"/>
        <v>0</v>
      </c>
      <c r="AM332" s="883">
        <f t="shared" si="367"/>
        <v>0</v>
      </c>
      <c r="AN332" s="901">
        <f t="shared" si="367"/>
        <v>0</v>
      </c>
      <c r="AO332" s="858">
        <f t="shared" si="367"/>
        <v>0</v>
      </c>
      <c r="AP332" s="859">
        <f t="shared" si="367"/>
        <v>0</v>
      </c>
      <c r="AQ332" s="840">
        <f t="shared" si="367"/>
        <v>0</v>
      </c>
      <c r="AR332" s="765">
        <f t="shared" si="367"/>
        <v>0</v>
      </c>
      <c r="AS332" s="852">
        <f t="shared" si="367"/>
        <v>0</v>
      </c>
      <c r="AT332" s="853">
        <f t="shared" si="367"/>
        <v>0</v>
      </c>
      <c r="AU332" s="846">
        <f t="shared" si="367"/>
        <v>0</v>
      </c>
      <c r="AV332" s="893">
        <f t="shared" si="367"/>
        <v>0</v>
      </c>
      <c r="AW332" s="894">
        <f t="shared" si="367"/>
        <v>0</v>
      </c>
      <c r="AX332" s="877">
        <f t="shared" si="367"/>
        <v>0</v>
      </c>
      <c r="AY332" s="765">
        <f t="shared" ref="AY332:BE332" si="368">SUM(AY40,AY99,AY157,AY215,AY273)</f>
        <v>0</v>
      </c>
      <c r="AZ332" s="882">
        <f t="shared" si="368"/>
        <v>0</v>
      </c>
      <c r="BA332" s="883">
        <f t="shared" si="368"/>
        <v>0</v>
      </c>
      <c r="BB332" s="901">
        <f t="shared" si="368"/>
        <v>0</v>
      </c>
      <c r="BC332" s="858">
        <f t="shared" si="368"/>
        <v>0</v>
      </c>
      <c r="BD332" s="859">
        <f t="shared" si="368"/>
        <v>0</v>
      </c>
      <c r="BE332" s="840">
        <f t="shared" si="368"/>
        <v>0</v>
      </c>
      <c r="BF332" s="765">
        <f t="shared" ref="BF332:BL332" si="369">SUM(BF40,BF99,BF157,BF215,BF273)</f>
        <v>0</v>
      </c>
      <c r="BG332" s="852">
        <f t="shared" si="369"/>
        <v>0</v>
      </c>
      <c r="BH332" s="853">
        <f t="shared" si="369"/>
        <v>0</v>
      </c>
      <c r="BI332" s="846">
        <f t="shared" si="369"/>
        <v>0</v>
      </c>
      <c r="BJ332" s="893">
        <f t="shared" si="369"/>
        <v>0</v>
      </c>
      <c r="BK332" s="894">
        <f t="shared" si="369"/>
        <v>0</v>
      </c>
      <c r="BL332" s="877">
        <f t="shared" si="369"/>
        <v>0</v>
      </c>
      <c r="BM332" s="765">
        <f t="shared" ref="BM332:BS332" si="370">SUM(BM40,BM99,BM157,BM215,BM273)</f>
        <v>0</v>
      </c>
      <c r="BN332" s="882">
        <f t="shared" si="370"/>
        <v>0</v>
      </c>
      <c r="BO332" s="883">
        <f t="shared" si="370"/>
        <v>0</v>
      </c>
      <c r="BP332" s="901">
        <f t="shared" si="370"/>
        <v>0</v>
      </c>
      <c r="BQ332" s="858">
        <f t="shared" si="370"/>
        <v>0</v>
      </c>
      <c r="BR332" s="859">
        <f t="shared" si="370"/>
        <v>0</v>
      </c>
      <c r="BS332" s="840">
        <f t="shared" si="370"/>
        <v>0</v>
      </c>
      <c r="BT332" s="765">
        <f t="shared" ref="BT332:BZ332" si="371">SUM(BT40,BT99,BT157,BT215,BT273)</f>
        <v>0</v>
      </c>
      <c r="BU332" s="852">
        <f t="shared" si="371"/>
        <v>0</v>
      </c>
      <c r="BV332" s="853">
        <f t="shared" si="371"/>
        <v>0</v>
      </c>
      <c r="BW332" s="846">
        <f t="shared" si="371"/>
        <v>0</v>
      </c>
      <c r="BX332" s="893">
        <f t="shared" si="371"/>
        <v>0</v>
      </c>
      <c r="BY332" s="894">
        <f t="shared" si="371"/>
        <v>0</v>
      </c>
      <c r="BZ332" s="877">
        <f t="shared" si="371"/>
        <v>0</v>
      </c>
      <c r="CA332" s="765">
        <f t="shared" ref="CA332:CG332" si="372">SUM(CA40,CA99,CA157,CA215,CA273)</f>
        <v>0</v>
      </c>
      <c r="CB332" s="882">
        <f t="shared" si="372"/>
        <v>0</v>
      </c>
      <c r="CC332" s="883">
        <f t="shared" si="372"/>
        <v>0</v>
      </c>
      <c r="CD332" s="901">
        <f t="shared" si="372"/>
        <v>0</v>
      </c>
      <c r="CE332" s="858">
        <f t="shared" si="372"/>
        <v>0</v>
      </c>
      <c r="CF332" s="859">
        <f t="shared" si="372"/>
        <v>0</v>
      </c>
      <c r="CG332" s="840">
        <f t="shared" si="372"/>
        <v>0</v>
      </c>
      <c r="CH332" s="765">
        <f t="shared" ref="CH332:CN332" si="373">SUM(CH40,CH99,CH157,CH215,CH273)</f>
        <v>0</v>
      </c>
      <c r="CI332" s="852">
        <f t="shared" si="373"/>
        <v>0</v>
      </c>
      <c r="CJ332" s="853">
        <f t="shared" si="373"/>
        <v>0</v>
      </c>
      <c r="CK332" s="846">
        <f t="shared" si="373"/>
        <v>0</v>
      </c>
      <c r="CL332" s="893">
        <f t="shared" si="373"/>
        <v>0</v>
      </c>
      <c r="CM332" s="894">
        <f t="shared" si="373"/>
        <v>0</v>
      </c>
      <c r="CN332" s="877">
        <f t="shared" si="373"/>
        <v>0</v>
      </c>
    </row>
    <row r="333" spans="1:92" x14ac:dyDescent="0.25">
      <c r="A333" s="757">
        <v>33</v>
      </c>
      <c r="B333" s="765">
        <f t="shared" si="156"/>
        <v>0</v>
      </c>
      <c r="C333" s="844">
        <f t="shared" ref="C333:AX333" si="374">SUM(C41,C100,C158,C216,C274)</f>
        <v>0</v>
      </c>
      <c r="D333" s="844">
        <f t="shared" si="374"/>
        <v>0</v>
      </c>
      <c r="E333" s="846">
        <f t="shared" si="374"/>
        <v>0</v>
      </c>
      <c r="F333" s="876">
        <f t="shared" si="374"/>
        <v>0</v>
      </c>
      <c r="G333" s="889">
        <f t="shared" si="374"/>
        <v>0</v>
      </c>
      <c r="H333" s="877">
        <f t="shared" si="374"/>
        <v>0</v>
      </c>
      <c r="I333" s="765">
        <f t="shared" si="374"/>
        <v>0</v>
      </c>
      <c r="J333" s="882">
        <f t="shared" si="374"/>
        <v>0</v>
      </c>
      <c r="K333" s="883">
        <f t="shared" si="374"/>
        <v>0</v>
      </c>
      <c r="L333" s="871">
        <f t="shared" si="374"/>
        <v>0</v>
      </c>
      <c r="M333" s="858">
        <f t="shared" si="374"/>
        <v>0</v>
      </c>
      <c r="N333" s="859">
        <f t="shared" si="374"/>
        <v>0</v>
      </c>
      <c r="O333" s="840">
        <f t="shared" si="374"/>
        <v>0</v>
      </c>
      <c r="P333" s="765">
        <f t="shared" si="374"/>
        <v>0</v>
      </c>
      <c r="Q333" s="852">
        <f t="shared" si="374"/>
        <v>0</v>
      </c>
      <c r="R333" s="853">
        <f t="shared" si="374"/>
        <v>0</v>
      </c>
      <c r="S333" s="846">
        <f t="shared" si="374"/>
        <v>0</v>
      </c>
      <c r="T333" s="893">
        <f t="shared" si="374"/>
        <v>0</v>
      </c>
      <c r="U333" s="894">
        <f t="shared" si="374"/>
        <v>0</v>
      </c>
      <c r="V333" s="877">
        <f t="shared" si="374"/>
        <v>0</v>
      </c>
      <c r="W333" s="958">
        <f t="shared" si="374"/>
        <v>0</v>
      </c>
      <c r="X333" s="882">
        <f t="shared" si="374"/>
        <v>0</v>
      </c>
      <c r="Y333" s="883">
        <f t="shared" si="374"/>
        <v>0</v>
      </c>
      <c r="Z333" s="901">
        <f t="shared" si="374"/>
        <v>0</v>
      </c>
      <c r="AA333" s="858">
        <f t="shared" si="374"/>
        <v>0</v>
      </c>
      <c r="AB333" s="859">
        <f t="shared" si="374"/>
        <v>0</v>
      </c>
      <c r="AC333" s="840">
        <f t="shared" si="374"/>
        <v>0</v>
      </c>
      <c r="AD333" s="958">
        <f t="shared" si="374"/>
        <v>0</v>
      </c>
      <c r="AE333" s="1071">
        <f t="shared" si="374"/>
        <v>0</v>
      </c>
      <c r="AF333" s="1072">
        <f t="shared" si="374"/>
        <v>0</v>
      </c>
      <c r="AG333" s="1073">
        <f t="shared" si="374"/>
        <v>0</v>
      </c>
      <c r="AH333" s="1077">
        <f t="shared" si="374"/>
        <v>0</v>
      </c>
      <c r="AI333" s="1078">
        <f t="shared" si="374"/>
        <v>0</v>
      </c>
      <c r="AJ333" s="1080">
        <f t="shared" si="374"/>
        <v>0</v>
      </c>
      <c r="AK333" s="958">
        <f t="shared" si="374"/>
        <v>0</v>
      </c>
      <c r="AL333" s="882">
        <f t="shared" si="374"/>
        <v>0</v>
      </c>
      <c r="AM333" s="883">
        <f t="shared" si="374"/>
        <v>0</v>
      </c>
      <c r="AN333" s="901">
        <f t="shared" si="374"/>
        <v>0</v>
      </c>
      <c r="AO333" s="858">
        <f t="shared" si="374"/>
        <v>0</v>
      </c>
      <c r="AP333" s="859">
        <f t="shared" si="374"/>
        <v>0</v>
      </c>
      <c r="AQ333" s="840">
        <f t="shared" si="374"/>
        <v>0</v>
      </c>
      <c r="AR333" s="765">
        <f t="shared" si="374"/>
        <v>0</v>
      </c>
      <c r="AS333" s="852">
        <f t="shared" si="374"/>
        <v>0</v>
      </c>
      <c r="AT333" s="853">
        <f t="shared" si="374"/>
        <v>0</v>
      </c>
      <c r="AU333" s="846">
        <f t="shared" si="374"/>
        <v>0</v>
      </c>
      <c r="AV333" s="893">
        <f t="shared" si="374"/>
        <v>0</v>
      </c>
      <c r="AW333" s="894">
        <f t="shared" si="374"/>
        <v>0</v>
      </c>
      <c r="AX333" s="877">
        <f t="shared" si="374"/>
        <v>0</v>
      </c>
      <c r="AY333" s="765">
        <f t="shared" ref="AY333:BE333" si="375">SUM(AY41,AY100,AY158,AY216,AY274)</f>
        <v>0</v>
      </c>
      <c r="AZ333" s="882">
        <f t="shared" si="375"/>
        <v>0</v>
      </c>
      <c r="BA333" s="883">
        <f t="shared" si="375"/>
        <v>0</v>
      </c>
      <c r="BB333" s="901">
        <f t="shared" si="375"/>
        <v>0</v>
      </c>
      <c r="BC333" s="858">
        <f t="shared" si="375"/>
        <v>0</v>
      </c>
      <c r="BD333" s="859">
        <f t="shared" si="375"/>
        <v>0</v>
      </c>
      <c r="BE333" s="840">
        <f t="shared" si="375"/>
        <v>0</v>
      </c>
      <c r="BF333" s="765">
        <f t="shared" ref="BF333:BL333" si="376">SUM(BF41,BF100,BF158,BF216,BF274)</f>
        <v>0</v>
      </c>
      <c r="BG333" s="852">
        <f t="shared" si="376"/>
        <v>0</v>
      </c>
      <c r="BH333" s="853">
        <f t="shared" si="376"/>
        <v>0</v>
      </c>
      <c r="BI333" s="846">
        <f t="shared" si="376"/>
        <v>0</v>
      </c>
      <c r="BJ333" s="893">
        <f t="shared" si="376"/>
        <v>0</v>
      </c>
      <c r="BK333" s="894">
        <f t="shared" si="376"/>
        <v>0</v>
      </c>
      <c r="BL333" s="877">
        <f t="shared" si="376"/>
        <v>0</v>
      </c>
      <c r="BM333" s="765">
        <f t="shared" ref="BM333:BS333" si="377">SUM(BM41,BM100,BM158,BM216,BM274)</f>
        <v>0</v>
      </c>
      <c r="BN333" s="882">
        <f t="shared" si="377"/>
        <v>0</v>
      </c>
      <c r="BO333" s="883">
        <f t="shared" si="377"/>
        <v>0</v>
      </c>
      <c r="BP333" s="901">
        <f t="shared" si="377"/>
        <v>0</v>
      </c>
      <c r="BQ333" s="858">
        <f t="shared" si="377"/>
        <v>0</v>
      </c>
      <c r="BR333" s="859">
        <f t="shared" si="377"/>
        <v>0</v>
      </c>
      <c r="BS333" s="840">
        <f t="shared" si="377"/>
        <v>0</v>
      </c>
      <c r="BT333" s="765">
        <f t="shared" ref="BT333:BZ333" si="378">SUM(BT41,BT100,BT158,BT216,BT274)</f>
        <v>0</v>
      </c>
      <c r="BU333" s="852">
        <f t="shared" si="378"/>
        <v>0</v>
      </c>
      <c r="BV333" s="853">
        <f t="shared" si="378"/>
        <v>0</v>
      </c>
      <c r="BW333" s="846">
        <f t="shared" si="378"/>
        <v>0</v>
      </c>
      <c r="BX333" s="893">
        <f t="shared" si="378"/>
        <v>0</v>
      </c>
      <c r="BY333" s="894">
        <f t="shared" si="378"/>
        <v>0</v>
      </c>
      <c r="BZ333" s="877">
        <f t="shared" si="378"/>
        <v>0</v>
      </c>
      <c r="CA333" s="765">
        <f t="shared" ref="CA333:CG333" si="379">SUM(CA41,CA100,CA158,CA216,CA274)</f>
        <v>0</v>
      </c>
      <c r="CB333" s="882">
        <f t="shared" si="379"/>
        <v>0</v>
      </c>
      <c r="CC333" s="883">
        <f t="shared" si="379"/>
        <v>0</v>
      </c>
      <c r="CD333" s="901">
        <f t="shared" si="379"/>
        <v>0</v>
      </c>
      <c r="CE333" s="858">
        <f t="shared" si="379"/>
        <v>0</v>
      </c>
      <c r="CF333" s="859">
        <f t="shared" si="379"/>
        <v>0</v>
      </c>
      <c r="CG333" s="840">
        <f t="shared" si="379"/>
        <v>0</v>
      </c>
      <c r="CH333" s="765">
        <f t="shared" ref="CH333:CN333" si="380">SUM(CH41,CH100,CH158,CH216,CH274)</f>
        <v>0</v>
      </c>
      <c r="CI333" s="852">
        <f t="shared" si="380"/>
        <v>0</v>
      </c>
      <c r="CJ333" s="853">
        <f t="shared" si="380"/>
        <v>0</v>
      </c>
      <c r="CK333" s="846">
        <f t="shared" si="380"/>
        <v>0</v>
      </c>
      <c r="CL333" s="893">
        <f t="shared" si="380"/>
        <v>0</v>
      </c>
      <c r="CM333" s="894">
        <f t="shared" si="380"/>
        <v>0</v>
      </c>
      <c r="CN333" s="877">
        <f t="shared" si="380"/>
        <v>0</v>
      </c>
    </row>
    <row r="334" spans="1:92" x14ac:dyDescent="0.25">
      <c r="A334" s="757">
        <v>34</v>
      </c>
      <c r="B334" s="765">
        <f t="shared" si="156"/>
        <v>0</v>
      </c>
      <c r="C334" s="844">
        <f t="shared" ref="C334:AX334" si="381">SUM(C42,C101,C159,C217,C275)</f>
        <v>0</v>
      </c>
      <c r="D334" s="844">
        <f t="shared" si="381"/>
        <v>0</v>
      </c>
      <c r="E334" s="846">
        <f t="shared" si="381"/>
        <v>0</v>
      </c>
      <c r="F334" s="876">
        <f t="shared" si="381"/>
        <v>0</v>
      </c>
      <c r="G334" s="889">
        <f t="shared" si="381"/>
        <v>0</v>
      </c>
      <c r="H334" s="877">
        <f t="shared" si="381"/>
        <v>0</v>
      </c>
      <c r="I334" s="765">
        <f t="shared" si="381"/>
        <v>0</v>
      </c>
      <c r="J334" s="882">
        <f t="shared" si="381"/>
        <v>0</v>
      </c>
      <c r="K334" s="883">
        <f t="shared" si="381"/>
        <v>0</v>
      </c>
      <c r="L334" s="871">
        <f t="shared" si="381"/>
        <v>0</v>
      </c>
      <c r="M334" s="858">
        <f t="shared" si="381"/>
        <v>0</v>
      </c>
      <c r="N334" s="859">
        <f t="shared" si="381"/>
        <v>0</v>
      </c>
      <c r="O334" s="840">
        <f t="shared" si="381"/>
        <v>0</v>
      </c>
      <c r="P334" s="765">
        <f t="shared" si="381"/>
        <v>0</v>
      </c>
      <c r="Q334" s="852">
        <f t="shared" si="381"/>
        <v>0</v>
      </c>
      <c r="R334" s="853">
        <f t="shared" si="381"/>
        <v>0</v>
      </c>
      <c r="S334" s="846">
        <f t="shared" si="381"/>
        <v>0</v>
      </c>
      <c r="T334" s="893">
        <f t="shared" si="381"/>
        <v>0</v>
      </c>
      <c r="U334" s="894">
        <f t="shared" si="381"/>
        <v>0</v>
      </c>
      <c r="V334" s="877">
        <f t="shared" si="381"/>
        <v>0</v>
      </c>
      <c r="W334" s="958">
        <f t="shared" si="381"/>
        <v>0</v>
      </c>
      <c r="X334" s="882">
        <f t="shared" si="381"/>
        <v>0</v>
      </c>
      <c r="Y334" s="883">
        <f t="shared" si="381"/>
        <v>0</v>
      </c>
      <c r="Z334" s="901">
        <f t="shared" si="381"/>
        <v>0</v>
      </c>
      <c r="AA334" s="858">
        <f t="shared" si="381"/>
        <v>0</v>
      </c>
      <c r="AB334" s="859">
        <f t="shared" si="381"/>
        <v>0</v>
      </c>
      <c r="AC334" s="840">
        <f t="shared" si="381"/>
        <v>0</v>
      </c>
      <c r="AD334" s="958">
        <f t="shared" si="381"/>
        <v>0</v>
      </c>
      <c r="AE334" s="1071">
        <f t="shared" si="381"/>
        <v>0</v>
      </c>
      <c r="AF334" s="1072">
        <f t="shared" si="381"/>
        <v>0</v>
      </c>
      <c r="AG334" s="1073">
        <f t="shared" si="381"/>
        <v>0</v>
      </c>
      <c r="AH334" s="1077">
        <f t="shared" si="381"/>
        <v>0</v>
      </c>
      <c r="AI334" s="1078">
        <f t="shared" si="381"/>
        <v>0</v>
      </c>
      <c r="AJ334" s="1080">
        <f t="shared" si="381"/>
        <v>0</v>
      </c>
      <c r="AK334" s="958">
        <f t="shared" si="381"/>
        <v>0</v>
      </c>
      <c r="AL334" s="882">
        <f t="shared" si="381"/>
        <v>0</v>
      </c>
      <c r="AM334" s="883">
        <f t="shared" si="381"/>
        <v>0</v>
      </c>
      <c r="AN334" s="901">
        <f t="shared" si="381"/>
        <v>0</v>
      </c>
      <c r="AO334" s="858">
        <f t="shared" si="381"/>
        <v>0</v>
      </c>
      <c r="AP334" s="859">
        <f t="shared" si="381"/>
        <v>0</v>
      </c>
      <c r="AQ334" s="840">
        <f t="shared" si="381"/>
        <v>0</v>
      </c>
      <c r="AR334" s="765">
        <f t="shared" si="381"/>
        <v>0</v>
      </c>
      <c r="AS334" s="852">
        <f t="shared" si="381"/>
        <v>0</v>
      </c>
      <c r="AT334" s="853">
        <f t="shared" si="381"/>
        <v>0</v>
      </c>
      <c r="AU334" s="846">
        <f t="shared" si="381"/>
        <v>0</v>
      </c>
      <c r="AV334" s="893">
        <f t="shared" si="381"/>
        <v>0</v>
      </c>
      <c r="AW334" s="894">
        <f t="shared" si="381"/>
        <v>0</v>
      </c>
      <c r="AX334" s="877">
        <f t="shared" si="381"/>
        <v>0</v>
      </c>
      <c r="AY334" s="765">
        <f t="shared" ref="AY334:BE334" si="382">SUM(AY42,AY101,AY159,AY217,AY275)</f>
        <v>0</v>
      </c>
      <c r="AZ334" s="882">
        <f t="shared" si="382"/>
        <v>0</v>
      </c>
      <c r="BA334" s="883">
        <f t="shared" si="382"/>
        <v>0</v>
      </c>
      <c r="BB334" s="901">
        <f t="shared" si="382"/>
        <v>0</v>
      </c>
      <c r="BC334" s="858">
        <f t="shared" si="382"/>
        <v>0</v>
      </c>
      <c r="BD334" s="859">
        <f t="shared" si="382"/>
        <v>0</v>
      </c>
      <c r="BE334" s="840">
        <f t="shared" si="382"/>
        <v>0</v>
      </c>
      <c r="BF334" s="765">
        <f t="shared" ref="BF334:BL334" si="383">SUM(BF42,BF101,BF159,BF217,BF275)</f>
        <v>0</v>
      </c>
      <c r="BG334" s="852">
        <f t="shared" si="383"/>
        <v>0</v>
      </c>
      <c r="BH334" s="853">
        <f t="shared" si="383"/>
        <v>0</v>
      </c>
      <c r="BI334" s="846">
        <f t="shared" si="383"/>
        <v>0</v>
      </c>
      <c r="BJ334" s="893">
        <f t="shared" si="383"/>
        <v>0</v>
      </c>
      <c r="BK334" s="894">
        <f t="shared" si="383"/>
        <v>0</v>
      </c>
      <c r="BL334" s="877">
        <f t="shared" si="383"/>
        <v>0</v>
      </c>
      <c r="BM334" s="765">
        <f t="shared" ref="BM334:BS334" si="384">SUM(BM42,BM101,BM159,BM217,BM275)</f>
        <v>0</v>
      </c>
      <c r="BN334" s="882">
        <f t="shared" si="384"/>
        <v>0</v>
      </c>
      <c r="BO334" s="883">
        <f t="shared" si="384"/>
        <v>0</v>
      </c>
      <c r="BP334" s="901">
        <f t="shared" si="384"/>
        <v>0</v>
      </c>
      <c r="BQ334" s="858">
        <f t="shared" si="384"/>
        <v>0</v>
      </c>
      <c r="BR334" s="859">
        <f t="shared" si="384"/>
        <v>0</v>
      </c>
      <c r="BS334" s="840">
        <f t="shared" si="384"/>
        <v>0</v>
      </c>
      <c r="BT334" s="765">
        <f t="shared" ref="BT334:BZ334" si="385">SUM(BT42,BT101,BT159,BT217,BT275)</f>
        <v>0</v>
      </c>
      <c r="BU334" s="852">
        <f t="shared" si="385"/>
        <v>0</v>
      </c>
      <c r="BV334" s="853">
        <f t="shared" si="385"/>
        <v>0</v>
      </c>
      <c r="BW334" s="846">
        <f t="shared" si="385"/>
        <v>0</v>
      </c>
      <c r="BX334" s="893">
        <f t="shared" si="385"/>
        <v>0</v>
      </c>
      <c r="BY334" s="894">
        <f t="shared" si="385"/>
        <v>0</v>
      </c>
      <c r="BZ334" s="877">
        <f t="shared" si="385"/>
        <v>0</v>
      </c>
      <c r="CA334" s="765">
        <f t="shared" ref="CA334:CG334" si="386">SUM(CA42,CA101,CA159,CA217,CA275)</f>
        <v>0</v>
      </c>
      <c r="CB334" s="882">
        <f t="shared" si="386"/>
        <v>0</v>
      </c>
      <c r="CC334" s="883">
        <f t="shared" si="386"/>
        <v>0</v>
      </c>
      <c r="CD334" s="901">
        <f t="shared" si="386"/>
        <v>0</v>
      </c>
      <c r="CE334" s="858">
        <f t="shared" si="386"/>
        <v>0</v>
      </c>
      <c r="CF334" s="859">
        <f t="shared" si="386"/>
        <v>0</v>
      </c>
      <c r="CG334" s="840">
        <f t="shared" si="386"/>
        <v>0</v>
      </c>
      <c r="CH334" s="765">
        <f t="shared" ref="CH334:CN334" si="387">SUM(CH42,CH101,CH159,CH217,CH275)</f>
        <v>0</v>
      </c>
      <c r="CI334" s="852">
        <f t="shared" si="387"/>
        <v>0</v>
      </c>
      <c r="CJ334" s="853">
        <f t="shared" si="387"/>
        <v>0</v>
      </c>
      <c r="CK334" s="846">
        <f t="shared" si="387"/>
        <v>0</v>
      </c>
      <c r="CL334" s="893">
        <f t="shared" si="387"/>
        <v>0</v>
      </c>
      <c r="CM334" s="894">
        <f t="shared" si="387"/>
        <v>0</v>
      </c>
      <c r="CN334" s="877">
        <f t="shared" si="387"/>
        <v>0</v>
      </c>
    </row>
    <row r="335" spans="1:92" x14ac:dyDescent="0.25">
      <c r="A335" s="757">
        <v>35</v>
      </c>
      <c r="B335" s="765">
        <f t="shared" si="156"/>
        <v>0</v>
      </c>
      <c r="C335" s="844">
        <f t="shared" ref="C335:AX335" si="388">SUM(C43,C102,C160,C218,C276)</f>
        <v>0</v>
      </c>
      <c r="D335" s="844">
        <f t="shared" si="388"/>
        <v>0</v>
      </c>
      <c r="E335" s="846">
        <f t="shared" si="388"/>
        <v>0</v>
      </c>
      <c r="F335" s="876">
        <f t="shared" si="388"/>
        <v>0</v>
      </c>
      <c r="G335" s="889">
        <f t="shared" si="388"/>
        <v>0</v>
      </c>
      <c r="H335" s="877">
        <f t="shared" si="388"/>
        <v>0</v>
      </c>
      <c r="I335" s="765">
        <f t="shared" si="388"/>
        <v>0</v>
      </c>
      <c r="J335" s="882">
        <f t="shared" si="388"/>
        <v>0</v>
      </c>
      <c r="K335" s="883">
        <f t="shared" si="388"/>
        <v>0</v>
      </c>
      <c r="L335" s="871">
        <f t="shared" si="388"/>
        <v>0</v>
      </c>
      <c r="M335" s="858">
        <f t="shared" si="388"/>
        <v>0</v>
      </c>
      <c r="N335" s="859">
        <f t="shared" si="388"/>
        <v>0</v>
      </c>
      <c r="O335" s="840">
        <f t="shared" si="388"/>
        <v>0</v>
      </c>
      <c r="P335" s="765">
        <f t="shared" si="388"/>
        <v>0</v>
      </c>
      <c r="Q335" s="852">
        <f t="shared" si="388"/>
        <v>0</v>
      </c>
      <c r="R335" s="853">
        <f t="shared" si="388"/>
        <v>0</v>
      </c>
      <c r="S335" s="846">
        <f t="shared" si="388"/>
        <v>0</v>
      </c>
      <c r="T335" s="893">
        <f t="shared" si="388"/>
        <v>0</v>
      </c>
      <c r="U335" s="894">
        <f t="shared" si="388"/>
        <v>0</v>
      </c>
      <c r="V335" s="877">
        <f t="shared" si="388"/>
        <v>0</v>
      </c>
      <c r="W335" s="958">
        <f t="shared" si="388"/>
        <v>5</v>
      </c>
      <c r="X335" s="882">
        <f t="shared" si="388"/>
        <v>0</v>
      </c>
      <c r="Y335" s="883">
        <f t="shared" si="388"/>
        <v>5</v>
      </c>
      <c r="Z335" s="901">
        <f t="shared" si="388"/>
        <v>0.4425</v>
      </c>
      <c r="AA335" s="858">
        <f t="shared" si="388"/>
        <v>0</v>
      </c>
      <c r="AB335" s="859">
        <f t="shared" si="388"/>
        <v>0</v>
      </c>
      <c r="AC335" s="840">
        <f t="shared" si="388"/>
        <v>0</v>
      </c>
      <c r="AD335" s="958">
        <f t="shared" si="388"/>
        <v>0</v>
      </c>
      <c r="AE335" s="1071">
        <f t="shared" si="388"/>
        <v>0</v>
      </c>
      <c r="AF335" s="1072">
        <f t="shared" si="388"/>
        <v>0</v>
      </c>
      <c r="AG335" s="1073">
        <f t="shared" si="388"/>
        <v>0</v>
      </c>
      <c r="AH335" s="1077">
        <f t="shared" si="388"/>
        <v>0</v>
      </c>
      <c r="AI335" s="1078">
        <f t="shared" si="388"/>
        <v>0</v>
      </c>
      <c r="AJ335" s="1080">
        <f t="shared" si="388"/>
        <v>0</v>
      </c>
      <c r="AK335" s="958">
        <f t="shared" si="388"/>
        <v>0</v>
      </c>
      <c r="AL335" s="882">
        <f t="shared" si="388"/>
        <v>0</v>
      </c>
      <c r="AM335" s="883">
        <f t="shared" si="388"/>
        <v>0</v>
      </c>
      <c r="AN335" s="901">
        <f t="shared" si="388"/>
        <v>0</v>
      </c>
      <c r="AO335" s="858">
        <f t="shared" si="388"/>
        <v>0</v>
      </c>
      <c r="AP335" s="859">
        <f t="shared" si="388"/>
        <v>0</v>
      </c>
      <c r="AQ335" s="840">
        <f t="shared" si="388"/>
        <v>0</v>
      </c>
      <c r="AR335" s="765">
        <f t="shared" si="388"/>
        <v>0</v>
      </c>
      <c r="AS335" s="852">
        <f t="shared" si="388"/>
        <v>0</v>
      </c>
      <c r="AT335" s="853">
        <f t="shared" si="388"/>
        <v>0</v>
      </c>
      <c r="AU335" s="846">
        <f t="shared" si="388"/>
        <v>0</v>
      </c>
      <c r="AV335" s="893">
        <f t="shared" si="388"/>
        <v>0</v>
      </c>
      <c r="AW335" s="894">
        <f t="shared" si="388"/>
        <v>0</v>
      </c>
      <c r="AX335" s="877">
        <f t="shared" si="388"/>
        <v>0</v>
      </c>
      <c r="AY335" s="765">
        <f t="shared" ref="AY335:BE335" si="389">SUM(AY43,AY102,AY160,AY218,AY276)</f>
        <v>0</v>
      </c>
      <c r="AZ335" s="882">
        <f t="shared" si="389"/>
        <v>0</v>
      </c>
      <c r="BA335" s="883">
        <f t="shared" si="389"/>
        <v>0</v>
      </c>
      <c r="BB335" s="901">
        <f t="shared" si="389"/>
        <v>0</v>
      </c>
      <c r="BC335" s="858">
        <f t="shared" si="389"/>
        <v>0</v>
      </c>
      <c r="BD335" s="859">
        <f t="shared" si="389"/>
        <v>0</v>
      </c>
      <c r="BE335" s="840">
        <f t="shared" si="389"/>
        <v>0</v>
      </c>
      <c r="BF335" s="765">
        <f t="shared" ref="BF335:BL335" si="390">SUM(BF43,BF102,BF160,BF218,BF276)</f>
        <v>0</v>
      </c>
      <c r="BG335" s="852">
        <f t="shared" si="390"/>
        <v>0</v>
      </c>
      <c r="BH335" s="853">
        <f t="shared" si="390"/>
        <v>0</v>
      </c>
      <c r="BI335" s="846">
        <f t="shared" si="390"/>
        <v>0</v>
      </c>
      <c r="BJ335" s="893">
        <f t="shared" si="390"/>
        <v>0</v>
      </c>
      <c r="BK335" s="894">
        <f t="shared" si="390"/>
        <v>0</v>
      </c>
      <c r="BL335" s="877">
        <f t="shared" si="390"/>
        <v>0</v>
      </c>
      <c r="BM335" s="765">
        <f t="shared" ref="BM335:BS335" si="391">SUM(BM43,BM102,BM160,BM218,BM276)</f>
        <v>0</v>
      </c>
      <c r="BN335" s="882">
        <f t="shared" si="391"/>
        <v>0</v>
      </c>
      <c r="BO335" s="883">
        <f t="shared" si="391"/>
        <v>0</v>
      </c>
      <c r="BP335" s="901">
        <f t="shared" si="391"/>
        <v>0</v>
      </c>
      <c r="BQ335" s="858">
        <f t="shared" si="391"/>
        <v>0</v>
      </c>
      <c r="BR335" s="859">
        <f t="shared" si="391"/>
        <v>0</v>
      </c>
      <c r="BS335" s="840">
        <f t="shared" si="391"/>
        <v>0</v>
      </c>
      <c r="BT335" s="765">
        <f t="shared" ref="BT335:BZ335" si="392">SUM(BT43,BT102,BT160,BT218,BT276)</f>
        <v>0</v>
      </c>
      <c r="BU335" s="852">
        <f t="shared" si="392"/>
        <v>0</v>
      </c>
      <c r="BV335" s="853">
        <f t="shared" si="392"/>
        <v>0</v>
      </c>
      <c r="BW335" s="846">
        <f t="shared" si="392"/>
        <v>0</v>
      </c>
      <c r="BX335" s="893">
        <f t="shared" si="392"/>
        <v>0</v>
      </c>
      <c r="BY335" s="894">
        <f t="shared" si="392"/>
        <v>0</v>
      </c>
      <c r="BZ335" s="877">
        <f t="shared" si="392"/>
        <v>0</v>
      </c>
      <c r="CA335" s="765">
        <f t="shared" ref="CA335:CG335" si="393">SUM(CA43,CA102,CA160,CA218,CA276)</f>
        <v>0</v>
      </c>
      <c r="CB335" s="882">
        <f t="shared" si="393"/>
        <v>0</v>
      </c>
      <c r="CC335" s="883">
        <f t="shared" si="393"/>
        <v>0</v>
      </c>
      <c r="CD335" s="901">
        <f t="shared" si="393"/>
        <v>0</v>
      </c>
      <c r="CE335" s="858">
        <f t="shared" si="393"/>
        <v>0</v>
      </c>
      <c r="CF335" s="859">
        <f t="shared" si="393"/>
        <v>0</v>
      </c>
      <c r="CG335" s="840">
        <f t="shared" si="393"/>
        <v>0</v>
      </c>
      <c r="CH335" s="765">
        <f t="shared" ref="CH335:CN335" si="394">SUM(CH43,CH102,CH160,CH218,CH276)</f>
        <v>0</v>
      </c>
      <c r="CI335" s="852">
        <f t="shared" si="394"/>
        <v>0</v>
      </c>
      <c r="CJ335" s="853">
        <f t="shared" si="394"/>
        <v>0</v>
      </c>
      <c r="CK335" s="846">
        <f t="shared" si="394"/>
        <v>0</v>
      </c>
      <c r="CL335" s="893">
        <f t="shared" si="394"/>
        <v>0</v>
      </c>
      <c r="CM335" s="894">
        <f t="shared" si="394"/>
        <v>0</v>
      </c>
      <c r="CN335" s="877">
        <f t="shared" si="394"/>
        <v>0</v>
      </c>
    </row>
    <row r="336" spans="1:92" x14ac:dyDescent="0.25">
      <c r="A336" s="757">
        <v>36</v>
      </c>
      <c r="B336" s="765">
        <f t="shared" si="156"/>
        <v>0</v>
      </c>
      <c r="C336" s="844">
        <f t="shared" ref="C336:AX336" si="395">SUM(C44,C103,C161,C219,C277)</f>
        <v>0</v>
      </c>
      <c r="D336" s="844">
        <f t="shared" si="395"/>
        <v>0</v>
      </c>
      <c r="E336" s="846">
        <f t="shared" si="395"/>
        <v>0</v>
      </c>
      <c r="F336" s="876">
        <f t="shared" si="395"/>
        <v>0</v>
      </c>
      <c r="G336" s="889">
        <f t="shared" si="395"/>
        <v>0</v>
      </c>
      <c r="H336" s="877">
        <f t="shared" si="395"/>
        <v>0</v>
      </c>
      <c r="I336" s="765">
        <f t="shared" si="395"/>
        <v>1</v>
      </c>
      <c r="J336" s="882">
        <f t="shared" si="395"/>
        <v>0.5</v>
      </c>
      <c r="K336" s="883">
        <f t="shared" si="395"/>
        <v>0</v>
      </c>
      <c r="L336" s="871">
        <f t="shared" si="395"/>
        <v>0.5</v>
      </c>
      <c r="M336" s="858">
        <f t="shared" si="395"/>
        <v>0.5</v>
      </c>
      <c r="N336" s="859">
        <f t="shared" si="395"/>
        <v>0</v>
      </c>
      <c r="O336" s="840">
        <f t="shared" si="395"/>
        <v>0.5</v>
      </c>
      <c r="P336" s="765">
        <f t="shared" si="395"/>
        <v>0</v>
      </c>
      <c r="Q336" s="852">
        <f t="shared" si="395"/>
        <v>0</v>
      </c>
      <c r="R336" s="853">
        <f t="shared" si="395"/>
        <v>0</v>
      </c>
      <c r="S336" s="846">
        <f t="shared" si="395"/>
        <v>0</v>
      </c>
      <c r="T336" s="893">
        <f t="shared" si="395"/>
        <v>0</v>
      </c>
      <c r="U336" s="894">
        <f t="shared" si="395"/>
        <v>0</v>
      </c>
      <c r="V336" s="877">
        <f t="shared" si="395"/>
        <v>0</v>
      </c>
      <c r="W336" s="958">
        <f t="shared" si="395"/>
        <v>5</v>
      </c>
      <c r="X336" s="882">
        <f t="shared" si="395"/>
        <v>5</v>
      </c>
      <c r="Y336" s="883">
        <f t="shared" si="395"/>
        <v>0</v>
      </c>
      <c r="Z336" s="901">
        <f t="shared" si="395"/>
        <v>5</v>
      </c>
      <c r="AA336" s="858">
        <f t="shared" si="395"/>
        <v>0</v>
      </c>
      <c r="AB336" s="859">
        <f t="shared" si="395"/>
        <v>0</v>
      </c>
      <c r="AC336" s="840">
        <f t="shared" si="395"/>
        <v>0</v>
      </c>
      <c r="AD336" s="958">
        <f t="shared" si="395"/>
        <v>0</v>
      </c>
      <c r="AE336" s="1071">
        <f t="shared" si="395"/>
        <v>0</v>
      </c>
      <c r="AF336" s="1072">
        <f t="shared" si="395"/>
        <v>0</v>
      </c>
      <c r="AG336" s="1073">
        <f t="shared" si="395"/>
        <v>0</v>
      </c>
      <c r="AH336" s="1077">
        <f t="shared" si="395"/>
        <v>0</v>
      </c>
      <c r="AI336" s="1078">
        <f t="shared" si="395"/>
        <v>0</v>
      </c>
      <c r="AJ336" s="1080">
        <f t="shared" si="395"/>
        <v>0</v>
      </c>
      <c r="AK336" s="958">
        <f t="shared" si="395"/>
        <v>0</v>
      </c>
      <c r="AL336" s="882">
        <f t="shared" si="395"/>
        <v>0</v>
      </c>
      <c r="AM336" s="883">
        <f t="shared" si="395"/>
        <v>0</v>
      </c>
      <c r="AN336" s="901">
        <f t="shared" si="395"/>
        <v>0</v>
      </c>
      <c r="AO336" s="858">
        <f t="shared" si="395"/>
        <v>0</v>
      </c>
      <c r="AP336" s="859">
        <f t="shared" si="395"/>
        <v>0</v>
      </c>
      <c r="AQ336" s="840">
        <f t="shared" si="395"/>
        <v>0</v>
      </c>
      <c r="AR336" s="765">
        <f t="shared" si="395"/>
        <v>0</v>
      </c>
      <c r="AS336" s="852">
        <f t="shared" si="395"/>
        <v>0</v>
      </c>
      <c r="AT336" s="853">
        <f t="shared" si="395"/>
        <v>0</v>
      </c>
      <c r="AU336" s="846">
        <f t="shared" si="395"/>
        <v>0</v>
      </c>
      <c r="AV336" s="893">
        <f t="shared" si="395"/>
        <v>0</v>
      </c>
      <c r="AW336" s="894">
        <f t="shared" si="395"/>
        <v>0</v>
      </c>
      <c r="AX336" s="877">
        <f t="shared" si="395"/>
        <v>0</v>
      </c>
      <c r="AY336" s="765">
        <f t="shared" ref="AY336:BE336" si="396">SUM(AY44,AY103,AY161,AY219,AY277)</f>
        <v>0</v>
      </c>
      <c r="AZ336" s="882">
        <f t="shared" si="396"/>
        <v>0</v>
      </c>
      <c r="BA336" s="883">
        <f t="shared" si="396"/>
        <v>0</v>
      </c>
      <c r="BB336" s="901">
        <f t="shared" si="396"/>
        <v>0</v>
      </c>
      <c r="BC336" s="858">
        <f t="shared" si="396"/>
        <v>0</v>
      </c>
      <c r="BD336" s="859">
        <f t="shared" si="396"/>
        <v>0</v>
      </c>
      <c r="BE336" s="840">
        <f t="shared" si="396"/>
        <v>0</v>
      </c>
      <c r="BF336" s="765">
        <f t="shared" ref="BF336:BL336" si="397">SUM(BF44,BF103,BF161,BF219,BF277)</f>
        <v>0</v>
      </c>
      <c r="BG336" s="852">
        <f t="shared" si="397"/>
        <v>0</v>
      </c>
      <c r="BH336" s="853">
        <f t="shared" si="397"/>
        <v>0</v>
      </c>
      <c r="BI336" s="846">
        <f t="shared" si="397"/>
        <v>0</v>
      </c>
      <c r="BJ336" s="893">
        <f t="shared" si="397"/>
        <v>0</v>
      </c>
      <c r="BK336" s="894">
        <f t="shared" si="397"/>
        <v>0</v>
      </c>
      <c r="BL336" s="877">
        <f t="shared" si="397"/>
        <v>0</v>
      </c>
      <c r="BM336" s="765">
        <f t="shared" ref="BM336:BS336" si="398">SUM(BM44,BM103,BM161,BM219,BM277)</f>
        <v>0</v>
      </c>
      <c r="BN336" s="882">
        <f t="shared" si="398"/>
        <v>0</v>
      </c>
      <c r="BO336" s="883">
        <f t="shared" si="398"/>
        <v>0</v>
      </c>
      <c r="BP336" s="901">
        <f t="shared" si="398"/>
        <v>0</v>
      </c>
      <c r="BQ336" s="858">
        <f t="shared" si="398"/>
        <v>0</v>
      </c>
      <c r="BR336" s="859">
        <f t="shared" si="398"/>
        <v>0</v>
      </c>
      <c r="BS336" s="840">
        <f t="shared" si="398"/>
        <v>0</v>
      </c>
      <c r="BT336" s="765">
        <f t="shared" ref="BT336:BZ336" si="399">SUM(BT44,BT103,BT161,BT219,BT277)</f>
        <v>0</v>
      </c>
      <c r="BU336" s="852">
        <f t="shared" si="399"/>
        <v>0</v>
      </c>
      <c r="BV336" s="853">
        <f t="shared" si="399"/>
        <v>0</v>
      </c>
      <c r="BW336" s="846">
        <f t="shared" si="399"/>
        <v>0</v>
      </c>
      <c r="BX336" s="893">
        <f t="shared" si="399"/>
        <v>0</v>
      </c>
      <c r="BY336" s="894">
        <f t="shared" si="399"/>
        <v>0</v>
      </c>
      <c r="BZ336" s="877">
        <f t="shared" si="399"/>
        <v>0</v>
      </c>
      <c r="CA336" s="765">
        <f t="shared" ref="CA336:CG336" si="400">SUM(CA44,CA103,CA161,CA219,CA277)</f>
        <v>0</v>
      </c>
      <c r="CB336" s="882">
        <f t="shared" si="400"/>
        <v>0</v>
      </c>
      <c r="CC336" s="883">
        <f t="shared" si="400"/>
        <v>0</v>
      </c>
      <c r="CD336" s="901">
        <f t="shared" si="400"/>
        <v>0</v>
      </c>
      <c r="CE336" s="858">
        <f t="shared" si="400"/>
        <v>0</v>
      </c>
      <c r="CF336" s="859">
        <f t="shared" si="400"/>
        <v>0</v>
      </c>
      <c r="CG336" s="840">
        <f t="shared" si="400"/>
        <v>0</v>
      </c>
      <c r="CH336" s="765">
        <f t="shared" ref="CH336:CN336" si="401">SUM(CH44,CH103,CH161,CH219,CH277)</f>
        <v>0</v>
      </c>
      <c r="CI336" s="852">
        <f t="shared" si="401"/>
        <v>0</v>
      </c>
      <c r="CJ336" s="853">
        <f t="shared" si="401"/>
        <v>0</v>
      </c>
      <c r="CK336" s="846">
        <f t="shared" si="401"/>
        <v>0</v>
      </c>
      <c r="CL336" s="893">
        <f t="shared" si="401"/>
        <v>0</v>
      </c>
      <c r="CM336" s="894">
        <f t="shared" si="401"/>
        <v>0</v>
      </c>
      <c r="CN336" s="877">
        <f t="shared" si="401"/>
        <v>0</v>
      </c>
    </row>
    <row r="337" spans="1:92" x14ac:dyDescent="0.25">
      <c r="A337" s="757">
        <v>37</v>
      </c>
      <c r="B337" s="765">
        <f t="shared" si="156"/>
        <v>0</v>
      </c>
      <c r="C337" s="844">
        <f t="shared" ref="C337:AX337" si="402">SUM(C45,C104,C162,C220,C278)</f>
        <v>0</v>
      </c>
      <c r="D337" s="844">
        <f t="shared" si="402"/>
        <v>0</v>
      </c>
      <c r="E337" s="846">
        <f t="shared" si="402"/>
        <v>0</v>
      </c>
      <c r="F337" s="876">
        <f t="shared" si="402"/>
        <v>0</v>
      </c>
      <c r="G337" s="889">
        <f t="shared" si="402"/>
        <v>0</v>
      </c>
      <c r="H337" s="877">
        <f t="shared" si="402"/>
        <v>0</v>
      </c>
      <c r="I337" s="765">
        <f t="shared" si="402"/>
        <v>0</v>
      </c>
      <c r="J337" s="882">
        <f t="shared" si="402"/>
        <v>0</v>
      </c>
      <c r="K337" s="883">
        <f t="shared" si="402"/>
        <v>0</v>
      </c>
      <c r="L337" s="871">
        <f t="shared" si="402"/>
        <v>0</v>
      </c>
      <c r="M337" s="858">
        <f t="shared" si="402"/>
        <v>0</v>
      </c>
      <c r="N337" s="859">
        <f t="shared" si="402"/>
        <v>0</v>
      </c>
      <c r="O337" s="840">
        <f t="shared" si="402"/>
        <v>0</v>
      </c>
      <c r="P337" s="765">
        <f t="shared" si="402"/>
        <v>0</v>
      </c>
      <c r="Q337" s="852">
        <f t="shared" si="402"/>
        <v>0</v>
      </c>
      <c r="R337" s="853">
        <f t="shared" si="402"/>
        <v>0</v>
      </c>
      <c r="S337" s="846">
        <f t="shared" si="402"/>
        <v>0</v>
      </c>
      <c r="T337" s="893">
        <f t="shared" si="402"/>
        <v>0</v>
      </c>
      <c r="U337" s="894">
        <f t="shared" si="402"/>
        <v>0</v>
      </c>
      <c r="V337" s="877">
        <f t="shared" si="402"/>
        <v>0</v>
      </c>
      <c r="W337" s="958">
        <f t="shared" si="402"/>
        <v>0</v>
      </c>
      <c r="X337" s="882">
        <f t="shared" si="402"/>
        <v>0</v>
      </c>
      <c r="Y337" s="883">
        <f t="shared" si="402"/>
        <v>0</v>
      </c>
      <c r="Z337" s="901">
        <f t="shared" si="402"/>
        <v>0</v>
      </c>
      <c r="AA337" s="858">
        <f t="shared" si="402"/>
        <v>0</v>
      </c>
      <c r="AB337" s="859">
        <f t="shared" si="402"/>
        <v>0</v>
      </c>
      <c r="AC337" s="840">
        <f t="shared" si="402"/>
        <v>0</v>
      </c>
      <c r="AD337" s="958">
        <f t="shared" si="402"/>
        <v>0</v>
      </c>
      <c r="AE337" s="1071">
        <f t="shared" si="402"/>
        <v>0</v>
      </c>
      <c r="AF337" s="1072">
        <f t="shared" si="402"/>
        <v>0</v>
      </c>
      <c r="AG337" s="1073">
        <f t="shared" si="402"/>
        <v>0</v>
      </c>
      <c r="AH337" s="1077">
        <f t="shared" si="402"/>
        <v>0</v>
      </c>
      <c r="AI337" s="1078">
        <f t="shared" si="402"/>
        <v>0</v>
      </c>
      <c r="AJ337" s="1080">
        <f t="shared" si="402"/>
        <v>0</v>
      </c>
      <c r="AK337" s="958">
        <f t="shared" si="402"/>
        <v>0</v>
      </c>
      <c r="AL337" s="882">
        <f t="shared" si="402"/>
        <v>0</v>
      </c>
      <c r="AM337" s="883">
        <f t="shared" si="402"/>
        <v>0</v>
      </c>
      <c r="AN337" s="901">
        <f t="shared" si="402"/>
        <v>0</v>
      </c>
      <c r="AO337" s="858">
        <f t="shared" si="402"/>
        <v>0</v>
      </c>
      <c r="AP337" s="859">
        <f t="shared" si="402"/>
        <v>0</v>
      </c>
      <c r="AQ337" s="840">
        <f t="shared" si="402"/>
        <v>0</v>
      </c>
      <c r="AR337" s="765">
        <f t="shared" si="402"/>
        <v>0</v>
      </c>
      <c r="AS337" s="852">
        <f t="shared" si="402"/>
        <v>0</v>
      </c>
      <c r="AT337" s="853">
        <f t="shared" si="402"/>
        <v>0</v>
      </c>
      <c r="AU337" s="846">
        <f t="shared" si="402"/>
        <v>0</v>
      </c>
      <c r="AV337" s="893">
        <f t="shared" si="402"/>
        <v>0</v>
      </c>
      <c r="AW337" s="894">
        <f t="shared" si="402"/>
        <v>0</v>
      </c>
      <c r="AX337" s="877">
        <f t="shared" si="402"/>
        <v>0</v>
      </c>
      <c r="AY337" s="765">
        <f t="shared" ref="AY337:BE337" si="403">SUM(AY45,AY104,AY162,AY220,AY278)</f>
        <v>0</v>
      </c>
      <c r="AZ337" s="882">
        <f t="shared" si="403"/>
        <v>0</v>
      </c>
      <c r="BA337" s="883">
        <f t="shared" si="403"/>
        <v>0</v>
      </c>
      <c r="BB337" s="901">
        <f t="shared" si="403"/>
        <v>0</v>
      </c>
      <c r="BC337" s="858">
        <f t="shared" si="403"/>
        <v>0</v>
      </c>
      <c r="BD337" s="859">
        <f t="shared" si="403"/>
        <v>0</v>
      </c>
      <c r="BE337" s="840">
        <f t="shared" si="403"/>
        <v>0</v>
      </c>
      <c r="BF337" s="765">
        <f t="shared" ref="BF337:BL337" si="404">SUM(BF45,BF104,BF162,BF220,BF278)</f>
        <v>0</v>
      </c>
      <c r="BG337" s="852">
        <f t="shared" si="404"/>
        <v>0</v>
      </c>
      <c r="BH337" s="853">
        <f t="shared" si="404"/>
        <v>0</v>
      </c>
      <c r="BI337" s="846">
        <f t="shared" si="404"/>
        <v>0</v>
      </c>
      <c r="BJ337" s="893">
        <f t="shared" si="404"/>
        <v>0</v>
      </c>
      <c r="BK337" s="894">
        <f t="shared" si="404"/>
        <v>0</v>
      </c>
      <c r="BL337" s="877">
        <f t="shared" si="404"/>
        <v>0</v>
      </c>
      <c r="BM337" s="765">
        <f t="shared" ref="BM337:BS337" si="405">SUM(BM45,BM104,BM162,BM220,BM278)</f>
        <v>0</v>
      </c>
      <c r="BN337" s="882">
        <f t="shared" si="405"/>
        <v>0</v>
      </c>
      <c r="BO337" s="883">
        <f t="shared" si="405"/>
        <v>0</v>
      </c>
      <c r="BP337" s="901">
        <f t="shared" si="405"/>
        <v>0</v>
      </c>
      <c r="BQ337" s="858">
        <f t="shared" si="405"/>
        <v>0</v>
      </c>
      <c r="BR337" s="859">
        <f t="shared" si="405"/>
        <v>0</v>
      </c>
      <c r="BS337" s="840">
        <f t="shared" si="405"/>
        <v>0</v>
      </c>
      <c r="BT337" s="765">
        <f t="shared" ref="BT337:BZ337" si="406">SUM(BT45,BT104,BT162,BT220,BT278)</f>
        <v>0</v>
      </c>
      <c r="BU337" s="852">
        <f t="shared" si="406"/>
        <v>0</v>
      </c>
      <c r="BV337" s="853">
        <f t="shared" si="406"/>
        <v>0</v>
      </c>
      <c r="BW337" s="846">
        <f t="shared" si="406"/>
        <v>0</v>
      </c>
      <c r="BX337" s="893">
        <f t="shared" si="406"/>
        <v>0</v>
      </c>
      <c r="BY337" s="894">
        <f t="shared" si="406"/>
        <v>0</v>
      </c>
      <c r="BZ337" s="877">
        <f t="shared" si="406"/>
        <v>0</v>
      </c>
      <c r="CA337" s="765">
        <f t="shared" ref="CA337:CG337" si="407">SUM(CA45,CA104,CA162,CA220,CA278)</f>
        <v>0</v>
      </c>
      <c r="CB337" s="882">
        <f t="shared" si="407"/>
        <v>0</v>
      </c>
      <c r="CC337" s="883">
        <f t="shared" si="407"/>
        <v>0</v>
      </c>
      <c r="CD337" s="901">
        <f t="shared" si="407"/>
        <v>0</v>
      </c>
      <c r="CE337" s="858">
        <f t="shared" si="407"/>
        <v>0</v>
      </c>
      <c r="CF337" s="859">
        <f t="shared" si="407"/>
        <v>0</v>
      </c>
      <c r="CG337" s="840">
        <f t="shared" si="407"/>
        <v>0</v>
      </c>
      <c r="CH337" s="765">
        <f t="shared" ref="CH337:CN337" si="408">SUM(CH45,CH104,CH162,CH220,CH278)</f>
        <v>0</v>
      </c>
      <c r="CI337" s="852">
        <f t="shared" si="408"/>
        <v>0</v>
      </c>
      <c r="CJ337" s="853">
        <f t="shared" si="408"/>
        <v>0</v>
      </c>
      <c r="CK337" s="846">
        <f t="shared" si="408"/>
        <v>0</v>
      </c>
      <c r="CL337" s="893">
        <f t="shared" si="408"/>
        <v>0</v>
      </c>
      <c r="CM337" s="894">
        <f t="shared" si="408"/>
        <v>0</v>
      </c>
      <c r="CN337" s="877">
        <f t="shared" si="408"/>
        <v>0</v>
      </c>
    </row>
    <row r="338" spans="1:92" x14ac:dyDescent="0.25">
      <c r="A338" s="757">
        <v>38</v>
      </c>
      <c r="B338" s="765">
        <f t="shared" si="156"/>
        <v>0</v>
      </c>
      <c r="C338" s="844">
        <f t="shared" ref="C338:AX338" si="409">SUM(C46,C105,C163,C221,C279)</f>
        <v>0</v>
      </c>
      <c r="D338" s="844">
        <f t="shared" si="409"/>
        <v>0</v>
      </c>
      <c r="E338" s="846">
        <f t="shared" si="409"/>
        <v>0</v>
      </c>
      <c r="F338" s="876">
        <f t="shared" si="409"/>
        <v>0</v>
      </c>
      <c r="G338" s="889">
        <f t="shared" si="409"/>
        <v>0</v>
      </c>
      <c r="H338" s="877">
        <f t="shared" si="409"/>
        <v>0</v>
      </c>
      <c r="I338" s="765">
        <f t="shared" si="409"/>
        <v>0</v>
      </c>
      <c r="J338" s="882">
        <f t="shared" si="409"/>
        <v>0</v>
      </c>
      <c r="K338" s="883">
        <f t="shared" si="409"/>
        <v>0</v>
      </c>
      <c r="L338" s="871">
        <f t="shared" si="409"/>
        <v>0</v>
      </c>
      <c r="M338" s="858">
        <f t="shared" si="409"/>
        <v>0</v>
      </c>
      <c r="N338" s="859">
        <f t="shared" si="409"/>
        <v>0</v>
      </c>
      <c r="O338" s="840">
        <f t="shared" si="409"/>
        <v>0</v>
      </c>
      <c r="P338" s="765">
        <f t="shared" si="409"/>
        <v>1</v>
      </c>
      <c r="Q338" s="852">
        <f t="shared" si="409"/>
        <v>1</v>
      </c>
      <c r="R338" s="853">
        <f t="shared" si="409"/>
        <v>0</v>
      </c>
      <c r="S338" s="846">
        <f t="shared" si="409"/>
        <v>1</v>
      </c>
      <c r="T338" s="893">
        <f t="shared" si="409"/>
        <v>0</v>
      </c>
      <c r="U338" s="894">
        <f t="shared" si="409"/>
        <v>0</v>
      </c>
      <c r="V338" s="877">
        <f t="shared" si="409"/>
        <v>0</v>
      </c>
      <c r="W338" s="958">
        <f t="shared" si="409"/>
        <v>0</v>
      </c>
      <c r="X338" s="882">
        <f t="shared" si="409"/>
        <v>0</v>
      </c>
      <c r="Y338" s="883">
        <f t="shared" si="409"/>
        <v>0</v>
      </c>
      <c r="Z338" s="901">
        <f t="shared" si="409"/>
        <v>0</v>
      </c>
      <c r="AA338" s="858">
        <f t="shared" si="409"/>
        <v>0</v>
      </c>
      <c r="AB338" s="859">
        <f t="shared" si="409"/>
        <v>0</v>
      </c>
      <c r="AC338" s="840">
        <f t="shared" si="409"/>
        <v>0</v>
      </c>
      <c r="AD338" s="958">
        <f t="shared" si="409"/>
        <v>0</v>
      </c>
      <c r="AE338" s="1071">
        <f t="shared" si="409"/>
        <v>0</v>
      </c>
      <c r="AF338" s="1072">
        <f t="shared" si="409"/>
        <v>0</v>
      </c>
      <c r="AG338" s="1073">
        <f t="shared" si="409"/>
        <v>0</v>
      </c>
      <c r="AH338" s="1077">
        <f t="shared" si="409"/>
        <v>0</v>
      </c>
      <c r="AI338" s="1078">
        <f t="shared" si="409"/>
        <v>0</v>
      </c>
      <c r="AJ338" s="1080">
        <f t="shared" si="409"/>
        <v>0</v>
      </c>
      <c r="AK338" s="958">
        <f t="shared" si="409"/>
        <v>0</v>
      </c>
      <c r="AL338" s="882">
        <f t="shared" si="409"/>
        <v>0</v>
      </c>
      <c r="AM338" s="883">
        <f t="shared" si="409"/>
        <v>0</v>
      </c>
      <c r="AN338" s="901">
        <f t="shared" si="409"/>
        <v>0</v>
      </c>
      <c r="AO338" s="858">
        <f t="shared" si="409"/>
        <v>0</v>
      </c>
      <c r="AP338" s="859">
        <f t="shared" si="409"/>
        <v>0</v>
      </c>
      <c r="AQ338" s="840">
        <f t="shared" si="409"/>
        <v>0</v>
      </c>
      <c r="AR338" s="765">
        <f t="shared" si="409"/>
        <v>0</v>
      </c>
      <c r="AS338" s="852">
        <f t="shared" si="409"/>
        <v>0</v>
      </c>
      <c r="AT338" s="853">
        <f t="shared" si="409"/>
        <v>0</v>
      </c>
      <c r="AU338" s="846">
        <f t="shared" si="409"/>
        <v>0</v>
      </c>
      <c r="AV338" s="893">
        <f t="shared" si="409"/>
        <v>0</v>
      </c>
      <c r="AW338" s="894">
        <f t="shared" si="409"/>
        <v>0</v>
      </c>
      <c r="AX338" s="877">
        <f t="shared" si="409"/>
        <v>0</v>
      </c>
      <c r="AY338" s="765">
        <f t="shared" ref="AY338:BE338" si="410">SUM(AY46,AY105,AY163,AY221,AY279)</f>
        <v>0</v>
      </c>
      <c r="AZ338" s="882">
        <f t="shared" si="410"/>
        <v>0</v>
      </c>
      <c r="BA338" s="883">
        <f t="shared" si="410"/>
        <v>0</v>
      </c>
      <c r="BB338" s="901">
        <f t="shared" si="410"/>
        <v>0</v>
      </c>
      <c r="BC338" s="858">
        <f t="shared" si="410"/>
        <v>0</v>
      </c>
      <c r="BD338" s="859">
        <f t="shared" si="410"/>
        <v>0</v>
      </c>
      <c r="BE338" s="840">
        <f t="shared" si="410"/>
        <v>0</v>
      </c>
      <c r="BF338" s="765">
        <f t="shared" ref="BF338:BL338" si="411">SUM(BF46,BF105,BF163,BF221,BF279)</f>
        <v>0</v>
      </c>
      <c r="BG338" s="852">
        <f t="shared" si="411"/>
        <v>0</v>
      </c>
      <c r="BH338" s="853">
        <f t="shared" si="411"/>
        <v>0</v>
      </c>
      <c r="BI338" s="846">
        <f t="shared" si="411"/>
        <v>0</v>
      </c>
      <c r="BJ338" s="893">
        <f t="shared" si="411"/>
        <v>0</v>
      </c>
      <c r="BK338" s="894">
        <f t="shared" si="411"/>
        <v>0</v>
      </c>
      <c r="BL338" s="877">
        <f t="shared" si="411"/>
        <v>0</v>
      </c>
      <c r="BM338" s="765">
        <f t="shared" ref="BM338:BS338" si="412">SUM(BM46,BM105,BM163,BM221,BM279)</f>
        <v>0</v>
      </c>
      <c r="BN338" s="882">
        <f t="shared" si="412"/>
        <v>0</v>
      </c>
      <c r="BO338" s="883">
        <f t="shared" si="412"/>
        <v>0</v>
      </c>
      <c r="BP338" s="901">
        <f t="shared" si="412"/>
        <v>0</v>
      </c>
      <c r="BQ338" s="858">
        <f t="shared" si="412"/>
        <v>0</v>
      </c>
      <c r="BR338" s="859">
        <f t="shared" si="412"/>
        <v>0</v>
      </c>
      <c r="BS338" s="840">
        <f t="shared" si="412"/>
        <v>0</v>
      </c>
      <c r="BT338" s="765">
        <f t="shared" ref="BT338:BZ338" si="413">SUM(BT46,BT105,BT163,BT221,BT279)</f>
        <v>0</v>
      </c>
      <c r="BU338" s="852">
        <f t="shared" si="413"/>
        <v>0</v>
      </c>
      <c r="BV338" s="853">
        <f t="shared" si="413"/>
        <v>0</v>
      </c>
      <c r="BW338" s="846">
        <f t="shared" si="413"/>
        <v>0</v>
      </c>
      <c r="BX338" s="893">
        <f t="shared" si="413"/>
        <v>0</v>
      </c>
      <c r="BY338" s="894">
        <f t="shared" si="413"/>
        <v>0</v>
      </c>
      <c r="BZ338" s="877">
        <f t="shared" si="413"/>
        <v>0</v>
      </c>
      <c r="CA338" s="765">
        <f t="shared" ref="CA338:CG338" si="414">SUM(CA46,CA105,CA163,CA221,CA279)</f>
        <v>0</v>
      </c>
      <c r="CB338" s="882">
        <f t="shared" si="414"/>
        <v>0</v>
      </c>
      <c r="CC338" s="883">
        <f t="shared" si="414"/>
        <v>0</v>
      </c>
      <c r="CD338" s="901">
        <f t="shared" si="414"/>
        <v>0</v>
      </c>
      <c r="CE338" s="858">
        <f t="shared" si="414"/>
        <v>0</v>
      </c>
      <c r="CF338" s="859">
        <f t="shared" si="414"/>
        <v>0</v>
      </c>
      <c r="CG338" s="840">
        <f t="shared" si="414"/>
        <v>0</v>
      </c>
      <c r="CH338" s="765">
        <f t="shared" ref="CH338:CN338" si="415">SUM(CH46,CH105,CH163,CH221,CH279)</f>
        <v>0</v>
      </c>
      <c r="CI338" s="852">
        <f t="shared" si="415"/>
        <v>0</v>
      </c>
      <c r="CJ338" s="853">
        <f t="shared" si="415"/>
        <v>0</v>
      </c>
      <c r="CK338" s="846">
        <f t="shared" si="415"/>
        <v>0</v>
      </c>
      <c r="CL338" s="893">
        <f t="shared" si="415"/>
        <v>0</v>
      </c>
      <c r="CM338" s="894">
        <f t="shared" si="415"/>
        <v>0</v>
      </c>
      <c r="CN338" s="877">
        <f t="shared" si="415"/>
        <v>0</v>
      </c>
    </row>
    <row r="339" spans="1:92" x14ac:dyDescent="0.25">
      <c r="A339" s="757">
        <v>39</v>
      </c>
      <c r="B339" s="765">
        <f t="shared" si="156"/>
        <v>1</v>
      </c>
      <c r="C339" s="844">
        <f t="shared" ref="C339:AX339" si="416">SUM(C47,C106,C164,C222,C280)</f>
        <v>1</v>
      </c>
      <c r="D339" s="844">
        <f t="shared" si="416"/>
        <v>0</v>
      </c>
      <c r="E339" s="846">
        <f t="shared" si="416"/>
        <v>1</v>
      </c>
      <c r="F339" s="876">
        <f t="shared" si="416"/>
        <v>0</v>
      </c>
      <c r="G339" s="889">
        <f t="shared" si="416"/>
        <v>0</v>
      </c>
      <c r="H339" s="877">
        <f t="shared" si="416"/>
        <v>0</v>
      </c>
      <c r="I339" s="765">
        <f t="shared" si="416"/>
        <v>0</v>
      </c>
      <c r="J339" s="882">
        <f t="shared" si="416"/>
        <v>0</v>
      </c>
      <c r="K339" s="883">
        <f t="shared" si="416"/>
        <v>0</v>
      </c>
      <c r="L339" s="871">
        <f t="shared" si="416"/>
        <v>0</v>
      </c>
      <c r="M339" s="858">
        <f t="shared" si="416"/>
        <v>0</v>
      </c>
      <c r="N339" s="859">
        <f t="shared" si="416"/>
        <v>0</v>
      </c>
      <c r="O339" s="840">
        <f t="shared" si="416"/>
        <v>0</v>
      </c>
      <c r="P339" s="765">
        <f t="shared" si="416"/>
        <v>1</v>
      </c>
      <c r="Q339" s="852">
        <f t="shared" si="416"/>
        <v>1</v>
      </c>
      <c r="R339" s="853">
        <f t="shared" si="416"/>
        <v>0</v>
      </c>
      <c r="S339" s="846">
        <f t="shared" si="416"/>
        <v>1</v>
      </c>
      <c r="T339" s="893">
        <f t="shared" si="416"/>
        <v>0</v>
      </c>
      <c r="U339" s="894">
        <f t="shared" si="416"/>
        <v>0</v>
      </c>
      <c r="V339" s="877">
        <f t="shared" si="416"/>
        <v>0</v>
      </c>
      <c r="W339" s="958">
        <f t="shared" si="416"/>
        <v>2</v>
      </c>
      <c r="X339" s="882">
        <f t="shared" si="416"/>
        <v>0</v>
      </c>
      <c r="Y339" s="883">
        <f t="shared" si="416"/>
        <v>0</v>
      </c>
      <c r="Z339" s="901">
        <f t="shared" si="416"/>
        <v>0</v>
      </c>
      <c r="AA339" s="858">
        <f t="shared" si="416"/>
        <v>2</v>
      </c>
      <c r="AB339" s="859">
        <f t="shared" si="416"/>
        <v>0</v>
      </c>
      <c r="AC339" s="840">
        <f t="shared" si="416"/>
        <v>2</v>
      </c>
      <c r="AD339" s="958">
        <f t="shared" si="416"/>
        <v>0</v>
      </c>
      <c r="AE339" s="1071">
        <f t="shared" si="416"/>
        <v>0</v>
      </c>
      <c r="AF339" s="1072">
        <f t="shared" si="416"/>
        <v>0</v>
      </c>
      <c r="AG339" s="1073">
        <f t="shared" si="416"/>
        <v>0</v>
      </c>
      <c r="AH339" s="1077">
        <f t="shared" si="416"/>
        <v>0</v>
      </c>
      <c r="AI339" s="1078">
        <f t="shared" si="416"/>
        <v>0</v>
      </c>
      <c r="AJ339" s="1080">
        <f t="shared" si="416"/>
        <v>0</v>
      </c>
      <c r="AK339" s="958">
        <f t="shared" si="416"/>
        <v>0</v>
      </c>
      <c r="AL339" s="882">
        <f t="shared" si="416"/>
        <v>0</v>
      </c>
      <c r="AM339" s="883">
        <f t="shared" si="416"/>
        <v>0</v>
      </c>
      <c r="AN339" s="901">
        <f t="shared" si="416"/>
        <v>0</v>
      </c>
      <c r="AO339" s="858">
        <f t="shared" si="416"/>
        <v>0</v>
      </c>
      <c r="AP339" s="859">
        <f t="shared" si="416"/>
        <v>0</v>
      </c>
      <c r="AQ339" s="840">
        <f t="shared" si="416"/>
        <v>0</v>
      </c>
      <c r="AR339" s="765">
        <f t="shared" si="416"/>
        <v>0</v>
      </c>
      <c r="AS339" s="852">
        <f t="shared" si="416"/>
        <v>0</v>
      </c>
      <c r="AT339" s="853">
        <f t="shared" si="416"/>
        <v>0</v>
      </c>
      <c r="AU339" s="846">
        <f t="shared" si="416"/>
        <v>0</v>
      </c>
      <c r="AV339" s="893">
        <f t="shared" si="416"/>
        <v>0</v>
      </c>
      <c r="AW339" s="894">
        <f t="shared" si="416"/>
        <v>0</v>
      </c>
      <c r="AX339" s="877">
        <f t="shared" si="416"/>
        <v>0</v>
      </c>
      <c r="AY339" s="765">
        <f t="shared" ref="AY339:BE339" si="417">SUM(AY47,AY106,AY164,AY222,AY280)</f>
        <v>0</v>
      </c>
      <c r="AZ339" s="882">
        <f t="shared" si="417"/>
        <v>0</v>
      </c>
      <c r="BA339" s="883">
        <f t="shared" si="417"/>
        <v>0</v>
      </c>
      <c r="BB339" s="901">
        <f t="shared" si="417"/>
        <v>0</v>
      </c>
      <c r="BC339" s="858">
        <f t="shared" si="417"/>
        <v>0</v>
      </c>
      <c r="BD339" s="859">
        <f t="shared" si="417"/>
        <v>0</v>
      </c>
      <c r="BE339" s="840">
        <f t="shared" si="417"/>
        <v>0</v>
      </c>
      <c r="BF339" s="765">
        <f t="shared" ref="BF339:BL339" si="418">SUM(BF47,BF106,BF164,BF222,BF280)</f>
        <v>1</v>
      </c>
      <c r="BG339" s="852">
        <f t="shared" si="418"/>
        <v>0</v>
      </c>
      <c r="BH339" s="853">
        <f t="shared" si="418"/>
        <v>0</v>
      </c>
      <c r="BI339" s="846">
        <f t="shared" si="418"/>
        <v>0</v>
      </c>
      <c r="BJ339" s="893">
        <f t="shared" si="418"/>
        <v>1</v>
      </c>
      <c r="BK339" s="894">
        <f t="shared" si="418"/>
        <v>0</v>
      </c>
      <c r="BL339" s="877">
        <f t="shared" si="418"/>
        <v>1</v>
      </c>
      <c r="BM339" s="765">
        <f t="shared" ref="BM339:BS339" si="419">SUM(BM47,BM106,BM164,BM222,BM280)</f>
        <v>0</v>
      </c>
      <c r="BN339" s="882">
        <f t="shared" si="419"/>
        <v>0</v>
      </c>
      <c r="BO339" s="883">
        <f t="shared" si="419"/>
        <v>0</v>
      </c>
      <c r="BP339" s="901">
        <f t="shared" si="419"/>
        <v>0</v>
      </c>
      <c r="BQ339" s="858">
        <f t="shared" si="419"/>
        <v>0</v>
      </c>
      <c r="BR339" s="859">
        <f t="shared" si="419"/>
        <v>0</v>
      </c>
      <c r="BS339" s="840">
        <f t="shared" si="419"/>
        <v>0</v>
      </c>
      <c r="BT339" s="765">
        <f t="shared" ref="BT339:BZ339" si="420">SUM(BT47,BT106,BT164,BT222,BT280)</f>
        <v>0</v>
      </c>
      <c r="BU339" s="852">
        <f t="shared" si="420"/>
        <v>0</v>
      </c>
      <c r="BV339" s="853">
        <f t="shared" si="420"/>
        <v>0</v>
      </c>
      <c r="BW339" s="846">
        <f t="shared" si="420"/>
        <v>0</v>
      </c>
      <c r="BX339" s="893">
        <f t="shared" si="420"/>
        <v>0</v>
      </c>
      <c r="BY339" s="894">
        <f t="shared" si="420"/>
        <v>0</v>
      </c>
      <c r="BZ339" s="877">
        <f t="shared" si="420"/>
        <v>0</v>
      </c>
      <c r="CA339" s="765">
        <f t="shared" ref="CA339:CG339" si="421">SUM(CA47,CA106,CA164,CA222,CA280)</f>
        <v>0</v>
      </c>
      <c r="CB339" s="882">
        <f t="shared" si="421"/>
        <v>0</v>
      </c>
      <c r="CC339" s="883">
        <f t="shared" si="421"/>
        <v>0</v>
      </c>
      <c r="CD339" s="901">
        <f t="shared" si="421"/>
        <v>0</v>
      </c>
      <c r="CE339" s="858">
        <f t="shared" si="421"/>
        <v>0</v>
      </c>
      <c r="CF339" s="859">
        <f t="shared" si="421"/>
        <v>0</v>
      </c>
      <c r="CG339" s="840">
        <f t="shared" si="421"/>
        <v>0</v>
      </c>
      <c r="CH339" s="765">
        <f t="shared" ref="CH339:CN339" si="422">SUM(CH47,CH106,CH164,CH222,CH280)</f>
        <v>0</v>
      </c>
      <c r="CI339" s="852">
        <f t="shared" si="422"/>
        <v>0</v>
      </c>
      <c r="CJ339" s="853">
        <f t="shared" si="422"/>
        <v>0</v>
      </c>
      <c r="CK339" s="846">
        <f t="shared" si="422"/>
        <v>0</v>
      </c>
      <c r="CL339" s="893">
        <f t="shared" si="422"/>
        <v>0</v>
      </c>
      <c r="CM339" s="894">
        <f t="shared" si="422"/>
        <v>0</v>
      </c>
      <c r="CN339" s="877">
        <f t="shared" si="422"/>
        <v>0</v>
      </c>
    </row>
    <row r="340" spans="1:92" x14ac:dyDescent="0.25">
      <c r="A340" s="757">
        <v>40</v>
      </c>
      <c r="B340" s="765">
        <f t="shared" si="156"/>
        <v>2</v>
      </c>
      <c r="C340" s="844">
        <f t="shared" ref="C340:AX340" si="423">SUM(C48,C107,C165,C223,C281)</f>
        <v>2</v>
      </c>
      <c r="D340" s="844">
        <f t="shared" si="423"/>
        <v>0</v>
      </c>
      <c r="E340" s="846">
        <f t="shared" si="423"/>
        <v>2</v>
      </c>
      <c r="F340" s="876">
        <f t="shared" si="423"/>
        <v>0</v>
      </c>
      <c r="G340" s="889">
        <f t="shared" si="423"/>
        <v>0</v>
      </c>
      <c r="H340" s="877">
        <f t="shared" si="423"/>
        <v>0</v>
      </c>
      <c r="I340" s="765">
        <f t="shared" si="423"/>
        <v>0</v>
      </c>
      <c r="J340" s="882">
        <f t="shared" si="423"/>
        <v>0</v>
      </c>
      <c r="K340" s="883">
        <f t="shared" si="423"/>
        <v>0</v>
      </c>
      <c r="L340" s="871">
        <f t="shared" si="423"/>
        <v>0</v>
      </c>
      <c r="M340" s="858">
        <f t="shared" si="423"/>
        <v>0</v>
      </c>
      <c r="N340" s="859">
        <f t="shared" si="423"/>
        <v>0</v>
      </c>
      <c r="O340" s="840">
        <f t="shared" si="423"/>
        <v>0</v>
      </c>
      <c r="P340" s="765">
        <f t="shared" si="423"/>
        <v>1</v>
      </c>
      <c r="Q340" s="852">
        <f t="shared" si="423"/>
        <v>1</v>
      </c>
      <c r="R340" s="853">
        <f t="shared" si="423"/>
        <v>0</v>
      </c>
      <c r="S340" s="846">
        <f t="shared" si="423"/>
        <v>0</v>
      </c>
      <c r="T340" s="893">
        <f t="shared" si="423"/>
        <v>0</v>
      </c>
      <c r="U340" s="894">
        <f t="shared" si="423"/>
        <v>0</v>
      </c>
      <c r="V340" s="877">
        <f t="shared" si="423"/>
        <v>0</v>
      </c>
      <c r="W340" s="958">
        <f t="shared" si="423"/>
        <v>1</v>
      </c>
      <c r="X340" s="882">
        <f t="shared" si="423"/>
        <v>0</v>
      </c>
      <c r="Y340" s="883">
        <f t="shared" si="423"/>
        <v>0</v>
      </c>
      <c r="Z340" s="901">
        <f t="shared" si="423"/>
        <v>0</v>
      </c>
      <c r="AA340" s="858">
        <f t="shared" si="423"/>
        <v>1</v>
      </c>
      <c r="AB340" s="859">
        <f t="shared" si="423"/>
        <v>0</v>
      </c>
      <c r="AC340" s="840">
        <f t="shared" si="423"/>
        <v>1</v>
      </c>
      <c r="AD340" s="958">
        <f t="shared" si="423"/>
        <v>0</v>
      </c>
      <c r="AE340" s="1071">
        <f t="shared" si="423"/>
        <v>0</v>
      </c>
      <c r="AF340" s="1072">
        <f t="shared" si="423"/>
        <v>0</v>
      </c>
      <c r="AG340" s="1073">
        <f t="shared" si="423"/>
        <v>0</v>
      </c>
      <c r="AH340" s="1077">
        <f t="shared" si="423"/>
        <v>0</v>
      </c>
      <c r="AI340" s="1078">
        <f t="shared" si="423"/>
        <v>0</v>
      </c>
      <c r="AJ340" s="1080">
        <f t="shared" si="423"/>
        <v>0</v>
      </c>
      <c r="AK340" s="958">
        <f t="shared" si="423"/>
        <v>0</v>
      </c>
      <c r="AL340" s="882">
        <f t="shared" si="423"/>
        <v>0</v>
      </c>
      <c r="AM340" s="883">
        <f t="shared" si="423"/>
        <v>0</v>
      </c>
      <c r="AN340" s="901">
        <f t="shared" si="423"/>
        <v>0</v>
      </c>
      <c r="AO340" s="858">
        <f t="shared" si="423"/>
        <v>0</v>
      </c>
      <c r="AP340" s="859">
        <f t="shared" si="423"/>
        <v>0</v>
      </c>
      <c r="AQ340" s="840">
        <f t="shared" si="423"/>
        <v>0</v>
      </c>
      <c r="AR340" s="765">
        <f t="shared" si="423"/>
        <v>0</v>
      </c>
      <c r="AS340" s="852">
        <f t="shared" si="423"/>
        <v>3</v>
      </c>
      <c r="AT340" s="853">
        <f t="shared" si="423"/>
        <v>0</v>
      </c>
      <c r="AU340" s="846">
        <f t="shared" si="423"/>
        <v>3</v>
      </c>
      <c r="AV340" s="893">
        <f t="shared" si="423"/>
        <v>0</v>
      </c>
      <c r="AW340" s="894">
        <f t="shared" si="423"/>
        <v>0</v>
      </c>
      <c r="AX340" s="877">
        <f t="shared" si="423"/>
        <v>0</v>
      </c>
      <c r="AY340" s="765">
        <f t="shared" ref="AY340:BE340" si="424">SUM(AY48,AY107,AY165,AY223,AY281)</f>
        <v>0</v>
      </c>
      <c r="AZ340" s="882">
        <f t="shared" si="424"/>
        <v>0</v>
      </c>
      <c r="BA340" s="883">
        <f t="shared" si="424"/>
        <v>0</v>
      </c>
      <c r="BB340" s="901">
        <f t="shared" si="424"/>
        <v>0</v>
      </c>
      <c r="BC340" s="858">
        <f t="shared" si="424"/>
        <v>0</v>
      </c>
      <c r="BD340" s="859">
        <f t="shared" si="424"/>
        <v>0</v>
      </c>
      <c r="BE340" s="840">
        <f t="shared" si="424"/>
        <v>0</v>
      </c>
      <c r="BF340" s="765">
        <f t="shared" ref="BF340:BL340" si="425">SUM(BF48,BF107,BF165,BF223,BF281)</f>
        <v>0</v>
      </c>
      <c r="BG340" s="852">
        <f t="shared" si="425"/>
        <v>0</v>
      </c>
      <c r="BH340" s="853">
        <f t="shared" si="425"/>
        <v>0</v>
      </c>
      <c r="BI340" s="846">
        <f t="shared" si="425"/>
        <v>0</v>
      </c>
      <c r="BJ340" s="893">
        <f t="shared" si="425"/>
        <v>0</v>
      </c>
      <c r="BK340" s="894">
        <f t="shared" si="425"/>
        <v>0</v>
      </c>
      <c r="BL340" s="877">
        <f t="shared" si="425"/>
        <v>0</v>
      </c>
      <c r="BM340" s="765">
        <f t="shared" ref="BM340:BS340" si="426">SUM(BM48,BM107,BM165,BM223,BM281)</f>
        <v>0</v>
      </c>
      <c r="BN340" s="882">
        <f t="shared" si="426"/>
        <v>0</v>
      </c>
      <c r="BO340" s="883">
        <f t="shared" si="426"/>
        <v>0</v>
      </c>
      <c r="BP340" s="901">
        <f t="shared" si="426"/>
        <v>0</v>
      </c>
      <c r="BQ340" s="858">
        <f t="shared" si="426"/>
        <v>0</v>
      </c>
      <c r="BR340" s="859">
        <f t="shared" si="426"/>
        <v>0</v>
      </c>
      <c r="BS340" s="840">
        <f t="shared" si="426"/>
        <v>0</v>
      </c>
      <c r="BT340" s="765">
        <f t="shared" ref="BT340:BZ340" si="427">SUM(BT48,BT107,BT165,BT223,BT281)</f>
        <v>3</v>
      </c>
      <c r="BU340" s="852">
        <f t="shared" si="427"/>
        <v>0</v>
      </c>
      <c r="BV340" s="853">
        <f t="shared" si="427"/>
        <v>0</v>
      </c>
      <c r="BW340" s="846">
        <f t="shared" si="427"/>
        <v>0</v>
      </c>
      <c r="BX340" s="893">
        <f t="shared" si="427"/>
        <v>3</v>
      </c>
      <c r="BY340" s="894">
        <f t="shared" si="427"/>
        <v>0</v>
      </c>
      <c r="BZ340" s="877">
        <f t="shared" si="427"/>
        <v>3</v>
      </c>
      <c r="CA340" s="765">
        <f t="shared" ref="CA340:CG340" si="428">SUM(CA48,CA107,CA165,CA223,CA281)</f>
        <v>0</v>
      </c>
      <c r="CB340" s="882">
        <f t="shared" si="428"/>
        <v>0</v>
      </c>
      <c r="CC340" s="883">
        <f t="shared" si="428"/>
        <v>0</v>
      </c>
      <c r="CD340" s="901">
        <f t="shared" si="428"/>
        <v>0</v>
      </c>
      <c r="CE340" s="858">
        <f t="shared" si="428"/>
        <v>0</v>
      </c>
      <c r="CF340" s="859">
        <f t="shared" si="428"/>
        <v>0</v>
      </c>
      <c r="CG340" s="840">
        <f t="shared" si="428"/>
        <v>0</v>
      </c>
      <c r="CH340" s="765">
        <f t="shared" ref="CH340:CN340" si="429">SUM(CH48,CH107,CH165,CH223,CH281)</f>
        <v>0</v>
      </c>
      <c r="CI340" s="852">
        <f t="shared" si="429"/>
        <v>0</v>
      </c>
      <c r="CJ340" s="853">
        <f t="shared" si="429"/>
        <v>0</v>
      </c>
      <c r="CK340" s="846">
        <f t="shared" si="429"/>
        <v>0</v>
      </c>
      <c r="CL340" s="893">
        <f t="shared" si="429"/>
        <v>0</v>
      </c>
      <c r="CM340" s="894">
        <f t="shared" si="429"/>
        <v>0</v>
      </c>
      <c r="CN340" s="877">
        <f t="shared" si="429"/>
        <v>0</v>
      </c>
    </row>
    <row r="341" spans="1:92" x14ac:dyDescent="0.25">
      <c r="A341" s="757">
        <v>41</v>
      </c>
      <c r="B341" s="765">
        <f t="shared" si="156"/>
        <v>3</v>
      </c>
      <c r="C341" s="844">
        <f t="shared" ref="C341:AX341" si="430">SUM(C49,C108,C166,C224,C282)</f>
        <v>3</v>
      </c>
      <c r="D341" s="844">
        <f t="shared" si="430"/>
        <v>0</v>
      </c>
      <c r="E341" s="846">
        <f t="shared" si="430"/>
        <v>3</v>
      </c>
      <c r="F341" s="876">
        <f t="shared" si="430"/>
        <v>0</v>
      </c>
      <c r="G341" s="889">
        <f t="shared" si="430"/>
        <v>0</v>
      </c>
      <c r="H341" s="877">
        <f t="shared" si="430"/>
        <v>0</v>
      </c>
      <c r="I341" s="765">
        <f t="shared" si="430"/>
        <v>0</v>
      </c>
      <c r="J341" s="882">
        <f t="shared" si="430"/>
        <v>0</v>
      </c>
      <c r="K341" s="883">
        <f t="shared" si="430"/>
        <v>0</v>
      </c>
      <c r="L341" s="871">
        <f t="shared" si="430"/>
        <v>0</v>
      </c>
      <c r="M341" s="858">
        <f t="shared" si="430"/>
        <v>0</v>
      </c>
      <c r="N341" s="859">
        <f t="shared" si="430"/>
        <v>0</v>
      </c>
      <c r="O341" s="840">
        <f t="shared" si="430"/>
        <v>0</v>
      </c>
      <c r="P341" s="765">
        <f t="shared" si="430"/>
        <v>3</v>
      </c>
      <c r="Q341" s="852">
        <f t="shared" si="430"/>
        <v>3</v>
      </c>
      <c r="R341" s="853">
        <f t="shared" si="430"/>
        <v>0</v>
      </c>
      <c r="S341" s="846">
        <f t="shared" si="430"/>
        <v>1</v>
      </c>
      <c r="T341" s="893">
        <f t="shared" si="430"/>
        <v>0</v>
      </c>
      <c r="U341" s="894">
        <f t="shared" si="430"/>
        <v>0</v>
      </c>
      <c r="V341" s="877">
        <f t="shared" si="430"/>
        <v>0</v>
      </c>
      <c r="W341" s="958">
        <f t="shared" si="430"/>
        <v>0</v>
      </c>
      <c r="X341" s="882">
        <f t="shared" si="430"/>
        <v>0</v>
      </c>
      <c r="Y341" s="883">
        <f t="shared" si="430"/>
        <v>0</v>
      </c>
      <c r="Z341" s="901">
        <f t="shared" si="430"/>
        <v>0</v>
      </c>
      <c r="AA341" s="858">
        <f t="shared" si="430"/>
        <v>0</v>
      </c>
      <c r="AB341" s="859">
        <f t="shared" si="430"/>
        <v>0</v>
      </c>
      <c r="AC341" s="840">
        <f t="shared" si="430"/>
        <v>0</v>
      </c>
      <c r="AD341" s="958">
        <f t="shared" si="430"/>
        <v>0</v>
      </c>
      <c r="AE341" s="1071">
        <f t="shared" si="430"/>
        <v>0</v>
      </c>
      <c r="AF341" s="1072">
        <f t="shared" si="430"/>
        <v>0</v>
      </c>
      <c r="AG341" s="1073">
        <f t="shared" si="430"/>
        <v>0</v>
      </c>
      <c r="AH341" s="1077">
        <f t="shared" si="430"/>
        <v>0</v>
      </c>
      <c r="AI341" s="1078">
        <f t="shared" si="430"/>
        <v>0</v>
      </c>
      <c r="AJ341" s="1080">
        <f t="shared" si="430"/>
        <v>0</v>
      </c>
      <c r="AK341" s="958">
        <f t="shared" si="430"/>
        <v>0</v>
      </c>
      <c r="AL341" s="882">
        <f t="shared" si="430"/>
        <v>0</v>
      </c>
      <c r="AM341" s="883">
        <f t="shared" si="430"/>
        <v>0</v>
      </c>
      <c r="AN341" s="901">
        <f t="shared" si="430"/>
        <v>0</v>
      </c>
      <c r="AO341" s="858">
        <f t="shared" si="430"/>
        <v>0</v>
      </c>
      <c r="AP341" s="859">
        <f t="shared" si="430"/>
        <v>0</v>
      </c>
      <c r="AQ341" s="840">
        <f t="shared" si="430"/>
        <v>0</v>
      </c>
      <c r="AR341" s="765">
        <f t="shared" si="430"/>
        <v>0</v>
      </c>
      <c r="AS341" s="852">
        <f t="shared" si="430"/>
        <v>1</v>
      </c>
      <c r="AT341" s="853">
        <f t="shared" si="430"/>
        <v>0</v>
      </c>
      <c r="AU341" s="846">
        <f t="shared" si="430"/>
        <v>1</v>
      </c>
      <c r="AV341" s="893">
        <f t="shared" si="430"/>
        <v>4</v>
      </c>
      <c r="AW341" s="894">
        <f t="shared" si="430"/>
        <v>0</v>
      </c>
      <c r="AX341" s="877">
        <f t="shared" si="430"/>
        <v>4</v>
      </c>
      <c r="AY341" s="765">
        <f t="shared" ref="AY341:BE341" si="431">SUM(AY49,AY108,AY166,AY224,AY282)</f>
        <v>2</v>
      </c>
      <c r="AZ341" s="882">
        <f t="shared" si="431"/>
        <v>0</v>
      </c>
      <c r="BA341" s="883">
        <f t="shared" si="431"/>
        <v>0</v>
      </c>
      <c r="BB341" s="901">
        <f t="shared" si="431"/>
        <v>0</v>
      </c>
      <c r="BC341" s="858">
        <f t="shared" si="431"/>
        <v>2</v>
      </c>
      <c r="BD341" s="859">
        <f t="shared" si="431"/>
        <v>0</v>
      </c>
      <c r="BE341" s="840">
        <f t="shared" si="431"/>
        <v>2</v>
      </c>
      <c r="BF341" s="765">
        <f t="shared" ref="BF341:BL341" si="432">SUM(BF49,BF108,BF166,BF224,BF282)</f>
        <v>2</v>
      </c>
      <c r="BG341" s="852">
        <f t="shared" si="432"/>
        <v>0</v>
      </c>
      <c r="BH341" s="853">
        <f t="shared" si="432"/>
        <v>0</v>
      </c>
      <c r="BI341" s="846">
        <f t="shared" si="432"/>
        <v>0</v>
      </c>
      <c r="BJ341" s="893">
        <f t="shared" si="432"/>
        <v>4</v>
      </c>
      <c r="BK341" s="894">
        <f t="shared" si="432"/>
        <v>0</v>
      </c>
      <c r="BL341" s="877">
        <f t="shared" si="432"/>
        <v>4</v>
      </c>
      <c r="BM341" s="765">
        <f t="shared" ref="BM341:BS341" si="433">SUM(BM49,BM108,BM166,BM224,BM282)</f>
        <v>0</v>
      </c>
      <c r="BN341" s="882">
        <f t="shared" si="433"/>
        <v>0</v>
      </c>
      <c r="BO341" s="883">
        <f t="shared" si="433"/>
        <v>0</v>
      </c>
      <c r="BP341" s="901">
        <f t="shared" si="433"/>
        <v>0</v>
      </c>
      <c r="BQ341" s="858">
        <f t="shared" si="433"/>
        <v>0</v>
      </c>
      <c r="BR341" s="859">
        <f t="shared" si="433"/>
        <v>0</v>
      </c>
      <c r="BS341" s="840">
        <f t="shared" si="433"/>
        <v>0</v>
      </c>
      <c r="BT341" s="765">
        <f t="shared" ref="BT341:BZ341" si="434">SUM(BT49,BT108,BT166,BT224,BT282)</f>
        <v>0</v>
      </c>
      <c r="BU341" s="852">
        <f t="shared" si="434"/>
        <v>0</v>
      </c>
      <c r="BV341" s="853">
        <f t="shared" si="434"/>
        <v>0</v>
      </c>
      <c r="BW341" s="846">
        <f t="shared" si="434"/>
        <v>0</v>
      </c>
      <c r="BX341" s="893">
        <f t="shared" si="434"/>
        <v>0</v>
      </c>
      <c r="BY341" s="894">
        <f t="shared" si="434"/>
        <v>0</v>
      </c>
      <c r="BZ341" s="877">
        <f t="shared" si="434"/>
        <v>0</v>
      </c>
      <c r="CA341" s="765">
        <f t="shared" ref="CA341:CG341" si="435">SUM(CA49,CA108,CA166,CA224,CA282)</f>
        <v>0</v>
      </c>
      <c r="CB341" s="882">
        <f t="shared" si="435"/>
        <v>0</v>
      </c>
      <c r="CC341" s="883">
        <f t="shared" si="435"/>
        <v>0</v>
      </c>
      <c r="CD341" s="901">
        <f t="shared" si="435"/>
        <v>0</v>
      </c>
      <c r="CE341" s="858">
        <f t="shared" si="435"/>
        <v>0</v>
      </c>
      <c r="CF341" s="859">
        <f t="shared" si="435"/>
        <v>0</v>
      </c>
      <c r="CG341" s="840">
        <f t="shared" si="435"/>
        <v>0</v>
      </c>
      <c r="CH341" s="765">
        <f t="shared" ref="CH341:CN341" si="436">SUM(CH49,CH108,CH166,CH224,CH282)</f>
        <v>0</v>
      </c>
      <c r="CI341" s="852">
        <f t="shared" si="436"/>
        <v>0</v>
      </c>
      <c r="CJ341" s="853">
        <f t="shared" si="436"/>
        <v>0</v>
      </c>
      <c r="CK341" s="846">
        <f t="shared" si="436"/>
        <v>0</v>
      </c>
      <c r="CL341" s="893">
        <f t="shared" si="436"/>
        <v>0</v>
      </c>
      <c r="CM341" s="894">
        <f t="shared" si="436"/>
        <v>0</v>
      </c>
      <c r="CN341" s="877">
        <f t="shared" si="436"/>
        <v>0</v>
      </c>
    </row>
    <row r="342" spans="1:92" x14ac:dyDescent="0.25">
      <c r="A342" s="757">
        <v>42</v>
      </c>
      <c r="B342" s="765">
        <f t="shared" si="156"/>
        <v>4</v>
      </c>
      <c r="C342" s="844">
        <f t="shared" ref="C342:AX342" si="437">SUM(C50,C109,C167,C225,C283)</f>
        <v>3.666666666666667</v>
      </c>
      <c r="D342" s="844">
        <f t="shared" si="437"/>
        <v>0</v>
      </c>
      <c r="E342" s="846">
        <f t="shared" si="437"/>
        <v>3.666666666666667</v>
      </c>
      <c r="F342" s="876">
        <f t="shared" si="437"/>
        <v>0.33333333333333331</v>
      </c>
      <c r="G342" s="889">
        <f t="shared" si="437"/>
        <v>0</v>
      </c>
      <c r="H342" s="877">
        <f t="shared" si="437"/>
        <v>0.33333333333333331</v>
      </c>
      <c r="I342" s="765">
        <f t="shared" si="437"/>
        <v>0</v>
      </c>
      <c r="J342" s="882">
        <f t="shared" si="437"/>
        <v>0</v>
      </c>
      <c r="K342" s="883">
        <f t="shared" si="437"/>
        <v>0</v>
      </c>
      <c r="L342" s="871">
        <f t="shared" si="437"/>
        <v>0</v>
      </c>
      <c r="M342" s="858">
        <f t="shared" si="437"/>
        <v>0</v>
      </c>
      <c r="N342" s="859">
        <f t="shared" si="437"/>
        <v>0</v>
      </c>
      <c r="O342" s="840">
        <f t="shared" si="437"/>
        <v>0</v>
      </c>
      <c r="P342" s="765">
        <f t="shared" si="437"/>
        <v>2</v>
      </c>
      <c r="Q342" s="852">
        <f t="shared" si="437"/>
        <v>2</v>
      </c>
      <c r="R342" s="853">
        <f t="shared" si="437"/>
        <v>0</v>
      </c>
      <c r="S342" s="846">
        <f t="shared" si="437"/>
        <v>0</v>
      </c>
      <c r="T342" s="893">
        <f t="shared" si="437"/>
        <v>0</v>
      </c>
      <c r="U342" s="894">
        <f t="shared" si="437"/>
        <v>0</v>
      </c>
      <c r="V342" s="877">
        <f t="shared" si="437"/>
        <v>0</v>
      </c>
      <c r="W342" s="958">
        <f t="shared" si="437"/>
        <v>0</v>
      </c>
      <c r="X342" s="882">
        <f t="shared" si="437"/>
        <v>0</v>
      </c>
      <c r="Y342" s="883">
        <f t="shared" si="437"/>
        <v>0</v>
      </c>
      <c r="Z342" s="901">
        <f t="shared" si="437"/>
        <v>0</v>
      </c>
      <c r="AA342" s="858">
        <f t="shared" si="437"/>
        <v>0</v>
      </c>
      <c r="AB342" s="859">
        <f t="shared" si="437"/>
        <v>0</v>
      </c>
      <c r="AC342" s="840">
        <f t="shared" si="437"/>
        <v>0</v>
      </c>
      <c r="AD342" s="958">
        <f t="shared" si="437"/>
        <v>0</v>
      </c>
      <c r="AE342" s="1071">
        <f t="shared" si="437"/>
        <v>0</v>
      </c>
      <c r="AF342" s="1072">
        <f t="shared" si="437"/>
        <v>0</v>
      </c>
      <c r="AG342" s="1073">
        <f t="shared" si="437"/>
        <v>0</v>
      </c>
      <c r="AH342" s="1077">
        <f t="shared" si="437"/>
        <v>0</v>
      </c>
      <c r="AI342" s="1078">
        <f t="shared" si="437"/>
        <v>0</v>
      </c>
      <c r="AJ342" s="1080">
        <f t="shared" si="437"/>
        <v>0</v>
      </c>
      <c r="AK342" s="958">
        <f t="shared" si="437"/>
        <v>0</v>
      </c>
      <c r="AL342" s="882">
        <f t="shared" si="437"/>
        <v>0</v>
      </c>
      <c r="AM342" s="883">
        <f t="shared" si="437"/>
        <v>0</v>
      </c>
      <c r="AN342" s="901">
        <f t="shared" si="437"/>
        <v>0</v>
      </c>
      <c r="AO342" s="858">
        <f t="shared" si="437"/>
        <v>0</v>
      </c>
      <c r="AP342" s="859">
        <f t="shared" si="437"/>
        <v>0</v>
      </c>
      <c r="AQ342" s="840">
        <f t="shared" si="437"/>
        <v>0</v>
      </c>
      <c r="AR342" s="765">
        <f t="shared" si="437"/>
        <v>0</v>
      </c>
      <c r="AS342" s="852">
        <f t="shared" si="437"/>
        <v>0</v>
      </c>
      <c r="AT342" s="853">
        <f t="shared" si="437"/>
        <v>0</v>
      </c>
      <c r="AU342" s="846">
        <f t="shared" si="437"/>
        <v>0</v>
      </c>
      <c r="AV342" s="893">
        <f t="shared" si="437"/>
        <v>0</v>
      </c>
      <c r="AW342" s="894">
        <f t="shared" si="437"/>
        <v>0</v>
      </c>
      <c r="AX342" s="877">
        <f t="shared" si="437"/>
        <v>0</v>
      </c>
      <c r="AY342" s="765">
        <f t="shared" ref="AY342:BE342" si="438">SUM(AY50,AY109,AY167,AY225,AY283)</f>
        <v>0</v>
      </c>
      <c r="AZ342" s="882">
        <f t="shared" si="438"/>
        <v>0</v>
      </c>
      <c r="BA342" s="883">
        <f t="shared" si="438"/>
        <v>0</v>
      </c>
      <c r="BB342" s="901">
        <f t="shared" si="438"/>
        <v>0</v>
      </c>
      <c r="BC342" s="858">
        <f t="shared" si="438"/>
        <v>0</v>
      </c>
      <c r="BD342" s="859">
        <f t="shared" si="438"/>
        <v>0</v>
      </c>
      <c r="BE342" s="840">
        <f t="shared" si="438"/>
        <v>0</v>
      </c>
      <c r="BF342" s="765">
        <f t="shared" ref="BF342:BL342" si="439">SUM(BF50,BF109,BF167,BF225,BF283)</f>
        <v>1</v>
      </c>
      <c r="BG342" s="852">
        <f t="shared" si="439"/>
        <v>0</v>
      </c>
      <c r="BH342" s="853">
        <f t="shared" si="439"/>
        <v>0</v>
      </c>
      <c r="BI342" s="846">
        <f t="shared" si="439"/>
        <v>0</v>
      </c>
      <c r="BJ342" s="893">
        <f t="shared" si="439"/>
        <v>1</v>
      </c>
      <c r="BK342" s="894">
        <f t="shared" si="439"/>
        <v>0</v>
      </c>
      <c r="BL342" s="877">
        <f t="shared" si="439"/>
        <v>1</v>
      </c>
      <c r="BM342" s="765">
        <f t="shared" ref="BM342:BS342" si="440">SUM(BM50,BM109,BM167,BM225,BM283)</f>
        <v>0</v>
      </c>
      <c r="BN342" s="882">
        <f t="shared" si="440"/>
        <v>0</v>
      </c>
      <c r="BO342" s="883">
        <f t="shared" si="440"/>
        <v>0</v>
      </c>
      <c r="BP342" s="901">
        <f t="shared" si="440"/>
        <v>0</v>
      </c>
      <c r="BQ342" s="858">
        <f t="shared" si="440"/>
        <v>0</v>
      </c>
      <c r="BR342" s="859">
        <f t="shared" si="440"/>
        <v>0</v>
      </c>
      <c r="BS342" s="840">
        <f t="shared" si="440"/>
        <v>0</v>
      </c>
      <c r="BT342" s="765">
        <f t="shared" ref="BT342:BZ342" si="441">SUM(BT50,BT109,BT167,BT225,BT283)</f>
        <v>5</v>
      </c>
      <c r="BU342" s="852">
        <f t="shared" si="441"/>
        <v>0</v>
      </c>
      <c r="BV342" s="853">
        <f t="shared" si="441"/>
        <v>0</v>
      </c>
      <c r="BW342" s="846">
        <f t="shared" si="441"/>
        <v>0</v>
      </c>
      <c r="BX342" s="893">
        <f t="shared" si="441"/>
        <v>5</v>
      </c>
      <c r="BY342" s="894">
        <f t="shared" si="441"/>
        <v>0</v>
      </c>
      <c r="BZ342" s="877">
        <f t="shared" si="441"/>
        <v>5</v>
      </c>
      <c r="CA342" s="765">
        <f t="shared" ref="CA342:CG342" si="442">SUM(CA50,CA109,CA167,CA225,CA283)</f>
        <v>0</v>
      </c>
      <c r="CB342" s="882">
        <f t="shared" si="442"/>
        <v>0</v>
      </c>
      <c r="CC342" s="883">
        <f t="shared" si="442"/>
        <v>0</v>
      </c>
      <c r="CD342" s="901">
        <f t="shared" si="442"/>
        <v>0</v>
      </c>
      <c r="CE342" s="858">
        <f t="shared" si="442"/>
        <v>0</v>
      </c>
      <c r="CF342" s="859">
        <f t="shared" si="442"/>
        <v>0</v>
      </c>
      <c r="CG342" s="840">
        <f t="shared" si="442"/>
        <v>0</v>
      </c>
      <c r="CH342" s="765">
        <f t="shared" ref="CH342:CN342" si="443">SUM(CH50,CH109,CH167,CH225,CH283)</f>
        <v>0</v>
      </c>
      <c r="CI342" s="852">
        <f t="shared" si="443"/>
        <v>0</v>
      </c>
      <c r="CJ342" s="853">
        <f t="shared" si="443"/>
        <v>0</v>
      </c>
      <c r="CK342" s="846">
        <f t="shared" si="443"/>
        <v>0</v>
      </c>
      <c r="CL342" s="893">
        <f t="shared" si="443"/>
        <v>0</v>
      </c>
      <c r="CM342" s="894">
        <f t="shared" si="443"/>
        <v>0</v>
      </c>
      <c r="CN342" s="877">
        <f t="shared" si="443"/>
        <v>0</v>
      </c>
    </row>
    <row r="343" spans="1:92" x14ac:dyDescent="0.25">
      <c r="A343" s="757">
        <v>43</v>
      </c>
      <c r="B343" s="765">
        <f t="shared" si="156"/>
        <v>0</v>
      </c>
      <c r="C343" s="844">
        <f t="shared" ref="C343:AX343" si="444">SUM(C51,C110,C168,C226,C284)</f>
        <v>0</v>
      </c>
      <c r="D343" s="844">
        <f t="shared" si="444"/>
        <v>0</v>
      </c>
      <c r="E343" s="846">
        <f t="shared" si="444"/>
        <v>0</v>
      </c>
      <c r="F343" s="876">
        <f t="shared" si="444"/>
        <v>0</v>
      </c>
      <c r="G343" s="889">
        <f t="shared" si="444"/>
        <v>0</v>
      </c>
      <c r="H343" s="877">
        <f t="shared" si="444"/>
        <v>0</v>
      </c>
      <c r="I343" s="765">
        <f t="shared" si="444"/>
        <v>0</v>
      </c>
      <c r="J343" s="882">
        <f t="shared" si="444"/>
        <v>0</v>
      </c>
      <c r="K343" s="883">
        <f t="shared" si="444"/>
        <v>0</v>
      </c>
      <c r="L343" s="871">
        <f t="shared" si="444"/>
        <v>0</v>
      </c>
      <c r="M343" s="858">
        <f t="shared" si="444"/>
        <v>0</v>
      </c>
      <c r="N343" s="859">
        <f t="shared" si="444"/>
        <v>0</v>
      </c>
      <c r="O343" s="840">
        <f t="shared" si="444"/>
        <v>0</v>
      </c>
      <c r="P343" s="765">
        <f t="shared" si="444"/>
        <v>0</v>
      </c>
      <c r="Q343" s="852">
        <f t="shared" si="444"/>
        <v>0</v>
      </c>
      <c r="R343" s="853">
        <f t="shared" si="444"/>
        <v>0</v>
      </c>
      <c r="S343" s="846">
        <f t="shared" si="444"/>
        <v>0</v>
      </c>
      <c r="T343" s="893">
        <f t="shared" si="444"/>
        <v>0</v>
      </c>
      <c r="U343" s="894">
        <f t="shared" si="444"/>
        <v>0</v>
      </c>
      <c r="V343" s="877">
        <f t="shared" si="444"/>
        <v>0</v>
      </c>
      <c r="W343" s="958">
        <f t="shared" si="444"/>
        <v>0</v>
      </c>
      <c r="X343" s="882">
        <f t="shared" si="444"/>
        <v>0</v>
      </c>
      <c r="Y343" s="883">
        <f t="shared" si="444"/>
        <v>0</v>
      </c>
      <c r="Z343" s="901">
        <f t="shared" si="444"/>
        <v>0</v>
      </c>
      <c r="AA343" s="858">
        <f t="shared" si="444"/>
        <v>0</v>
      </c>
      <c r="AB343" s="859">
        <f t="shared" si="444"/>
        <v>0</v>
      </c>
      <c r="AC343" s="840">
        <f t="shared" si="444"/>
        <v>0</v>
      </c>
      <c r="AD343" s="958">
        <f t="shared" si="444"/>
        <v>0</v>
      </c>
      <c r="AE343" s="1071">
        <f t="shared" si="444"/>
        <v>0</v>
      </c>
      <c r="AF343" s="1072">
        <f t="shared" si="444"/>
        <v>0</v>
      </c>
      <c r="AG343" s="1073">
        <f t="shared" si="444"/>
        <v>0</v>
      </c>
      <c r="AH343" s="1077">
        <f t="shared" si="444"/>
        <v>0</v>
      </c>
      <c r="AI343" s="1078">
        <f t="shared" si="444"/>
        <v>0</v>
      </c>
      <c r="AJ343" s="1080">
        <f t="shared" si="444"/>
        <v>0</v>
      </c>
      <c r="AK343" s="958">
        <f t="shared" si="444"/>
        <v>0</v>
      </c>
      <c r="AL343" s="882">
        <f t="shared" si="444"/>
        <v>0</v>
      </c>
      <c r="AM343" s="883">
        <f t="shared" si="444"/>
        <v>0</v>
      </c>
      <c r="AN343" s="901">
        <f t="shared" si="444"/>
        <v>0</v>
      </c>
      <c r="AO343" s="858">
        <f t="shared" si="444"/>
        <v>0</v>
      </c>
      <c r="AP343" s="859">
        <f t="shared" si="444"/>
        <v>0</v>
      </c>
      <c r="AQ343" s="840">
        <f t="shared" si="444"/>
        <v>0</v>
      </c>
      <c r="AR343" s="765">
        <f t="shared" si="444"/>
        <v>0</v>
      </c>
      <c r="AS343" s="852">
        <f t="shared" si="444"/>
        <v>0</v>
      </c>
      <c r="AT343" s="853">
        <f t="shared" si="444"/>
        <v>0</v>
      </c>
      <c r="AU343" s="846">
        <f t="shared" si="444"/>
        <v>0</v>
      </c>
      <c r="AV343" s="893">
        <f t="shared" si="444"/>
        <v>0</v>
      </c>
      <c r="AW343" s="894">
        <f t="shared" si="444"/>
        <v>0</v>
      </c>
      <c r="AX343" s="877">
        <f t="shared" si="444"/>
        <v>0</v>
      </c>
      <c r="AY343" s="765">
        <f t="shared" ref="AY343:BE343" si="445">SUM(AY51,AY110,AY168,AY226,AY284)</f>
        <v>0</v>
      </c>
      <c r="AZ343" s="882">
        <f t="shared" si="445"/>
        <v>0</v>
      </c>
      <c r="BA343" s="883">
        <f t="shared" si="445"/>
        <v>0</v>
      </c>
      <c r="BB343" s="901">
        <f t="shared" si="445"/>
        <v>0</v>
      </c>
      <c r="BC343" s="858">
        <f t="shared" si="445"/>
        <v>0</v>
      </c>
      <c r="BD343" s="859">
        <f t="shared" si="445"/>
        <v>0</v>
      </c>
      <c r="BE343" s="840">
        <f t="shared" si="445"/>
        <v>0</v>
      </c>
      <c r="BF343" s="765">
        <f t="shared" ref="BF343:BL343" si="446">SUM(BF51,BF110,BF168,BF226,BF284)</f>
        <v>0</v>
      </c>
      <c r="BG343" s="852">
        <f t="shared" si="446"/>
        <v>0</v>
      </c>
      <c r="BH343" s="853">
        <f t="shared" si="446"/>
        <v>0</v>
      </c>
      <c r="BI343" s="846">
        <f t="shared" si="446"/>
        <v>0</v>
      </c>
      <c r="BJ343" s="893">
        <f t="shared" si="446"/>
        <v>0</v>
      </c>
      <c r="BK343" s="894">
        <f t="shared" si="446"/>
        <v>0</v>
      </c>
      <c r="BL343" s="877">
        <f t="shared" si="446"/>
        <v>0</v>
      </c>
      <c r="BM343" s="765">
        <f t="shared" ref="BM343:BS343" si="447">SUM(BM51,BM110,BM168,BM226,BM284)</f>
        <v>0</v>
      </c>
      <c r="BN343" s="882">
        <f t="shared" si="447"/>
        <v>0</v>
      </c>
      <c r="BO343" s="883">
        <f t="shared" si="447"/>
        <v>0</v>
      </c>
      <c r="BP343" s="901">
        <f t="shared" si="447"/>
        <v>0</v>
      </c>
      <c r="BQ343" s="858">
        <f t="shared" si="447"/>
        <v>0</v>
      </c>
      <c r="BR343" s="859">
        <f t="shared" si="447"/>
        <v>0</v>
      </c>
      <c r="BS343" s="840">
        <f t="shared" si="447"/>
        <v>0</v>
      </c>
      <c r="BT343" s="765">
        <f t="shared" ref="BT343:BZ343" si="448">SUM(BT51,BT110,BT168,BT226,BT284)</f>
        <v>0</v>
      </c>
      <c r="BU343" s="852">
        <f t="shared" si="448"/>
        <v>0</v>
      </c>
      <c r="BV343" s="853">
        <f t="shared" si="448"/>
        <v>0</v>
      </c>
      <c r="BW343" s="846">
        <f t="shared" si="448"/>
        <v>0</v>
      </c>
      <c r="BX343" s="893">
        <f t="shared" si="448"/>
        <v>0</v>
      </c>
      <c r="BY343" s="894">
        <f t="shared" si="448"/>
        <v>0</v>
      </c>
      <c r="BZ343" s="877">
        <f t="shared" si="448"/>
        <v>0</v>
      </c>
      <c r="CA343" s="765">
        <f t="shared" ref="CA343:CG343" si="449">SUM(CA51,CA110,CA168,CA226,CA284)</f>
        <v>0</v>
      </c>
      <c r="CB343" s="882">
        <f t="shared" si="449"/>
        <v>0</v>
      </c>
      <c r="CC343" s="883">
        <f t="shared" si="449"/>
        <v>0</v>
      </c>
      <c r="CD343" s="901">
        <f t="shared" si="449"/>
        <v>0</v>
      </c>
      <c r="CE343" s="858">
        <f t="shared" si="449"/>
        <v>0</v>
      </c>
      <c r="CF343" s="859">
        <f t="shared" si="449"/>
        <v>0</v>
      </c>
      <c r="CG343" s="840">
        <f t="shared" si="449"/>
        <v>0</v>
      </c>
      <c r="CH343" s="765">
        <f t="shared" ref="CH343:CN343" si="450">SUM(CH51,CH110,CH168,CH226,CH284)</f>
        <v>0</v>
      </c>
      <c r="CI343" s="852">
        <f t="shared" si="450"/>
        <v>0</v>
      </c>
      <c r="CJ343" s="853">
        <f t="shared" si="450"/>
        <v>0</v>
      </c>
      <c r="CK343" s="846">
        <f t="shared" si="450"/>
        <v>0</v>
      </c>
      <c r="CL343" s="893">
        <f t="shared" si="450"/>
        <v>0</v>
      </c>
      <c r="CM343" s="894">
        <f t="shared" si="450"/>
        <v>0</v>
      </c>
      <c r="CN343" s="877">
        <f t="shared" si="450"/>
        <v>0</v>
      </c>
    </row>
    <row r="344" spans="1:92" x14ac:dyDescent="0.25">
      <c r="A344" s="757">
        <v>44</v>
      </c>
      <c r="B344" s="765">
        <f t="shared" si="156"/>
        <v>0</v>
      </c>
      <c r="C344" s="844">
        <f t="shared" ref="C344:AX344" si="451">SUM(C52,C111,C169,C227,C285)</f>
        <v>0</v>
      </c>
      <c r="D344" s="844">
        <f t="shared" si="451"/>
        <v>0</v>
      </c>
      <c r="E344" s="846">
        <f t="shared" si="451"/>
        <v>0</v>
      </c>
      <c r="F344" s="876">
        <f t="shared" si="451"/>
        <v>0</v>
      </c>
      <c r="G344" s="889">
        <f t="shared" si="451"/>
        <v>0</v>
      </c>
      <c r="H344" s="877">
        <f t="shared" si="451"/>
        <v>0</v>
      </c>
      <c r="I344" s="765">
        <f t="shared" si="451"/>
        <v>0</v>
      </c>
      <c r="J344" s="882">
        <f t="shared" si="451"/>
        <v>0</v>
      </c>
      <c r="K344" s="883">
        <f t="shared" si="451"/>
        <v>0</v>
      </c>
      <c r="L344" s="871">
        <f t="shared" si="451"/>
        <v>0</v>
      </c>
      <c r="M344" s="858">
        <f t="shared" si="451"/>
        <v>0</v>
      </c>
      <c r="N344" s="859">
        <f t="shared" si="451"/>
        <v>0</v>
      </c>
      <c r="O344" s="840">
        <f t="shared" si="451"/>
        <v>0</v>
      </c>
      <c r="P344" s="765">
        <f t="shared" si="451"/>
        <v>0</v>
      </c>
      <c r="Q344" s="852">
        <f t="shared" si="451"/>
        <v>0</v>
      </c>
      <c r="R344" s="853">
        <f t="shared" si="451"/>
        <v>0</v>
      </c>
      <c r="S344" s="846">
        <f t="shared" si="451"/>
        <v>0</v>
      </c>
      <c r="T344" s="893">
        <f t="shared" si="451"/>
        <v>0</v>
      </c>
      <c r="U344" s="894">
        <f t="shared" si="451"/>
        <v>0</v>
      </c>
      <c r="V344" s="877">
        <f t="shared" si="451"/>
        <v>0</v>
      </c>
      <c r="W344" s="958">
        <f t="shared" si="451"/>
        <v>0</v>
      </c>
      <c r="X344" s="882">
        <f t="shared" si="451"/>
        <v>0</v>
      </c>
      <c r="Y344" s="883">
        <f t="shared" si="451"/>
        <v>0</v>
      </c>
      <c r="Z344" s="901">
        <f t="shared" si="451"/>
        <v>0</v>
      </c>
      <c r="AA344" s="858">
        <f t="shared" si="451"/>
        <v>0</v>
      </c>
      <c r="AB344" s="859">
        <f t="shared" si="451"/>
        <v>0</v>
      </c>
      <c r="AC344" s="840">
        <f t="shared" si="451"/>
        <v>0</v>
      </c>
      <c r="AD344" s="958">
        <f t="shared" si="451"/>
        <v>0</v>
      </c>
      <c r="AE344" s="1071">
        <f t="shared" si="451"/>
        <v>0</v>
      </c>
      <c r="AF344" s="1072">
        <f t="shared" si="451"/>
        <v>0</v>
      </c>
      <c r="AG344" s="1073">
        <f t="shared" si="451"/>
        <v>0</v>
      </c>
      <c r="AH344" s="1077">
        <f t="shared" si="451"/>
        <v>0</v>
      </c>
      <c r="AI344" s="1078">
        <f t="shared" si="451"/>
        <v>0</v>
      </c>
      <c r="AJ344" s="1080">
        <f t="shared" si="451"/>
        <v>0</v>
      </c>
      <c r="AK344" s="958">
        <f t="shared" si="451"/>
        <v>0</v>
      </c>
      <c r="AL344" s="882">
        <f t="shared" si="451"/>
        <v>0</v>
      </c>
      <c r="AM344" s="883">
        <f t="shared" si="451"/>
        <v>0</v>
      </c>
      <c r="AN344" s="901">
        <f t="shared" si="451"/>
        <v>0</v>
      </c>
      <c r="AO344" s="858">
        <f t="shared" si="451"/>
        <v>0</v>
      </c>
      <c r="AP344" s="859">
        <f t="shared" si="451"/>
        <v>0</v>
      </c>
      <c r="AQ344" s="840">
        <f t="shared" si="451"/>
        <v>0</v>
      </c>
      <c r="AR344" s="765">
        <f t="shared" si="451"/>
        <v>0</v>
      </c>
      <c r="AS344" s="852">
        <f t="shared" si="451"/>
        <v>0</v>
      </c>
      <c r="AT344" s="853">
        <f t="shared" si="451"/>
        <v>0</v>
      </c>
      <c r="AU344" s="846">
        <f t="shared" si="451"/>
        <v>0</v>
      </c>
      <c r="AV344" s="893">
        <f t="shared" si="451"/>
        <v>0</v>
      </c>
      <c r="AW344" s="894">
        <f t="shared" si="451"/>
        <v>0</v>
      </c>
      <c r="AX344" s="877">
        <f t="shared" si="451"/>
        <v>0</v>
      </c>
      <c r="AY344" s="765">
        <f t="shared" ref="AY344:BE344" si="452">SUM(AY52,AY111,AY169,AY227,AY285)</f>
        <v>0</v>
      </c>
      <c r="AZ344" s="882">
        <f t="shared" si="452"/>
        <v>0</v>
      </c>
      <c r="BA344" s="883">
        <f t="shared" si="452"/>
        <v>0</v>
      </c>
      <c r="BB344" s="901">
        <f t="shared" si="452"/>
        <v>0</v>
      </c>
      <c r="BC344" s="858">
        <f t="shared" si="452"/>
        <v>0</v>
      </c>
      <c r="BD344" s="859">
        <f t="shared" si="452"/>
        <v>0</v>
      </c>
      <c r="BE344" s="840">
        <f t="shared" si="452"/>
        <v>0</v>
      </c>
      <c r="BF344" s="765">
        <f t="shared" ref="BF344:BL344" si="453">SUM(BF52,BF111,BF169,BF227,BF285)</f>
        <v>0</v>
      </c>
      <c r="BG344" s="852">
        <f t="shared" si="453"/>
        <v>0</v>
      </c>
      <c r="BH344" s="853">
        <f t="shared" si="453"/>
        <v>0</v>
      </c>
      <c r="BI344" s="846">
        <f t="shared" si="453"/>
        <v>0</v>
      </c>
      <c r="BJ344" s="893">
        <f t="shared" si="453"/>
        <v>0</v>
      </c>
      <c r="BK344" s="894">
        <f t="shared" si="453"/>
        <v>0</v>
      </c>
      <c r="BL344" s="877">
        <f t="shared" si="453"/>
        <v>0</v>
      </c>
      <c r="BM344" s="765">
        <f t="shared" ref="BM344:BS344" si="454">SUM(BM52,BM111,BM169,BM227,BM285)</f>
        <v>0</v>
      </c>
      <c r="BN344" s="882">
        <f t="shared" si="454"/>
        <v>0</v>
      </c>
      <c r="BO344" s="883">
        <f t="shared" si="454"/>
        <v>0</v>
      </c>
      <c r="BP344" s="901">
        <f t="shared" si="454"/>
        <v>0</v>
      </c>
      <c r="BQ344" s="858">
        <f t="shared" si="454"/>
        <v>0</v>
      </c>
      <c r="BR344" s="859">
        <f t="shared" si="454"/>
        <v>0</v>
      </c>
      <c r="BS344" s="840">
        <f t="shared" si="454"/>
        <v>0</v>
      </c>
      <c r="BT344" s="765">
        <f t="shared" ref="BT344:BZ344" si="455">SUM(BT52,BT111,BT169,BT227,BT285)</f>
        <v>0</v>
      </c>
      <c r="BU344" s="852">
        <f t="shared" si="455"/>
        <v>0</v>
      </c>
      <c r="BV344" s="853">
        <f t="shared" si="455"/>
        <v>0</v>
      </c>
      <c r="BW344" s="846">
        <f t="shared" si="455"/>
        <v>0</v>
      </c>
      <c r="BX344" s="893">
        <f t="shared" si="455"/>
        <v>0</v>
      </c>
      <c r="BY344" s="894">
        <f t="shared" si="455"/>
        <v>0</v>
      </c>
      <c r="BZ344" s="877">
        <f t="shared" si="455"/>
        <v>0</v>
      </c>
      <c r="CA344" s="765">
        <f t="shared" ref="CA344:CG344" si="456">SUM(CA52,CA111,CA169,CA227,CA285)</f>
        <v>0</v>
      </c>
      <c r="CB344" s="882">
        <f t="shared" si="456"/>
        <v>0</v>
      </c>
      <c r="CC344" s="883">
        <f t="shared" si="456"/>
        <v>0</v>
      </c>
      <c r="CD344" s="901">
        <f t="shared" si="456"/>
        <v>0</v>
      </c>
      <c r="CE344" s="858">
        <f t="shared" si="456"/>
        <v>0</v>
      </c>
      <c r="CF344" s="859">
        <f t="shared" si="456"/>
        <v>0</v>
      </c>
      <c r="CG344" s="840">
        <f t="shared" si="456"/>
        <v>0</v>
      </c>
      <c r="CH344" s="765">
        <f t="shared" ref="CH344:CN344" si="457">SUM(CH52,CH111,CH169,CH227,CH285)</f>
        <v>0</v>
      </c>
      <c r="CI344" s="852">
        <f t="shared" si="457"/>
        <v>0</v>
      </c>
      <c r="CJ344" s="853">
        <f t="shared" si="457"/>
        <v>0</v>
      </c>
      <c r="CK344" s="846">
        <f t="shared" si="457"/>
        <v>0</v>
      </c>
      <c r="CL344" s="893">
        <f t="shared" si="457"/>
        <v>0</v>
      </c>
      <c r="CM344" s="894">
        <f t="shared" si="457"/>
        <v>0</v>
      </c>
      <c r="CN344" s="877">
        <f t="shared" si="457"/>
        <v>0</v>
      </c>
    </row>
    <row r="345" spans="1:92" x14ac:dyDescent="0.25">
      <c r="A345" s="757">
        <v>45</v>
      </c>
      <c r="B345" s="765">
        <f t="shared" si="156"/>
        <v>0</v>
      </c>
      <c r="C345" s="844">
        <f t="shared" ref="C345:AX345" si="458">SUM(C53,C112,C170,C228,C286)</f>
        <v>0</v>
      </c>
      <c r="D345" s="844">
        <f t="shared" si="458"/>
        <v>0</v>
      </c>
      <c r="E345" s="846">
        <f t="shared" si="458"/>
        <v>0</v>
      </c>
      <c r="F345" s="876">
        <f t="shared" si="458"/>
        <v>0</v>
      </c>
      <c r="G345" s="889">
        <f t="shared" si="458"/>
        <v>0</v>
      </c>
      <c r="H345" s="877">
        <f t="shared" si="458"/>
        <v>0</v>
      </c>
      <c r="I345" s="765">
        <f t="shared" si="458"/>
        <v>0</v>
      </c>
      <c r="J345" s="882">
        <f t="shared" si="458"/>
        <v>0</v>
      </c>
      <c r="K345" s="883">
        <f t="shared" si="458"/>
        <v>0</v>
      </c>
      <c r="L345" s="871">
        <f t="shared" si="458"/>
        <v>0</v>
      </c>
      <c r="M345" s="858">
        <f t="shared" si="458"/>
        <v>0</v>
      </c>
      <c r="N345" s="859">
        <f t="shared" si="458"/>
        <v>0</v>
      </c>
      <c r="O345" s="840">
        <f t="shared" si="458"/>
        <v>0</v>
      </c>
      <c r="P345" s="765">
        <f t="shared" si="458"/>
        <v>0</v>
      </c>
      <c r="Q345" s="852">
        <f t="shared" si="458"/>
        <v>0</v>
      </c>
      <c r="R345" s="853">
        <f t="shared" si="458"/>
        <v>0</v>
      </c>
      <c r="S345" s="846">
        <f t="shared" si="458"/>
        <v>0</v>
      </c>
      <c r="T345" s="893">
        <f t="shared" si="458"/>
        <v>0</v>
      </c>
      <c r="U345" s="894">
        <f t="shared" si="458"/>
        <v>0</v>
      </c>
      <c r="V345" s="877">
        <f t="shared" si="458"/>
        <v>0</v>
      </c>
      <c r="W345" s="958">
        <f t="shared" si="458"/>
        <v>0</v>
      </c>
      <c r="X345" s="882">
        <f t="shared" si="458"/>
        <v>0</v>
      </c>
      <c r="Y345" s="883">
        <f t="shared" si="458"/>
        <v>0</v>
      </c>
      <c r="Z345" s="901">
        <f t="shared" si="458"/>
        <v>0</v>
      </c>
      <c r="AA345" s="858">
        <f t="shared" si="458"/>
        <v>0</v>
      </c>
      <c r="AB345" s="859">
        <f t="shared" si="458"/>
        <v>0</v>
      </c>
      <c r="AC345" s="840">
        <f t="shared" si="458"/>
        <v>0</v>
      </c>
      <c r="AD345" s="958">
        <f t="shared" si="458"/>
        <v>0</v>
      </c>
      <c r="AE345" s="1071">
        <f t="shared" si="458"/>
        <v>0</v>
      </c>
      <c r="AF345" s="1072">
        <f t="shared" si="458"/>
        <v>0</v>
      </c>
      <c r="AG345" s="1073">
        <f t="shared" si="458"/>
        <v>0</v>
      </c>
      <c r="AH345" s="1077">
        <f t="shared" si="458"/>
        <v>0</v>
      </c>
      <c r="AI345" s="1078">
        <f t="shared" si="458"/>
        <v>0</v>
      </c>
      <c r="AJ345" s="1080">
        <f t="shared" si="458"/>
        <v>0</v>
      </c>
      <c r="AK345" s="958">
        <f t="shared" si="458"/>
        <v>0</v>
      </c>
      <c r="AL345" s="882">
        <f t="shared" si="458"/>
        <v>0</v>
      </c>
      <c r="AM345" s="883">
        <f t="shared" si="458"/>
        <v>0</v>
      </c>
      <c r="AN345" s="901">
        <f t="shared" si="458"/>
        <v>0</v>
      </c>
      <c r="AO345" s="858">
        <f t="shared" si="458"/>
        <v>0</v>
      </c>
      <c r="AP345" s="859">
        <f t="shared" si="458"/>
        <v>0</v>
      </c>
      <c r="AQ345" s="840">
        <f t="shared" si="458"/>
        <v>0</v>
      </c>
      <c r="AR345" s="765">
        <f t="shared" si="458"/>
        <v>0</v>
      </c>
      <c r="AS345" s="852">
        <f t="shared" si="458"/>
        <v>0</v>
      </c>
      <c r="AT345" s="853">
        <f t="shared" si="458"/>
        <v>0</v>
      </c>
      <c r="AU345" s="846">
        <f t="shared" si="458"/>
        <v>0</v>
      </c>
      <c r="AV345" s="893">
        <f t="shared" si="458"/>
        <v>0</v>
      </c>
      <c r="AW345" s="894">
        <f t="shared" si="458"/>
        <v>0</v>
      </c>
      <c r="AX345" s="877">
        <f t="shared" si="458"/>
        <v>0</v>
      </c>
      <c r="AY345" s="765">
        <f t="shared" ref="AY345:BE345" si="459">SUM(AY53,AY112,AY170,AY228,AY286)</f>
        <v>0</v>
      </c>
      <c r="AZ345" s="882">
        <f t="shared" si="459"/>
        <v>0</v>
      </c>
      <c r="BA345" s="883">
        <f t="shared" si="459"/>
        <v>0</v>
      </c>
      <c r="BB345" s="901">
        <f t="shared" si="459"/>
        <v>0</v>
      </c>
      <c r="BC345" s="858">
        <f t="shared" si="459"/>
        <v>0</v>
      </c>
      <c r="BD345" s="859">
        <f t="shared" si="459"/>
        <v>0</v>
      </c>
      <c r="BE345" s="840">
        <f t="shared" si="459"/>
        <v>0</v>
      </c>
      <c r="BF345" s="765">
        <f t="shared" ref="BF345:BL345" si="460">SUM(BF53,BF112,BF170,BF228,BF286)</f>
        <v>0</v>
      </c>
      <c r="BG345" s="852">
        <f t="shared" si="460"/>
        <v>0</v>
      </c>
      <c r="BH345" s="853">
        <f t="shared" si="460"/>
        <v>0</v>
      </c>
      <c r="BI345" s="846">
        <f t="shared" si="460"/>
        <v>0</v>
      </c>
      <c r="BJ345" s="893">
        <f t="shared" si="460"/>
        <v>0</v>
      </c>
      <c r="BK345" s="894">
        <f t="shared" si="460"/>
        <v>0</v>
      </c>
      <c r="BL345" s="877">
        <f t="shared" si="460"/>
        <v>0</v>
      </c>
      <c r="BM345" s="765">
        <f t="shared" ref="BM345:BS345" si="461">SUM(BM53,BM112,BM170,BM228,BM286)</f>
        <v>0</v>
      </c>
      <c r="BN345" s="882">
        <f t="shared" si="461"/>
        <v>0</v>
      </c>
      <c r="BO345" s="883">
        <f t="shared" si="461"/>
        <v>0</v>
      </c>
      <c r="BP345" s="901">
        <f t="shared" si="461"/>
        <v>0</v>
      </c>
      <c r="BQ345" s="858">
        <f t="shared" si="461"/>
        <v>0</v>
      </c>
      <c r="BR345" s="859">
        <f t="shared" si="461"/>
        <v>0</v>
      </c>
      <c r="BS345" s="840">
        <f t="shared" si="461"/>
        <v>0</v>
      </c>
      <c r="BT345" s="765">
        <f t="shared" ref="BT345:BZ345" si="462">SUM(BT53,BT112,BT170,BT228,BT286)</f>
        <v>0</v>
      </c>
      <c r="BU345" s="852">
        <f t="shared" si="462"/>
        <v>0</v>
      </c>
      <c r="BV345" s="853">
        <f t="shared" si="462"/>
        <v>0</v>
      </c>
      <c r="BW345" s="846">
        <f t="shared" si="462"/>
        <v>0</v>
      </c>
      <c r="BX345" s="893">
        <f t="shared" si="462"/>
        <v>0</v>
      </c>
      <c r="BY345" s="894">
        <f t="shared" si="462"/>
        <v>0</v>
      </c>
      <c r="BZ345" s="877">
        <f t="shared" si="462"/>
        <v>0</v>
      </c>
      <c r="CA345" s="765">
        <f t="shared" ref="CA345:CG345" si="463">SUM(CA53,CA112,CA170,CA228,CA286)</f>
        <v>0</v>
      </c>
      <c r="CB345" s="882">
        <f t="shared" si="463"/>
        <v>0</v>
      </c>
      <c r="CC345" s="883">
        <f t="shared" si="463"/>
        <v>0</v>
      </c>
      <c r="CD345" s="901">
        <f t="shared" si="463"/>
        <v>0</v>
      </c>
      <c r="CE345" s="858">
        <f t="shared" si="463"/>
        <v>0</v>
      </c>
      <c r="CF345" s="859">
        <f t="shared" si="463"/>
        <v>0</v>
      </c>
      <c r="CG345" s="840">
        <f t="shared" si="463"/>
        <v>0</v>
      </c>
      <c r="CH345" s="765">
        <f t="shared" ref="CH345:CN345" si="464">SUM(CH53,CH112,CH170,CH228,CH286)</f>
        <v>0</v>
      </c>
      <c r="CI345" s="852">
        <f t="shared" si="464"/>
        <v>0</v>
      </c>
      <c r="CJ345" s="853">
        <f t="shared" si="464"/>
        <v>0</v>
      </c>
      <c r="CK345" s="846">
        <f t="shared" si="464"/>
        <v>0</v>
      </c>
      <c r="CL345" s="893">
        <f t="shared" si="464"/>
        <v>0</v>
      </c>
      <c r="CM345" s="894">
        <f t="shared" si="464"/>
        <v>0</v>
      </c>
      <c r="CN345" s="877">
        <f t="shared" si="464"/>
        <v>0</v>
      </c>
    </row>
    <row r="346" spans="1:92" x14ac:dyDescent="0.25">
      <c r="A346" s="757">
        <v>46</v>
      </c>
      <c r="B346" s="765">
        <f t="shared" si="156"/>
        <v>0</v>
      </c>
      <c r="C346" s="844">
        <f t="shared" ref="C346:AX346" si="465">SUM(C54,C113,C171,C229,C287)</f>
        <v>0</v>
      </c>
      <c r="D346" s="844">
        <f t="shared" si="465"/>
        <v>0</v>
      </c>
      <c r="E346" s="846">
        <f t="shared" si="465"/>
        <v>0</v>
      </c>
      <c r="F346" s="876">
        <f t="shared" si="465"/>
        <v>0</v>
      </c>
      <c r="G346" s="889">
        <f t="shared" si="465"/>
        <v>0</v>
      </c>
      <c r="H346" s="877">
        <f t="shared" si="465"/>
        <v>0</v>
      </c>
      <c r="I346" s="765">
        <f t="shared" si="465"/>
        <v>0</v>
      </c>
      <c r="J346" s="882">
        <f t="shared" si="465"/>
        <v>0</v>
      </c>
      <c r="K346" s="883">
        <f t="shared" si="465"/>
        <v>0</v>
      </c>
      <c r="L346" s="871">
        <f t="shared" si="465"/>
        <v>0</v>
      </c>
      <c r="M346" s="858">
        <f t="shared" si="465"/>
        <v>0</v>
      </c>
      <c r="N346" s="859">
        <f t="shared" si="465"/>
        <v>0</v>
      </c>
      <c r="O346" s="840">
        <f t="shared" si="465"/>
        <v>0</v>
      </c>
      <c r="P346" s="765">
        <f t="shared" si="465"/>
        <v>0</v>
      </c>
      <c r="Q346" s="852">
        <f t="shared" si="465"/>
        <v>0</v>
      </c>
      <c r="R346" s="853">
        <f t="shared" si="465"/>
        <v>0</v>
      </c>
      <c r="S346" s="846">
        <f t="shared" si="465"/>
        <v>0</v>
      </c>
      <c r="T346" s="893">
        <f t="shared" si="465"/>
        <v>0</v>
      </c>
      <c r="U346" s="894">
        <f t="shared" si="465"/>
        <v>0</v>
      </c>
      <c r="V346" s="877">
        <f t="shared" si="465"/>
        <v>0</v>
      </c>
      <c r="W346" s="958">
        <f t="shared" si="465"/>
        <v>0</v>
      </c>
      <c r="X346" s="882">
        <f t="shared" si="465"/>
        <v>0</v>
      </c>
      <c r="Y346" s="883">
        <f t="shared" si="465"/>
        <v>0</v>
      </c>
      <c r="Z346" s="901">
        <f t="shared" si="465"/>
        <v>0</v>
      </c>
      <c r="AA346" s="858">
        <f t="shared" si="465"/>
        <v>0</v>
      </c>
      <c r="AB346" s="859">
        <f t="shared" si="465"/>
        <v>0</v>
      </c>
      <c r="AC346" s="840">
        <f t="shared" si="465"/>
        <v>0</v>
      </c>
      <c r="AD346" s="958">
        <f t="shared" si="465"/>
        <v>0</v>
      </c>
      <c r="AE346" s="1071">
        <f t="shared" si="465"/>
        <v>0</v>
      </c>
      <c r="AF346" s="1072">
        <f t="shared" si="465"/>
        <v>0</v>
      </c>
      <c r="AG346" s="1073">
        <f t="shared" si="465"/>
        <v>0</v>
      </c>
      <c r="AH346" s="1077">
        <f t="shared" si="465"/>
        <v>0</v>
      </c>
      <c r="AI346" s="1078">
        <f t="shared" si="465"/>
        <v>0</v>
      </c>
      <c r="AJ346" s="1080">
        <f t="shared" si="465"/>
        <v>0</v>
      </c>
      <c r="AK346" s="958">
        <f t="shared" si="465"/>
        <v>0</v>
      </c>
      <c r="AL346" s="882">
        <f t="shared" si="465"/>
        <v>0</v>
      </c>
      <c r="AM346" s="883">
        <f t="shared" si="465"/>
        <v>0</v>
      </c>
      <c r="AN346" s="901">
        <f t="shared" si="465"/>
        <v>0</v>
      </c>
      <c r="AO346" s="858">
        <f t="shared" si="465"/>
        <v>0</v>
      </c>
      <c r="AP346" s="859">
        <f t="shared" si="465"/>
        <v>0</v>
      </c>
      <c r="AQ346" s="840">
        <f t="shared" si="465"/>
        <v>0</v>
      </c>
      <c r="AR346" s="765">
        <f t="shared" si="465"/>
        <v>0</v>
      </c>
      <c r="AS346" s="852">
        <f t="shared" si="465"/>
        <v>0</v>
      </c>
      <c r="AT346" s="853">
        <f t="shared" si="465"/>
        <v>0</v>
      </c>
      <c r="AU346" s="846">
        <f t="shared" si="465"/>
        <v>0</v>
      </c>
      <c r="AV346" s="893">
        <f t="shared" si="465"/>
        <v>0</v>
      </c>
      <c r="AW346" s="894">
        <f t="shared" si="465"/>
        <v>0</v>
      </c>
      <c r="AX346" s="877">
        <f t="shared" si="465"/>
        <v>0</v>
      </c>
      <c r="AY346" s="765">
        <f t="shared" ref="AY346:BE346" si="466">SUM(AY54,AY113,AY171,AY229,AY287)</f>
        <v>0</v>
      </c>
      <c r="AZ346" s="882">
        <f t="shared" si="466"/>
        <v>0</v>
      </c>
      <c r="BA346" s="883">
        <f t="shared" si="466"/>
        <v>0</v>
      </c>
      <c r="BB346" s="901">
        <f t="shared" si="466"/>
        <v>0</v>
      </c>
      <c r="BC346" s="858">
        <f t="shared" si="466"/>
        <v>0</v>
      </c>
      <c r="BD346" s="859">
        <f t="shared" si="466"/>
        <v>0</v>
      </c>
      <c r="BE346" s="840">
        <f t="shared" si="466"/>
        <v>0</v>
      </c>
      <c r="BF346" s="765">
        <f t="shared" ref="BF346:BL346" si="467">SUM(BF54,BF113,BF171,BF229,BF287)</f>
        <v>0</v>
      </c>
      <c r="BG346" s="852">
        <f t="shared" si="467"/>
        <v>0</v>
      </c>
      <c r="BH346" s="853">
        <f t="shared" si="467"/>
        <v>0</v>
      </c>
      <c r="BI346" s="846">
        <f t="shared" si="467"/>
        <v>0</v>
      </c>
      <c r="BJ346" s="893">
        <f t="shared" si="467"/>
        <v>0</v>
      </c>
      <c r="BK346" s="894">
        <f t="shared" si="467"/>
        <v>0</v>
      </c>
      <c r="BL346" s="877">
        <f t="shared" si="467"/>
        <v>0</v>
      </c>
      <c r="BM346" s="765">
        <f t="shared" ref="BM346:BS346" si="468">SUM(BM54,BM113,BM171,BM229,BM287)</f>
        <v>0</v>
      </c>
      <c r="BN346" s="882">
        <f t="shared" si="468"/>
        <v>0</v>
      </c>
      <c r="BO346" s="883">
        <f t="shared" si="468"/>
        <v>0</v>
      </c>
      <c r="BP346" s="901">
        <f t="shared" si="468"/>
        <v>0</v>
      </c>
      <c r="BQ346" s="858">
        <f t="shared" si="468"/>
        <v>0</v>
      </c>
      <c r="BR346" s="859">
        <f t="shared" si="468"/>
        <v>0</v>
      </c>
      <c r="BS346" s="840">
        <f t="shared" si="468"/>
        <v>0</v>
      </c>
      <c r="BT346" s="765">
        <f t="shared" ref="BT346:BZ346" si="469">SUM(BT54,BT113,BT171,BT229,BT287)</f>
        <v>0</v>
      </c>
      <c r="BU346" s="852">
        <f t="shared" si="469"/>
        <v>0</v>
      </c>
      <c r="BV346" s="853">
        <f t="shared" si="469"/>
        <v>0</v>
      </c>
      <c r="BW346" s="846">
        <f t="shared" si="469"/>
        <v>0</v>
      </c>
      <c r="BX346" s="893">
        <f t="shared" si="469"/>
        <v>0</v>
      </c>
      <c r="BY346" s="894">
        <f t="shared" si="469"/>
        <v>0</v>
      </c>
      <c r="BZ346" s="877">
        <f t="shared" si="469"/>
        <v>0</v>
      </c>
      <c r="CA346" s="765">
        <f t="shared" ref="CA346:CG346" si="470">SUM(CA54,CA113,CA171,CA229,CA287)</f>
        <v>0</v>
      </c>
      <c r="CB346" s="882">
        <f t="shared" si="470"/>
        <v>0</v>
      </c>
      <c r="CC346" s="883">
        <f t="shared" si="470"/>
        <v>0</v>
      </c>
      <c r="CD346" s="901">
        <f t="shared" si="470"/>
        <v>0</v>
      </c>
      <c r="CE346" s="858">
        <f t="shared" si="470"/>
        <v>0</v>
      </c>
      <c r="CF346" s="859">
        <f t="shared" si="470"/>
        <v>0</v>
      </c>
      <c r="CG346" s="840">
        <f t="shared" si="470"/>
        <v>0</v>
      </c>
      <c r="CH346" s="765">
        <f t="shared" ref="CH346:CN346" si="471">SUM(CH54,CH113,CH171,CH229,CH287)</f>
        <v>0</v>
      </c>
      <c r="CI346" s="852">
        <f t="shared" si="471"/>
        <v>0</v>
      </c>
      <c r="CJ346" s="853">
        <f t="shared" si="471"/>
        <v>0</v>
      </c>
      <c r="CK346" s="846">
        <f t="shared" si="471"/>
        <v>0</v>
      </c>
      <c r="CL346" s="893">
        <f t="shared" si="471"/>
        <v>0</v>
      </c>
      <c r="CM346" s="894">
        <f t="shared" si="471"/>
        <v>0</v>
      </c>
      <c r="CN346" s="877">
        <f t="shared" si="471"/>
        <v>0</v>
      </c>
    </row>
    <row r="347" spans="1:92" x14ac:dyDescent="0.25">
      <c r="A347" s="757">
        <v>47</v>
      </c>
      <c r="B347" s="765">
        <f t="shared" si="156"/>
        <v>0</v>
      </c>
      <c r="C347" s="844">
        <f t="shared" ref="C347:AX347" si="472">SUM(C55,C114,C172,C230,C288)</f>
        <v>0</v>
      </c>
      <c r="D347" s="844">
        <f t="shared" si="472"/>
        <v>0</v>
      </c>
      <c r="E347" s="846">
        <f t="shared" si="472"/>
        <v>0</v>
      </c>
      <c r="F347" s="876">
        <f t="shared" si="472"/>
        <v>0</v>
      </c>
      <c r="G347" s="889">
        <f t="shared" si="472"/>
        <v>0</v>
      </c>
      <c r="H347" s="877">
        <f t="shared" si="472"/>
        <v>0</v>
      </c>
      <c r="I347" s="765">
        <f t="shared" si="472"/>
        <v>0</v>
      </c>
      <c r="J347" s="882">
        <f t="shared" si="472"/>
        <v>0</v>
      </c>
      <c r="K347" s="883">
        <f t="shared" si="472"/>
        <v>0</v>
      </c>
      <c r="L347" s="871">
        <f t="shared" si="472"/>
        <v>0</v>
      </c>
      <c r="M347" s="858">
        <f t="shared" si="472"/>
        <v>0</v>
      </c>
      <c r="N347" s="859">
        <f t="shared" si="472"/>
        <v>0</v>
      </c>
      <c r="O347" s="840">
        <f t="shared" si="472"/>
        <v>0</v>
      </c>
      <c r="P347" s="765">
        <f t="shared" si="472"/>
        <v>0</v>
      </c>
      <c r="Q347" s="852">
        <f t="shared" si="472"/>
        <v>0</v>
      </c>
      <c r="R347" s="853">
        <f t="shared" si="472"/>
        <v>0</v>
      </c>
      <c r="S347" s="846">
        <f t="shared" si="472"/>
        <v>0</v>
      </c>
      <c r="T347" s="893">
        <f t="shared" si="472"/>
        <v>0</v>
      </c>
      <c r="U347" s="894">
        <f t="shared" si="472"/>
        <v>0</v>
      </c>
      <c r="V347" s="877">
        <f t="shared" si="472"/>
        <v>0</v>
      </c>
      <c r="W347" s="958">
        <f t="shared" si="472"/>
        <v>0</v>
      </c>
      <c r="X347" s="882">
        <f t="shared" si="472"/>
        <v>0</v>
      </c>
      <c r="Y347" s="883">
        <f t="shared" si="472"/>
        <v>0</v>
      </c>
      <c r="Z347" s="901">
        <f t="shared" si="472"/>
        <v>0</v>
      </c>
      <c r="AA347" s="858">
        <f t="shared" si="472"/>
        <v>0</v>
      </c>
      <c r="AB347" s="859">
        <f t="shared" si="472"/>
        <v>0</v>
      </c>
      <c r="AC347" s="840">
        <f t="shared" si="472"/>
        <v>0</v>
      </c>
      <c r="AD347" s="958">
        <f t="shared" si="472"/>
        <v>0</v>
      </c>
      <c r="AE347" s="1071">
        <f t="shared" si="472"/>
        <v>0</v>
      </c>
      <c r="AF347" s="1072">
        <f t="shared" si="472"/>
        <v>0</v>
      </c>
      <c r="AG347" s="1073">
        <f t="shared" si="472"/>
        <v>0</v>
      </c>
      <c r="AH347" s="1077">
        <f t="shared" si="472"/>
        <v>0</v>
      </c>
      <c r="AI347" s="1078">
        <f t="shared" si="472"/>
        <v>0</v>
      </c>
      <c r="AJ347" s="1080">
        <f t="shared" si="472"/>
        <v>0</v>
      </c>
      <c r="AK347" s="958">
        <f t="shared" si="472"/>
        <v>0</v>
      </c>
      <c r="AL347" s="882">
        <f t="shared" si="472"/>
        <v>0</v>
      </c>
      <c r="AM347" s="883">
        <f t="shared" si="472"/>
        <v>0</v>
      </c>
      <c r="AN347" s="901">
        <f t="shared" si="472"/>
        <v>0</v>
      </c>
      <c r="AO347" s="858">
        <f t="shared" si="472"/>
        <v>0</v>
      </c>
      <c r="AP347" s="859">
        <f t="shared" si="472"/>
        <v>0</v>
      </c>
      <c r="AQ347" s="840">
        <f t="shared" si="472"/>
        <v>0</v>
      </c>
      <c r="AR347" s="765">
        <f t="shared" si="472"/>
        <v>0</v>
      </c>
      <c r="AS347" s="852">
        <f t="shared" si="472"/>
        <v>0</v>
      </c>
      <c r="AT347" s="853">
        <f t="shared" si="472"/>
        <v>0</v>
      </c>
      <c r="AU347" s="846">
        <f t="shared" si="472"/>
        <v>0</v>
      </c>
      <c r="AV347" s="893">
        <f t="shared" si="472"/>
        <v>0</v>
      </c>
      <c r="AW347" s="894">
        <f t="shared" si="472"/>
        <v>0</v>
      </c>
      <c r="AX347" s="877">
        <f t="shared" si="472"/>
        <v>0</v>
      </c>
      <c r="AY347" s="765">
        <f t="shared" ref="AY347:BE347" si="473">SUM(AY55,AY114,AY172,AY230,AY288)</f>
        <v>0</v>
      </c>
      <c r="AZ347" s="882">
        <f t="shared" si="473"/>
        <v>0</v>
      </c>
      <c r="BA347" s="883">
        <f t="shared" si="473"/>
        <v>0</v>
      </c>
      <c r="BB347" s="901">
        <f t="shared" si="473"/>
        <v>0</v>
      </c>
      <c r="BC347" s="858">
        <f t="shared" si="473"/>
        <v>0</v>
      </c>
      <c r="BD347" s="859">
        <f t="shared" si="473"/>
        <v>0</v>
      </c>
      <c r="BE347" s="840">
        <f t="shared" si="473"/>
        <v>0</v>
      </c>
      <c r="BF347" s="765">
        <f t="shared" ref="BF347:BL347" si="474">SUM(BF55,BF114,BF172,BF230,BF288)</f>
        <v>0</v>
      </c>
      <c r="BG347" s="852">
        <f t="shared" si="474"/>
        <v>0</v>
      </c>
      <c r="BH347" s="853">
        <f t="shared" si="474"/>
        <v>0</v>
      </c>
      <c r="BI347" s="846">
        <f t="shared" si="474"/>
        <v>0</v>
      </c>
      <c r="BJ347" s="893">
        <f t="shared" si="474"/>
        <v>0</v>
      </c>
      <c r="BK347" s="894">
        <f t="shared" si="474"/>
        <v>0</v>
      </c>
      <c r="BL347" s="877">
        <f t="shared" si="474"/>
        <v>0</v>
      </c>
      <c r="BM347" s="765">
        <f t="shared" ref="BM347:BS347" si="475">SUM(BM55,BM114,BM172,BM230,BM288)</f>
        <v>0</v>
      </c>
      <c r="BN347" s="882">
        <f t="shared" si="475"/>
        <v>0</v>
      </c>
      <c r="BO347" s="883">
        <f t="shared" si="475"/>
        <v>0</v>
      </c>
      <c r="BP347" s="901">
        <f t="shared" si="475"/>
        <v>0</v>
      </c>
      <c r="BQ347" s="858">
        <f t="shared" si="475"/>
        <v>0</v>
      </c>
      <c r="BR347" s="859">
        <f t="shared" si="475"/>
        <v>0</v>
      </c>
      <c r="BS347" s="840">
        <f t="shared" si="475"/>
        <v>0</v>
      </c>
      <c r="BT347" s="765">
        <f t="shared" ref="BT347:BZ347" si="476">SUM(BT55,BT114,BT172,BT230,BT288)</f>
        <v>0</v>
      </c>
      <c r="BU347" s="852">
        <f t="shared" si="476"/>
        <v>0</v>
      </c>
      <c r="BV347" s="853">
        <f t="shared" si="476"/>
        <v>0</v>
      </c>
      <c r="BW347" s="846">
        <f t="shared" si="476"/>
        <v>0</v>
      </c>
      <c r="BX347" s="893">
        <f t="shared" si="476"/>
        <v>0</v>
      </c>
      <c r="BY347" s="894">
        <f t="shared" si="476"/>
        <v>0</v>
      </c>
      <c r="BZ347" s="877">
        <f t="shared" si="476"/>
        <v>0</v>
      </c>
      <c r="CA347" s="765">
        <f t="shared" ref="CA347:CG347" si="477">SUM(CA55,CA114,CA172,CA230,CA288)</f>
        <v>0</v>
      </c>
      <c r="CB347" s="882">
        <f t="shared" si="477"/>
        <v>0</v>
      </c>
      <c r="CC347" s="883">
        <f t="shared" si="477"/>
        <v>0</v>
      </c>
      <c r="CD347" s="901">
        <f t="shared" si="477"/>
        <v>0</v>
      </c>
      <c r="CE347" s="858">
        <f t="shared" si="477"/>
        <v>0</v>
      </c>
      <c r="CF347" s="859">
        <f t="shared" si="477"/>
        <v>0</v>
      </c>
      <c r="CG347" s="840">
        <f t="shared" si="477"/>
        <v>0</v>
      </c>
      <c r="CH347" s="765">
        <f t="shared" ref="CH347:CN347" si="478">SUM(CH55,CH114,CH172,CH230,CH288)</f>
        <v>0</v>
      </c>
      <c r="CI347" s="852">
        <f t="shared" si="478"/>
        <v>0</v>
      </c>
      <c r="CJ347" s="853">
        <f t="shared" si="478"/>
        <v>0</v>
      </c>
      <c r="CK347" s="846">
        <f t="shared" si="478"/>
        <v>0</v>
      </c>
      <c r="CL347" s="893">
        <f t="shared" si="478"/>
        <v>0</v>
      </c>
      <c r="CM347" s="894">
        <f t="shared" si="478"/>
        <v>0</v>
      </c>
      <c r="CN347" s="877">
        <f t="shared" si="478"/>
        <v>0</v>
      </c>
    </row>
    <row r="348" spans="1:92" x14ac:dyDescent="0.25">
      <c r="A348" s="757">
        <v>48</v>
      </c>
      <c r="B348" s="765">
        <f t="shared" si="156"/>
        <v>0</v>
      </c>
      <c r="C348" s="844">
        <f t="shared" ref="C348:AX348" si="479">SUM(C56,C115,C173,C231,C289)</f>
        <v>0</v>
      </c>
      <c r="D348" s="844">
        <f t="shared" si="479"/>
        <v>0</v>
      </c>
      <c r="E348" s="846">
        <f t="shared" si="479"/>
        <v>0</v>
      </c>
      <c r="F348" s="876">
        <f t="shared" si="479"/>
        <v>0</v>
      </c>
      <c r="G348" s="889">
        <f t="shared" si="479"/>
        <v>0</v>
      </c>
      <c r="H348" s="877">
        <f t="shared" si="479"/>
        <v>0</v>
      </c>
      <c r="I348" s="765">
        <f t="shared" si="479"/>
        <v>0</v>
      </c>
      <c r="J348" s="882">
        <f t="shared" si="479"/>
        <v>0</v>
      </c>
      <c r="K348" s="883">
        <f t="shared" si="479"/>
        <v>0</v>
      </c>
      <c r="L348" s="871">
        <f t="shared" si="479"/>
        <v>0</v>
      </c>
      <c r="M348" s="858">
        <f t="shared" si="479"/>
        <v>0</v>
      </c>
      <c r="N348" s="859">
        <f t="shared" si="479"/>
        <v>0</v>
      </c>
      <c r="O348" s="840">
        <f t="shared" si="479"/>
        <v>0</v>
      </c>
      <c r="P348" s="765">
        <f t="shared" si="479"/>
        <v>0</v>
      </c>
      <c r="Q348" s="852">
        <f t="shared" si="479"/>
        <v>0</v>
      </c>
      <c r="R348" s="853">
        <f t="shared" si="479"/>
        <v>0</v>
      </c>
      <c r="S348" s="846">
        <f t="shared" si="479"/>
        <v>0</v>
      </c>
      <c r="T348" s="893">
        <f t="shared" si="479"/>
        <v>0</v>
      </c>
      <c r="U348" s="894">
        <f t="shared" si="479"/>
        <v>0</v>
      </c>
      <c r="V348" s="877">
        <f t="shared" si="479"/>
        <v>0</v>
      </c>
      <c r="W348" s="958">
        <f t="shared" si="479"/>
        <v>0</v>
      </c>
      <c r="X348" s="882">
        <f t="shared" si="479"/>
        <v>0</v>
      </c>
      <c r="Y348" s="883">
        <f t="shared" si="479"/>
        <v>0</v>
      </c>
      <c r="Z348" s="901">
        <f t="shared" si="479"/>
        <v>0</v>
      </c>
      <c r="AA348" s="858">
        <f t="shared" si="479"/>
        <v>0</v>
      </c>
      <c r="AB348" s="859">
        <f t="shared" si="479"/>
        <v>0</v>
      </c>
      <c r="AC348" s="840">
        <f t="shared" si="479"/>
        <v>0</v>
      </c>
      <c r="AD348" s="958">
        <f t="shared" si="479"/>
        <v>0</v>
      </c>
      <c r="AE348" s="1071">
        <f t="shared" si="479"/>
        <v>0</v>
      </c>
      <c r="AF348" s="1072">
        <f t="shared" si="479"/>
        <v>0</v>
      </c>
      <c r="AG348" s="1073">
        <f t="shared" si="479"/>
        <v>0</v>
      </c>
      <c r="AH348" s="1077">
        <f t="shared" si="479"/>
        <v>0</v>
      </c>
      <c r="AI348" s="1078">
        <f t="shared" si="479"/>
        <v>0</v>
      </c>
      <c r="AJ348" s="1080">
        <f t="shared" si="479"/>
        <v>0</v>
      </c>
      <c r="AK348" s="958">
        <f t="shared" si="479"/>
        <v>0</v>
      </c>
      <c r="AL348" s="882">
        <f t="shared" si="479"/>
        <v>0</v>
      </c>
      <c r="AM348" s="883">
        <f t="shared" si="479"/>
        <v>0</v>
      </c>
      <c r="AN348" s="901">
        <f t="shared" si="479"/>
        <v>0</v>
      </c>
      <c r="AO348" s="858">
        <f t="shared" si="479"/>
        <v>0</v>
      </c>
      <c r="AP348" s="859">
        <f t="shared" si="479"/>
        <v>0</v>
      </c>
      <c r="AQ348" s="840">
        <f t="shared" si="479"/>
        <v>0</v>
      </c>
      <c r="AR348" s="765">
        <f t="shared" si="479"/>
        <v>0</v>
      </c>
      <c r="AS348" s="852">
        <f t="shared" si="479"/>
        <v>0</v>
      </c>
      <c r="AT348" s="853">
        <f t="shared" si="479"/>
        <v>0</v>
      </c>
      <c r="AU348" s="846">
        <f t="shared" si="479"/>
        <v>0</v>
      </c>
      <c r="AV348" s="893">
        <f t="shared" si="479"/>
        <v>0</v>
      </c>
      <c r="AW348" s="894">
        <f t="shared" si="479"/>
        <v>0</v>
      </c>
      <c r="AX348" s="877">
        <f t="shared" si="479"/>
        <v>0</v>
      </c>
      <c r="AY348" s="765">
        <f t="shared" ref="AY348:BE348" si="480">SUM(AY56,AY115,AY173,AY231,AY289)</f>
        <v>0</v>
      </c>
      <c r="AZ348" s="882">
        <f t="shared" si="480"/>
        <v>0</v>
      </c>
      <c r="BA348" s="883">
        <f t="shared" si="480"/>
        <v>0</v>
      </c>
      <c r="BB348" s="901">
        <f t="shared" si="480"/>
        <v>0</v>
      </c>
      <c r="BC348" s="858">
        <f t="shared" si="480"/>
        <v>0</v>
      </c>
      <c r="BD348" s="859">
        <f t="shared" si="480"/>
        <v>0</v>
      </c>
      <c r="BE348" s="840">
        <f t="shared" si="480"/>
        <v>0</v>
      </c>
      <c r="BF348" s="765">
        <f t="shared" ref="BF348:BL348" si="481">SUM(BF56,BF115,BF173,BF231,BF289)</f>
        <v>0</v>
      </c>
      <c r="BG348" s="852">
        <f t="shared" si="481"/>
        <v>0</v>
      </c>
      <c r="BH348" s="853">
        <f t="shared" si="481"/>
        <v>0</v>
      </c>
      <c r="BI348" s="846">
        <f t="shared" si="481"/>
        <v>0</v>
      </c>
      <c r="BJ348" s="893">
        <f t="shared" si="481"/>
        <v>0</v>
      </c>
      <c r="BK348" s="894">
        <f t="shared" si="481"/>
        <v>0</v>
      </c>
      <c r="BL348" s="877">
        <f t="shared" si="481"/>
        <v>0</v>
      </c>
      <c r="BM348" s="765">
        <f t="shared" ref="BM348:BS348" si="482">SUM(BM56,BM115,BM173,BM231,BM289)</f>
        <v>0</v>
      </c>
      <c r="BN348" s="882">
        <f t="shared" si="482"/>
        <v>0</v>
      </c>
      <c r="BO348" s="883">
        <f t="shared" si="482"/>
        <v>0</v>
      </c>
      <c r="BP348" s="901">
        <f t="shared" si="482"/>
        <v>0</v>
      </c>
      <c r="BQ348" s="858">
        <f t="shared" si="482"/>
        <v>0</v>
      </c>
      <c r="BR348" s="859">
        <f t="shared" si="482"/>
        <v>0</v>
      </c>
      <c r="BS348" s="840">
        <f t="shared" si="482"/>
        <v>0</v>
      </c>
      <c r="BT348" s="765">
        <f t="shared" ref="BT348:BZ348" si="483">SUM(BT56,BT115,BT173,BT231,BT289)</f>
        <v>0</v>
      </c>
      <c r="BU348" s="852">
        <f t="shared" si="483"/>
        <v>0</v>
      </c>
      <c r="BV348" s="853">
        <f t="shared" si="483"/>
        <v>0</v>
      </c>
      <c r="BW348" s="846">
        <f t="shared" si="483"/>
        <v>0</v>
      </c>
      <c r="BX348" s="893">
        <f t="shared" si="483"/>
        <v>0</v>
      </c>
      <c r="BY348" s="894">
        <f t="shared" si="483"/>
        <v>0</v>
      </c>
      <c r="BZ348" s="877">
        <f t="shared" si="483"/>
        <v>0</v>
      </c>
      <c r="CA348" s="765">
        <f t="shared" ref="CA348:CG348" si="484">SUM(CA56,CA115,CA173,CA231,CA289)</f>
        <v>0</v>
      </c>
      <c r="CB348" s="882">
        <f t="shared" si="484"/>
        <v>0</v>
      </c>
      <c r="CC348" s="883">
        <f t="shared" si="484"/>
        <v>0</v>
      </c>
      <c r="CD348" s="901">
        <f t="shared" si="484"/>
        <v>0</v>
      </c>
      <c r="CE348" s="858">
        <f t="shared" si="484"/>
        <v>0</v>
      </c>
      <c r="CF348" s="859">
        <f t="shared" si="484"/>
        <v>0</v>
      </c>
      <c r="CG348" s="840">
        <f t="shared" si="484"/>
        <v>0</v>
      </c>
      <c r="CH348" s="765">
        <f t="shared" ref="CH348:CN348" si="485">SUM(CH56,CH115,CH173,CH231,CH289)</f>
        <v>0</v>
      </c>
      <c r="CI348" s="852">
        <f t="shared" si="485"/>
        <v>0</v>
      </c>
      <c r="CJ348" s="853">
        <f t="shared" si="485"/>
        <v>0</v>
      </c>
      <c r="CK348" s="846">
        <f t="shared" si="485"/>
        <v>0</v>
      </c>
      <c r="CL348" s="893">
        <f t="shared" si="485"/>
        <v>0</v>
      </c>
      <c r="CM348" s="894">
        <f t="shared" si="485"/>
        <v>0</v>
      </c>
      <c r="CN348" s="877">
        <f t="shared" si="485"/>
        <v>0</v>
      </c>
    </row>
    <row r="349" spans="1:92" x14ac:dyDescent="0.25">
      <c r="A349" s="757">
        <v>49</v>
      </c>
      <c r="B349" s="765">
        <f t="shared" si="156"/>
        <v>0</v>
      </c>
      <c r="C349" s="844">
        <f t="shared" ref="C349:AX349" si="486">SUM(C57,C116,C174,C232,C290)</f>
        <v>0</v>
      </c>
      <c r="D349" s="844">
        <f t="shared" si="486"/>
        <v>0</v>
      </c>
      <c r="E349" s="846">
        <f t="shared" si="486"/>
        <v>0</v>
      </c>
      <c r="F349" s="876">
        <f t="shared" si="486"/>
        <v>0</v>
      </c>
      <c r="G349" s="889">
        <f t="shared" si="486"/>
        <v>0</v>
      </c>
      <c r="H349" s="877">
        <f t="shared" si="486"/>
        <v>0</v>
      </c>
      <c r="I349" s="765">
        <f t="shared" si="486"/>
        <v>0</v>
      </c>
      <c r="J349" s="882">
        <f t="shared" si="486"/>
        <v>0</v>
      </c>
      <c r="K349" s="883">
        <f t="shared" si="486"/>
        <v>0</v>
      </c>
      <c r="L349" s="871">
        <f t="shared" si="486"/>
        <v>0</v>
      </c>
      <c r="M349" s="858">
        <f t="shared" si="486"/>
        <v>0</v>
      </c>
      <c r="N349" s="859">
        <f t="shared" si="486"/>
        <v>0</v>
      </c>
      <c r="O349" s="840">
        <f t="shared" si="486"/>
        <v>0</v>
      </c>
      <c r="P349" s="765">
        <f t="shared" si="486"/>
        <v>0</v>
      </c>
      <c r="Q349" s="852">
        <f t="shared" si="486"/>
        <v>0</v>
      </c>
      <c r="R349" s="853">
        <f t="shared" si="486"/>
        <v>0</v>
      </c>
      <c r="S349" s="846">
        <f t="shared" si="486"/>
        <v>0</v>
      </c>
      <c r="T349" s="893">
        <f t="shared" si="486"/>
        <v>0</v>
      </c>
      <c r="U349" s="894">
        <f t="shared" si="486"/>
        <v>0</v>
      </c>
      <c r="V349" s="877">
        <f t="shared" si="486"/>
        <v>0</v>
      </c>
      <c r="W349" s="958">
        <f t="shared" si="486"/>
        <v>0</v>
      </c>
      <c r="X349" s="882">
        <f t="shared" si="486"/>
        <v>0</v>
      </c>
      <c r="Y349" s="883">
        <f t="shared" si="486"/>
        <v>0</v>
      </c>
      <c r="Z349" s="901">
        <f t="shared" si="486"/>
        <v>0</v>
      </c>
      <c r="AA349" s="858">
        <f t="shared" si="486"/>
        <v>0</v>
      </c>
      <c r="AB349" s="859">
        <f t="shared" si="486"/>
        <v>0</v>
      </c>
      <c r="AC349" s="840">
        <f t="shared" si="486"/>
        <v>0</v>
      </c>
      <c r="AD349" s="958">
        <f t="shared" si="486"/>
        <v>0</v>
      </c>
      <c r="AE349" s="1071">
        <f t="shared" si="486"/>
        <v>0</v>
      </c>
      <c r="AF349" s="1072">
        <f t="shared" si="486"/>
        <v>0</v>
      </c>
      <c r="AG349" s="1073">
        <f t="shared" si="486"/>
        <v>0</v>
      </c>
      <c r="AH349" s="1077">
        <f t="shared" si="486"/>
        <v>0</v>
      </c>
      <c r="AI349" s="1078">
        <f t="shared" si="486"/>
        <v>0</v>
      </c>
      <c r="AJ349" s="1080">
        <f t="shared" si="486"/>
        <v>0</v>
      </c>
      <c r="AK349" s="958">
        <f t="shared" si="486"/>
        <v>0</v>
      </c>
      <c r="AL349" s="882">
        <f t="shared" si="486"/>
        <v>0</v>
      </c>
      <c r="AM349" s="883">
        <f t="shared" si="486"/>
        <v>0</v>
      </c>
      <c r="AN349" s="901">
        <f t="shared" si="486"/>
        <v>0</v>
      </c>
      <c r="AO349" s="858">
        <f t="shared" si="486"/>
        <v>0</v>
      </c>
      <c r="AP349" s="859">
        <f t="shared" si="486"/>
        <v>0</v>
      </c>
      <c r="AQ349" s="840">
        <f t="shared" si="486"/>
        <v>0</v>
      </c>
      <c r="AR349" s="765">
        <f t="shared" si="486"/>
        <v>0</v>
      </c>
      <c r="AS349" s="852">
        <f t="shared" si="486"/>
        <v>0</v>
      </c>
      <c r="AT349" s="853">
        <f t="shared" si="486"/>
        <v>0</v>
      </c>
      <c r="AU349" s="846">
        <f t="shared" si="486"/>
        <v>0</v>
      </c>
      <c r="AV349" s="893">
        <f t="shared" si="486"/>
        <v>0</v>
      </c>
      <c r="AW349" s="894">
        <f t="shared" si="486"/>
        <v>0</v>
      </c>
      <c r="AX349" s="877">
        <f t="shared" si="486"/>
        <v>0</v>
      </c>
      <c r="AY349" s="765">
        <f t="shared" ref="AY349:BE349" si="487">SUM(AY57,AY116,AY174,AY232,AY290)</f>
        <v>0</v>
      </c>
      <c r="AZ349" s="882">
        <f t="shared" si="487"/>
        <v>0</v>
      </c>
      <c r="BA349" s="883">
        <f t="shared" si="487"/>
        <v>0</v>
      </c>
      <c r="BB349" s="901">
        <f t="shared" si="487"/>
        <v>0</v>
      </c>
      <c r="BC349" s="858">
        <f t="shared" si="487"/>
        <v>0</v>
      </c>
      <c r="BD349" s="859">
        <f t="shared" si="487"/>
        <v>0</v>
      </c>
      <c r="BE349" s="840">
        <f t="shared" si="487"/>
        <v>0</v>
      </c>
      <c r="BF349" s="765">
        <f t="shared" ref="BF349:BL349" si="488">SUM(BF57,BF116,BF174,BF232,BF290)</f>
        <v>0</v>
      </c>
      <c r="BG349" s="852">
        <f t="shared" si="488"/>
        <v>0</v>
      </c>
      <c r="BH349" s="853">
        <f t="shared" si="488"/>
        <v>0</v>
      </c>
      <c r="BI349" s="846">
        <f t="shared" si="488"/>
        <v>0</v>
      </c>
      <c r="BJ349" s="893">
        <f t="shared" si="488"/>
        <v>0</v>
      </c>
      <c r="BK349" s="894">
        <f t="shared" si="488"/>
        <v>0</v>
      </c>
      <c r="BL349" s="877">
        <f t="shared" si="488"/>
        <v>0</v>
      </c>
      <c r="BM349" s="765">
        <f t="shared" ref="BM349:BS349" si="489">SUM(BM57,BM116,BM174,BM232,BM290)</f>
        <v>0</v>
      </c>
      <c r="BN349" s="882">
        <f t="shared" si="489"/>
        <v>0</v>
      </c>
      <c r="BO349" s="883">
        <f t="shared" si="489"/>
        <v>0</v>
      </c>
      <c r="BP349" s="901">
        <f t="shared" si="489"/>
        <v>0</v>
      </c>
      <c r="BQ349" s="858">
        <f t="shared" si="489"/>
        <v>0</v>
      </c>
      <c r="BR349" s="859">
        <f t="shared" si="489"/>
        <v>0</v>
      </c>
      <c r="BS349" s="840">
        <f t="shared" si="489"/>
        <v>0</v>
      </c>
      <c r="BT349" s="765">
        <f t="shared" ref="BT349:BZ349" si="490">SUM(BT57,BT116,BT174,BT232,BT290)</f>
        <v>0</v>
      </c>
      <c r="BU349" s="852">
        <f t="shared" si="490"/>
        <v>0</v>
      </c>
      <c r="BV349" s="853">
        <f t="shared" si="490"/>
        <v>0</v>
      </c>
      <c r="BW349" s="846">
        <f t="shared" si="490"/>
        <v>0</v>
      </c>
      <c r="BX349" s="893">
        <f t="shared" si="490"/>
        <v>0</v>
      </c>
      <c r="BY349" s="894">
        <f t="shared" si="490"/>
        <v>0</v>
      </c>
      <c r="BZ349" s="877">
        <f t="shared" si="490"/>
        <v>0</v>
      </c>
      <c r="CA349" s="765">
        <f t="shared" ref="CA349:CG349" si="491">SUM(CA57,CA116,CA174,CA232,CA290)</f>
        <v>0</v>
      </c>
      <c r="CB349" s="882">
        <f t="shared" si="491"/>
        <v>0</v>
      </c>
      <c r="CC349" s="883">
        <f t="shared" si="491"/>
        <v>0</v>
      </c>
      <c r="CD349" s="901">
        <f t="shared" si="491"/>
        <v>0</v>
      </c>
      <c r="CE349" s="858">
        <f t="shared" si="491"/>
        <v>0</v>
      </c>
      <c r="CF349" s="859">
        <f t="shared" si="491"/>
        <v>0</v>
      </c>
      <c r="CG349" s="840">
        <f t="shared" si="491"/>
        <v>0</v>
      </c>
      <c r="CH349" s="765">
        <f t="shared" ref="CH349:CN349" si="492">SUM(CH57,CH116,CH174,CH232,CH290)</f>
        <v>0</v>
      </c>
      <c r="CI349" s="852">
        <f t="shared" si="492"/>
        <v>0</v>
      </c>
      <c r="CJ349" s="853">
        <f t="shared" si="492"/>
        <v>0</v>
      </c>
      <c r="CK349" s="846">
        <f t="shared" si="492"/>
        <v>0</v>
      </c>
      <c r="CL349" s="893">
        <f t="shared" si="492"/>
        <v>0</v>
      </c>
      <c r="CM349" s="894">
        <f t="shared" si="492"/>
        <v>0</v>
      </c>
      <c r="CN349" s="877">
        <f t="shared" si="492"/>
        <v>0</v>
      </c>
    </row>
    <row r="350" spans="1:92" x14ac:dyDescent="0.25">
      <c r="A350" s="757">
        <v>50</v>
      </c>
      <c r="B350" s="765">
        <f t="shared" si="156"/>
        <v>0</v>
      </c>
      <c r="C350" s="844">
        <f t="shared" ref="C350:AX350" si="493">SUM(C58,C117,C175,C233,C291)</f>
        <v>0</v>
      </c>
      <c r="D350" s="844">
        <f t="shared" si="493"/>
        <v>0</v>
      </c>
      <c r="E350" s="846">
        <f t="shared" si="493"/>
        <v>0</v>
      </c>
      <c r="F350" s="876">
        <f t="shared" si="493"/>
        <v>0</v>
      </c>
      <c r="G350" s="889">
        <f t="shared" si="493"/>
        <v>0</v>
      </c>
      <c r="H350" s="877">
        <f t="shared" si="493"/>
        <v>0</v>
      </c>
      <c r="I350" s="765">
        <f t="shared" si="493"/>
        <v>8</v>
      </c>
      <c r="J350" s="882">
        <f t="shared" si="493"/>
        <v>8</v>
      </c>
      <c r="K350" s="883">
        <f t="shared" si="493"/>
        <v>0</v>
      </c>
      <c r="L350" s="871">
        <f t="shared" si="493"/>
        <v>8</v>
      </c>
      <c r="M350" s="858">
        <f t="shared" si="493"/>
        <v>0</v>
      </c>
      <c r="N350" s="859">
        <f t="shared" si="493"/>
        <v>0</v>
      </c>
      <c r="O350" s="840">
        <f t="shared" si="493"/>
        <v>0</v>
      </c>
      <c r="P350" s="765">
        <f t="shared" si="493"/>
        <v>10</v>
      </c>
      <c r="Q350" s="852">
        <f t="shared" si="493"/>
        <v>10</v>
      </c>
      <c r="R350" s="853">
        <f t="shared" si="493"/>
        <v>0</v>
      </c>
      <c r="S350" s="846">
        <f t="shared" si="493"/>
        <v>0</v>
      </c>
      <c r="T350" s="893">
        <f t="shared" si="493"/>
        <v>0</v>
      </c>
      <c r="U350" s="894">
        <f t="shared" si="493"/>
        <v>0</v>
      </c>
      <c r="V350" s="877">
        <f t="shared" si="493"/>
        <v>0</v>
      </c>
      <c r="W350" s="958">
        <f t="shared" si="493"/>
        <v>0</v>
      </c>
      <c r="X350" s="882">
        <f t="shared" si="493"/>
        <v>0</v>
      </c>
      <c r="Y350" s="883">
        <f t="shared" si="493"/>
        <v>0</v>
      </c>
      <c r="Z350" s="901">
        <f t="shared" si="493"/>
        <v>0</v>
      </c>
      <c r="AA350" s="858">
        <f t="shared" si="493"/>
        <v>0</v>
      </c>
      <c r="AB350" s="859">
        <f t="shared" si="493"/>
        <v>0</v>
      </c>
      <c r="AC350" s="840">
        <f t="shared" si="493"/>
        <v>0</v>
      </c>
      <c r="AD350" s="958">
        <f t="shared" si="493"/>
        <v>0</v>
      </c>
      <c r="AE350" s="1071">
        <f t="shared" si="493"/>
        <v>0</v>
      </c>
      <c r="AF350" s="1072">
        <f t="shared" si="493"/>
        <v>0</v>
      </c>
      <c r="AG350" s="1073">
        <f t="shared" si="493"/>
        <v>0</v>
      </c>
      <c r="AH350" s="1077">
        <f t="shared" si="493"/>
        <v>0</v>
      </c>
      <c r="AI350" s="1078">
        <f t="shared" si="493"/>
        <v>0</v>
      </c>
      <c r="AJ350" s="1080">
        <f t="shared" si="493"/>
        <v>0</v>
      </c>
      <c r="AK350" s="958">
        <f t="shared" si="493"/>
        <v>0</v>
      </c>
      <c r="AL350" s="882">
        <f t="shared" si="493"/>
        <v>0</v>
      </c>
      <c r="AM350" s="883">
        <f t="shared" si="493"/>
        <v>0</v>
      </c>
      <c r="AN350" s="901">
        <f t="shared" si="493"/>
        <v>0</v>
      </c>
      <c r="AO350" s="858">
        <f t="shared" si="493"/>
        <v>0</v>
      </c>
      <c r="AP350" s="859">
        <f t="shared" si="493"/>
        <v>0</v>
      </c>
      <c r="AQ350" s="840">
        <f t="shared" si="493"/>
        <v>0</v>
      </c>
      <c r="AR350" s="765">
        <f t="shared" si="493"/>
        <v>0</v>
      </c>
      <c r="AS350" s="852">
        <f t="shared" si="493"/>
        <v>0</v>
      </c>
      <c r="AT350" s="853">
        <f t="shared" si="493"/>
        <v>0</v>
      </c>
      <c r="AU350" s="846">
        <f t="shared" si="493"/>
        <v>0</v>
      </c>
      <c r="AV350" s="893">
        <f t="shared" si="493"/>
        <v>0</v>
      </c>
      <c r="AW350" s="894">
        <f t="shared" si="493"/>
        <v>0</v>
      </c>
      <c r="AX350" s="877">
        <f t="shared" si="493"/>
        <v>0</v>
      </c>
      <c r="AY350" s="765">
        <f t="shared" ref="AY350:BE350" si="494">SUM(AY58,AY117,AY175,AY233,AY291)</f>
        <v>0</v>
      </c>
      <c r="AZ350" s="882">
        <f t="shared" si="494"/>
        <v>0</v>
      </c>
      <c r="BA350" s="883">
        <f t="shared" si="494"/>
        <v>0</v>
      </c>
      <c r="BB350" s="901">
        <f t="shared" si="494"/>
        <v>0</v>
      </c>
      <c r="BC350" s="858">
        <f t="shared" si="494"/>
        <v>0</v>
      </c>
      <c r="BD350" s="859">
        <f t="shared" si="494"/>
        <v>0</v>
      </c>
      <c r="BE350" s="840">
        <f t="shared" si="494"/>
        <v>0</v>
      </c>
      <c r="BF350" s="765">
        <f t="shared" ref="BF350:BL350" si="495">SUM(BF58,BF117,BF175,BF233,BF291)</f>
        <v>0</v>
      </c>
      <c r="BG350" s="852">
        <f t="shared" si="495"/>
        <v>0</v>
      </c>
      <c r="BH350" s="853">
        <f t="shared" si="495"/>
        <v>0</v>
      </c>
      <c r="BI350" s="846">
        <f t="shared" si="495"/>
        <v>0</v>
      </c>
      <c r="BJ350" s="893">
        <f t="shared" si="495"/>
        <v>0</v>
      </c>
      <c r="BK350" s="894">
        <f t="shared" si="495"/>
        <v>0</v>
      </c>
      <c r="BL350" s="877">
        <f t="shared" si="495"/>
        <v>0</v>
      </c>
      <c r="BM350" s="765">
        <f t="shared" ref="BM350:BS350" si="496">SUM(BM58,BM117,BM175,BM233,BM291)</f>
        <v>0</v>
      </c>
      <c r="BN350" s="882">
        <f t="shared" si="496"/>
        <v>0</v>
      </c>
      <c r="BO350" s="883">
        <f t="shared" si="496"/>
        <v>0</v>
      </c>
      <c r="BP350" s="901">
        <f t="shared" si="496"/>
        <v>0</v>
      </c>
      <c r="BQ350" s="858">
        <f t="shared" si="496"/>
        <v>0</v>
      </c>
      <c r="BR350" s="859">
        <f t="shared" si="496"/>
        <v>0</v>
      </c>
      <c r="BS350" s="840">
        <f t="shared" si="496"/>
        <v>0</v>
      </c>
      <c r="BT350" s="765">
        <f t="shared" ref="BT350:BZ350" si="497">SUM(BT58,BT117,BT175,BT233,BT291)</f>
        <v>0</v>
      </c>
      <c r="BU350" s="852">
        <f t="shared" si="497"/>
        <v>0</v>
      </c>
      <c r="BV350" s="853">
        <f t="shared" si="497"/>
        <v>0</v>
      </c>
      <c r="BW350" s="846">
        <f t="shared" si="497"/>
        <v>0</v>
      </c>
      <c r="BX350" s="893">
        <f t="shared" si="497"/>
        <v>0</v>
      </c>
      <c r="BY350" s="894">
        <f t="shared" si="497"/>
        <v>0</v>
      </c>
      <c r="BZ350" s="877">
        <f t="shared" si="497"/>
        <v>0</v>
      </c>
      <c r="CA350" s="765">
        <f t="shared" ref="CA350:CG350" si="498">SUM(CA58,CA117,CA175,CA233,CA291)</f>
        <v>0</v>
      </c>
      <c r="CB350" s="882">
        <f t="shared" si="498"/>
        <v>0</v>
      </c>
      <c r="CC350" s="883">
        <f t="shared" si="498"/>
        <v>0</v>
      </c>
      <c r="CD350" s="901">
        <f t="shared" si="498"/>
        <v>0</v>
      </c>
      <c r="CE350" s="858">
        <f t="shared" si="498"/>
        <v>0</v>
      </c>
      <c r="CF350" s="859">
        <f t="shared" si="498"/>
        <v>0</v>
      </c>
      <c r="CG350" s="840">
        <f t="shared" si="498"/>
        <v>0</v>
      </c>
      <c r="CH350" s="765">
        <f t="shared" ref="CH350:CN350" si="499">SUM(CH58,CH117,CH175,CH233,CH291)</f>
        <v>0</v>
      </c>
      <c r="CI350" s="852">
        <f t="shared" si="499"/>
        <v>0</v>
      </c>
      <c r="CJ350" s="853">
        <f t="shared" si="499"/>
        <v>0</v>
      </c>
      <c r="CK350" s="846">
        <f t="shared" si="499"/>
        <v>0</v>
      </c>
      <c r="CL350" s="893">
        <f t="shared" si="499"/>
        <v>0</v>
      </c>
      <c r="CM350" s="894">
        <f t="shared" si="499"/>
        <v>0</v>
      </c>
      <c r="CN350" s="877">
        <f t="shared" si="499"/>
        <v>0</v>
      </c>
    </row>
    <row r="351" spans="1:92" x14ac:dyDescent="0.25">
      <c r="A351" s="757">
        <v>51</v>
      </c>
      <c r="B351" s="765">
        <f t="shared" si="156"/>
        <v>31</v>
      </c>
      <c r="C351" s="844">
        <f t="shared" ref="C351:AX351" si="500">SUM(C59,C118,C176,C234,C292)</f>
        <v>26.23076923076923</v>
      </c>
      <c r="D351" s="844">
        <f t="shared" si="500"/>
        <v>0</v>
      </c>
      <c r="E351" s="846">
        <f t="shared" si="500"/>
        <v>26.23076923076923</v>
      </c>
      <c r="F351" s="876">
        <f t="shared" si="500"/>
        <v>4.7692307692307692</v>
      </c>
      <c r="G351" s="889">
        <f t="shared" si="500"/>
        <v>0</v>
      </c>
      <c r="H351" s="877">
        <f t="shared" si="500"/>
        <v>4.7692307692307692</v>
      </c>
      <c r="I351" s="765">
        <f t="shared" si="500"/>
        <v>6</v>
      </c>
      <c r="J351" s="882">
        <f t="shared" si="500"/>
        <v>6</v>
      </c>
      <c r="K351" s="883">
        <f t="shared" si="500"/>
        <v>0</v>
      </c>
      <c r="L351" s="871">
        <f t="shared" si="500"/>
        <v>6</v>
      </c>
      <c r="M351" s="858">
        <f t="shared" si="500"/>
        <v>0</v>
      </c>
      <c r="N351" s="859">
        <f t="shared" si="500"/>
        <v>0</v>
      </c>
      <c r="O351" s="840">
        <f t="shared" si="500"/>
        <v>0</v>
      </c>
      <c r="P351" s="765">
        <f t="shared" si="500"/>
        <v>11</v>
      </c>
      <c r="Q351" s="852">
        <f t="shared" si="500"/>
        <v>7</v>
      </c>
      <c r="R351" s="853">
        <f t="shared" si="500"/>
        <v>0</v>
      </c>
      <c r="S351" s="846">
        <f t="shared" si="500"/>
        <v>0</v>
      </c>
      <c r="T351" s="893">
        <f t="shared" si="500"/>
        <v>4</v>
      </c>
      <c r="U351" s="894">
        <f t="shared" si="500"/>
        <v>0</v>
      </c>
      <c r="V351" s="877">
        <f t="shared" si="500"/>
        <v>4</v>
      </c>
      <c r="W351" s="958">
        <f t="shared" si="500"/>
        <v>0</v>
      </c>
      <c r="X351" s="882">
        <f t="shared" si="500"/>
        <v>0</v>
      </c>
      <c r="Y351" s="883">
        <f t="shared" si="500"/>
        <v>0</v>
      </c>
      <c r="Z351" s="901">
        <f t="shared" si="500"/>
        <v>0</v>
      </c>
      <c r="AA351" s="858">
        <f t="shared" si="500"/>
        <v>0</v>
      </c>
      <c r="AB351" s="859">
        <f t="shared" si="500"/>
        <v>0</v>
      </c>
      <c r="AC351" s="840">
        <f t="shared" si="500"/>
        <v>0</v>
      </c>
      <c r="AD351" s="958">
        <f t="shared" si="500"/>
        <v>0</v>
      </c>
      <c r="AE351" s="1071">
        <f t="shared" si="500"/>
        <v>0</v>
      </c>
      <c r="AF351" s="1072">
        <f t="shared" si="500"/>
        <v>0</v>
      </c>
      <c r="AG351" s="1073">
        <f t="shared" si="500"/>
        <v>0</v>
      </c>
      <c r="AH351" s="1077">
        <f t="shared" si="500"/>
        <v>0</v>
      </c>
      <c r="AI351" s="1078">
        <f t="shared" si="500"/>
        <v>0</v>
      </c>
      <c r="AJ351" s="1080">
        <f t="shared" si="500"/>
        <v>0</v>
      </c>
      <c r="AK351" s="958">
        <f t="shared" si="500"/>
        <v>0</v>
      </c>
      <c r="AL351" s="882">
        <f t="shared" si="500"/>
        <v>0</v>
      </c>
      <c r="AM351" s="883">
        <f t="shared" si="500"/>
        <v>0</v>
      </c>
      <c r="AN351" s="901">
        <f t="shared" si="500"/>
        <v>0</v>
      </c>
      <c r="AO351" s="858">
        <f t="shared" si="500"/>
        <v>0</v>
      </c>
      <c r="AP351" s="859">
        <f t="shared" si="500"/>
        <v>0</v>
      </c>
      <c r="AQ351" s="840">
        <f t="shared" si="500"/>
        <v>0</v>
      </c>
      <c r="AR351" s="765">
        <f t="shared" si="500"/>
        <v>0</v>
      </c>
      <c r="AS351" s="852">
        <f t="shared" si="500"/>
        <v>0</v>
      </c>
      <c r="AT351" s="853">
        <f t="shared" si="500"/>
        <v>0</v>
      </c>
      <c r="AU351" s="846">
        <f t="shared" si="500"/>
        <v>0</v>
      </c>
      <c r="AV351" s="893">
        <f t="shared" si="500"/>
        <v>0</v>
      </c>
      <c r="AW351" s="894">
        <f t="shared" si="500"/>
        <v>0</v>
      </c>
      <c r="AX351" s="877">
        <f t="shared" si="500"/>
        <v>0</v>
      </c>
      <c r="AY351" s="765">
        <f t="shared" ref="AY351:BE351" si="501">SUM(AY59,AY118,AY176,AY234,AY292)</f>
        <v>0</v>
      </c>
      <c r="AZ351" s="882">
        <f t="shared" si="501"/>
        <v>0</v>
      </c>
      <c r="BA351" s="883">
        <f t="shared" si="501"/>
        <v>0</v>
      </c>
      <c r="BB351" s="901">
        <f t="shared" si="501"/>
        <v>0</v>
      </c>
      <c r="BC351" s="858">
        <f t="shared" si="501"/>
        <v>0</v>
      </c>
      <c r="BD351" s="859">
        <f t="shared" si="501"/>
        <v>0</v>
      </c>
      <c r="BE351" s="840">
        <f t="shared" si="501"/>
        <v>0</v>
      </c>
      <c r="BF351" s="765">
        <f t="shared" ref="BF351:BL351" si="502">SUM(BF59,BF118,BF176,BF234,BF292)</f>
        <v>0</v>
      </c>
      <c r="BG351" s="852">
        <f t="shared" si="502"/>
        <v>0</v>
      </c>
      <c r="BH351" s="853">
        <f t="shared" si="502"/>
        <v>0</v>
      </c>
      <c r="BI351" s="846">
        <f t="shared" si="502"/>
        <v>0</v>
      </c>
      <c r="BJ351" s="893">
        <f t="shared" si="502"/>
        <v>0</v>
      </c>
      <c r="BK351" s="894">
        <f t="shared" si="502"/>
        <v>0</v>
      </c>
      <c r="BL351" s="877">
        <f t="shared" si="502"/>
        <v>0</v>
      </c>
      <c r="BM351" s="765">
        <f t="shared" ref="BM351:BS351" si="503">SUM(BM59,BM118,BM176,BM234,BM292)</f>
        <v>0</v>
      </c>
      <c r="BN351" s="882">
        <f t="shared" si="503"/>
        <v>0</v>
      </c>
      <c r="BO351" s="883">
        <f t="shared" si="503"/>
        <v>0</v>
      </c>
      <c r="BP351" s="901">
        <f t="shared" si="503"/>
        <v>0</v>
      </c>
      <c r="BQ351" s="858">
        <f t="shared" si="503"/>
        <v>0</v>
      </c>
      <c r="BR351" s="859">
        <f t="shared" si="503"/>
        <v>0</v>
      </c>
      <c r="BS351" s="840">
        <f t="shared" si="503"/>
        <v>0</v>
      </c>
      <c r="BT351" s="765">
        <f t="shared" ref="BT351:BZ351" si="504">SUM(BT59,BT118,BT176,BT234,BT292)</f>
        <v>0</v>
      </c>
      <c r="BU351" s="852">
        <f t="shared" si="504"/>
        <v>0</v>
      </c>
      <c r="BV351" s="853">
        <f t="shared" si="504"/>
        <v>0</v>
      </c>
      <c r="BW351" s="846">
        <f t="shared" si="504"/>
        <v>0</v>
      </c>
      <c r="BX351" s="893">
        <f t="shared" si="504"/>
        <v>0</v>
      </c>
      <c r="BY351" s="894">
        <f t="shared" si="504"/>
        <v>0</v>
      </c>
      <c r="BZ351" s="877">
        <f t="shared" si="504"/>
        <v>0</v>
      </c>
      <c r="CA351" s="765">
        <f t="shared" ref="CA351:CG351" si="505">SUM(CA59,CA118,CA176,CA234,CA292)</f>
        <v>0</v>
      </c>
      <c r="CB351" s="882">
        <f t="shared" si="505"/>
        <v>0</v>
      </c>
      <c r="CC351" s="883">
        <f t="shared" si="505"/>
        <v>0</v>
      </c>
      <c r="CD351" s="901">
        <f t="shared" si="505"/>
        <v>0</v>
      </c>
      <c r="CE351" s="858">
        <f t="shared" si="505"/>
        <v>0</v>
      </c>
      <c r="CF351" s="859">
        <f t="shared" si="505"/>
        <v>0</v>
      </c>
      <c r="CG351" s="840">
        <f t="shared" si="505"/>
        <v>0</v>
      </c>
      <c r="CH351" s="765">
        <f t="shared" ref="CH351:CN351" si="506">SUM(CH59,CH118,CH176,CH234,CH292)</f>
        <v>0</v>
      </c>
      <c r="CI351" s="852">
        <f t="shared" si="506"/>
        <v>0</v>
      </c>
      <c r="CJ351" s="853">
        <f t="shared" si="506"/>
        <v>0</v>
      </c>
      <c r="CK351" s="846">
        <f t="shared" si="506"/>
        <v>0</v>
      </c>
      <c r="CL351" s="893">
        <f t="shared" si="506"/>
        <v>0</v>
      </c>
      <c r="CM351" s="894">
        <f t="shared" si="506"/>
        <v>0</v>
      </c>
      <c r="CN351" s="877">
        <f t="shared" si="506"/>
        <v>0</v>
      </c>
    </row>
    <row r="352" spans="1:92" x14ac:dyDescent="0.25">
      <c r="A352" s="757">
        <v>52</v>
      </c>
      <c r="B352" s="765">
        <f t="shared" si="156"/>
        <v>40</v>
      </c>
      <c r="C352" s="844">
        <f t="shared" ref="C352:AX352" si="507">SUM(C60,C119,C177,C235,C293)</f>
        <v>38.94736842105263</v>
      </c>
      <c r="D352" s="844">
        <f t="shared" si="507"/>
        <v>0</v>
      </c>
      <c r="E352" s="846">
        <f t="shared" si="507"/>
        <v>38.94736842105263</v>
      </c>
      <c r="F352" s="876">
        <f t="shared" si="507"/>
        <v>1.0526315789473684</v>
      </c>
      <c r="G352" s="889">
        <f t="shared" si="507"/>
        <v>0</v>
      </c>
      <c r="H352" s="877">
        <f t="shared" si="507"/>
        <v>1.0526315789473684</v>
      </c>
      <c r="I352" s="765">
        <f t="shared" si="507"/>
        <v>0</v>
      </c>
      <c r="J352" s="882">
        <f t="shared" si="507"/>
        <v>0</v>
      </c>
      <c r="K352" s="883">
        <f t="shared" si="507"/>
        <v>0</v>
      </c>
      <c r="L352" s="871">
        <f t="shared" si="507"/>
        <v>0</v>
      </c>
      <c r="M352" s="858">
        <f t="shared" si="507"/>
        <v>0</v>
      </c>
      <c r="N352" s="859">
        <f t="shared" si="507"/>
        <v>0</v>
      </c>
      <c r="O352" s="840">
        <f t="shared" si="507"/>
        <v>0</v>
      </c>
      <c r="P352" s="765">
        <f t="shared" si="507"/>
        <v>15</v>
      </c>
      <c r="Q352" s="852">
        <f t="shared" si="507"/>
        <v>14</v>
      </c>
      <c r="R352" s="853">
        <f t="shared" si="507"/>
        <v>0</v>
      </c>
      <c r="S352" s="846">
        <f t="shared" si="507"/>
        <v>0</v>
      </c>
      <c r="T352" s="893">
        <f t="shared" si="507"/>
        <v>1</v>
      </c>
      <c r="U352" s="894">
        <f t="shared" si="507"/>
        <v>0</v>
      </c>
      <c r="V352" s="877">
        <f t="shared" si="507"/>
        <v>1</v>
      </c>
      <c r="W352" s="958">
        <f t="shared" si="507"/>
        <v>0</v>
      </c>
      <c r="X352" s="882">
        <f t="shared" si="507"/>
        <v>0</v>
      </c>
      <c r="Y352" s="883">
        <f t="shared" si="507"/>
        <v>0</v>
      </c>
      <c r="Z352" s="901">
        <f t="shared" si="507"/>
        <v>0</v>
      </c>
      <c r="AA352" s="858">
        <f t="shared" si="507"/>
        <v>0</v>
      </c>
      <c r="AB352" s="859">
        <f t="shared" si="507"/>
        <v>0</v>
      </c>
      <c r="AC352" s="840">
        <f t="shared" si="507"/>
        <v>0</v>
      </c>
      <c r="AD352" s="958">
        <f t="shared" si="507"/>
        <v>0</v>
      </c>
      <c r="AE352" s="1071">
        <f t="shared" si="507"/>
        <v>0</v>
      </c>
      <c r="AF352" s="1072">
        <f t="shared" si="507"/>
        <v>0</v>
      </c>
      <c r="AG352" s="1073">
        <f t="shared" si="507"/>
        <v>0</v>
      </c>
      <c r="AH352" s="1077">
        <f t="shared" si="507"/>
        <v>0</v>
      </c>
      <c r="AI352" s="1078">
        <f t="shared" si="507"/>
        <v>0</v>
      </c>
      <c r="AJ352" s="1080">
        <f t="shared" si="507"/>
        <v>0</v>
      </c>
      <c r="AK352" s="958">
        <f t="shared" si="507"/>
        <v>0</v>
      </c>
      <c r="AL352" s="882">
        <f t="shared" si="507"/>
        <v>0</v>
      </c>
      <c r="AM352" s="883">
        <f t="shared" si="507"/>
        <v>0</v>
      </c>
      <c r="AN352" s="901">
        <f t="shared" si="507"/>
        <v>0</v>
      </c>
      <c r="AO352" s="858">
        <f t="shared" si="507"/>
        <v>0</v>
      </c>
      <c r="AP352" s="859">
        <f t="shared" si="507"/>
        <v>0</v>
      </c>
      <c r="AQ352" s="840">
        <f t="shared" si="507"/>
        <v>0</v>
      </c>
      <c r="AR352" s="765">
        <f t="shared" si="507"/>
        <v>0</v>
      </c>
      <c r="AS352" s="852">
        <f t="shared" si="507"/>
        <v>0</v>
      </c>
      <c r="AT352" s="853">
        <f t="shared" si="507"/>
        <v>0</v>
      </c>
      <c r="AU352" s="846">
        <f t="shared" si="507"/>
        <v>0</v>
      </c>
      <c r="AV352" s="893">
        <f t="shared" si="507"/>
        <v>0</v>
      </c>
      <c r="AW352" s="894">
        <f t="shared" si="507"/>
        <v>0</v>
      </c>
      <c r="AX352" s="877">
        <f t="shared" si="507"/>
        <v>0</v>
      </c>
      <c r="AY352" s="765">
        <f t="shared" ref="AY352:BE352" si="508">SUM(AY60,AY119,AY177,AY235,AY293)</f>
        <v>0</v>
      </c>
      <c r="AZ352" s="882">
        <f t="shared" si="508"/>
        <v>0</v>
      </c>
      <c r="BA352" s="883">
        <f t="shared" si="508"/>
        <v>0</v>
      </c>
      <c r="BB352" s="901">
        <f t="shared" si="508"/>
        <v>0</v>
      </c>
      <c r="BC352" s="858">
        <f t="shared" si="508"/>
        <v>0</v>
      </c>
      <c r="BD352" s="859">
        <f t="shared" si="508"/>
        <v>0</v>
      </c>
      <c r="BE352" s="840">
        <f t="shared" si="508"/>
        <v>0</v>
      </c>
      <c r="BF352" s="765">
        <f t="shared" ref="BF352:BL352" si="509">SUM(BF60,BF119,BF177,BF235,BF293)</f>
        <v>0</v>
      </c>
      <c r="BG352" s="852">
        <f t="shared" si="509"/>
        <v>0</v>
      </c>
      <c r="BH352" s="853">
        <f t="shared" si="509"/>
        <v>0</v>
      </c>
      <c r="BI352" s="846">
        <f t="shared" si="509"/>
        <v>0</v>
      </c>
      <c r="BJ352" s="893">
        <f t="shared" si="509"/>
        <v>0</v>
      </c>
      <c r="BK352" s="894">
        <f t="shared" si="509"/>
        <v>0</v>
      </c>
      <c r="BL352" s="877">
        <f t="shared" si="509"/>
        <v>0</v>
      </c>
      <c r="BM352" s="765">
        <f t="shared" ref="BM352:BS352" si="510">SUM(BM60,BM119,BM177,BM235,BM293)</f>
        <v>0</v>
      </c>
      <c r="BN352" s="882">
        <f t="shared" si="510"/>
        <v>0</v>
      </c>
      <c r="BO352" s="883">
        <f t="shared" si="510"/>
        <v>0</v>
      </c>
      <c r="BP352" s="901">
        <f t="shared" si="510"/>
        <v>0</v>
      </c>
      <c r="BQ352" s="858">
        <f t="shared" si="510"/>
        <v>0</v>
      </c>
      <c r="BR352" s="859">
        <f t="shared" si="510"/>
        <v>0</v>
      </c>
      <c r="BS352" s="840">
        <f t="shared" si="510"/>
        <v>0</v>
      </c>
      <c r="BT352" s="765">
        <f t="shared" ref="BT352:BZ352" si="511">SUM(BT60,BT119,BT177,BT235,BT293)</f>
        <v>0</v>
      </c>
      <c r="BU352" s="852">
        <f t="shared" si="511"/>
        <v>0</v>
      </c>
      <c r="BV352" s="853">
        <f t="shared" si="511"/>
        <v>0</v>
      </c>
      <c r="BW352" s="846">
        <f t="shared" si="511"/>
        <v>0</v>
      </c>
      <c r="BX352" s="893">
        <f t="shared" si="511"/>
        <v>0</v>
      </c>
      <c r="BY352" s="894">
        <f t="shared" si="511"/>
        <v>0</v>
      </c>
      <c r="BZ352" s="877">
        <f t="shared" si="511"/>
        <v>0</v>
      </c>
      <c r="CA352" s="765">
        <f t="shared" ref="CA352:CG352" si="512">SUM(CA60,CA119,CA177,CA235,CA293)</f>
        <v>0</v>
      </c>
      <c r="CB352" s="882">
        <f t="shared" si="512"/>
        <v>0</v>
      </c>
      <c r="CC352" s="883">
        <f t="shared" si="512"/>
        <v>0</v>
      </c>
      <c r="CD352" s="901">
        <f t="shared" si="512"/>
        <v>0</v>
      </c>
      <c r="CE352" s="858">
        <f t="shared" si="512"/>
        <v>0</v>
      </c>
      <c r="CF352" s="859">
        <f t="shared" si="512"/>
        <v>0</v>
      </c>
      <c r="CG352" s="840">
        <f t="shared" si="512"/>
        <v>0</v>
      </c>
      <c r="CH352" s="765">
        <f t="shared" ref="CH352:CN352" si="513">SUM(CH60,CH119,CH177,CH235,CH293)</f>
        <v>0</v>
      </c>
      <c r="CI352" s="852">
        <f t="shared" si="513"/>
        <v>0</v>
      </c>
      <c r="CJ352" s="853">
        <f t="shared" si="513"/>
        <v>0</v>
      </c>
      <c r="CK352" s="846">
        <f t="shared" si="513"/>
        <v>0</v>
      </c>
      <c r="CL352" s="893">
        <f t="shared" si="513"/>
        <v>0</v>
      </c>
      <c r="CM352" s="894">
        <f t="shared" si="513"/>
        <v>0</v>
      </c>
      <c r="CN352" s="877">
        <f t="shared" si="513"/>
        <v>0</v>
      </c>
    </row>
    <row r="353" spans="1:92" x14ac:dyDescent="0.25">
      <c r="A353" s="758">
        <v>53</v>
      </c>
      <c r="B353" s="766">
        <f t="shared" si="156"/>
        <v>0</v>
      </c>
      <c r="C353" s="849">
        <f t="shared" ref="C353:AX353" si="514">SUM(C61,C120,C178,C236,C294)</f>
        <v>0</v>
      </c>
      <c r="D353" s="849">
        <f t="shared" si="514"/>
        <v>0</v>
      </c>
      <c r="E353" s="847">
        <f t="shared" si="514"/>
        <v>0</v>
      </c>
      <c r="F353" s="878">
        <f t="shared" si="514"/>
        <v>0</v>
      </c>
      <c r="G353" s="890">
        <f t="shared" si="514"/>
        <v>0</v>
      </c>
      <c r="H353" s="879">
        <f t="shared" si="514"/>
        <v>0</v>
      </c>
      <c r="I353" s="766">
        <f t="shared" si="514"/>
        <v>0</v>
      </c>
      <c r="J353" s="885">
        <f t="shared" si="514"/>
        <v>0</v>
      </c>
      <c r="K353" s="886">
        <f t="shared" si="514"/>
        <v>0</v>
      </c>
      <c r="L353" s="873">
        <f t="shared" si="514"/>
        <v>0</v>
      </c>
      <c r="M353" s="861">
        <f t="shared" si="514"/>
        <v>0</v>
      </c>
      <c r="N353" s="862">
        <f t="shared" si="514"/>
        <v>0</v>
      </c>
      <c r="O353" s="841">
        <f t="shared" si="514"/>
        <v>0</v>
      </c>
      <c r="P353" s="766">
        <f t="shared" si="514"/>
        <v>10</v>
      </c>
      <c r="Q353" s="854">
        <f t="shared" si="514"/>
        <v>9</v>
      </c>
      <c r="R353" s="855">
        <f t="shared" si="514"/>
        <v>1</v>
      </c>
      <c r="S353" s="847">
        <f t="shared" si="514"/>
        <v>0</v>
      </c>
      <c r="T353" s="895">
        <f t="shared" si="514"/>
        <v>0</v>
      </c>
      <c r="U353" s="896">
        <f t="shared" si="514"/>
        <v>0</v>
      </c>
      <c r="V353" s="879">
        <f t="shared" si="514"/>
        <v>0</v>
      </c>
      <c r="W353" s="964">
        <f t="shared" si="514"/>
        <v>0</v>
      </c>
      <c r="X353" s="885">
        <f t="shared" si="514"/>
        <v>0</v>
      </c>
      <c r="Y353" s="886">
        <f t="shared" si="514"/>
        <v>0</v>
      </c>
      <c r="Z353" s="902">
        <f t="shared" si="514"/>
        <v>0</v>
      </c>
      <c r="AA353" s="861">
        <f t="shared" si="514"/>
        <v>0</v>
      </c>
      <c r="AB353" s="862">
        <f t="shared" si="514"/>
        <v>0</v>
      </c>
      <c r="AC353" s="841">
        <f t="shared" si="514"/>
        <v>0</v>
      </c>
      <c r="AD353" s="964">
        <f t="shared" si="514"/>
        <v>0</v>
      </c>
      <c r="AE353" s="1074">
        <f t="shared" si="514"/>
        <v>0</v>
      </c>
      <c r="AF353" s="1075">
        <f t="shared" si="514"/>
        <v>0</v>
      </c>
      <c r="AG353" s="1076">
        <f t="shared" si="514"/>
        <v>0</v>
      </c>
      <c r="AH353" s="1081">
        <f t="shared" si="514"/>
        <v>0</v>
      </c>
      <c r="AI353" s="1082">
        <f t="shared" si="514"/>
        <v>0</v>
      </c>
      <c r="AJ353" s="1083">
        <f t="shared" si="514"/>
        <v>0</v>
      </c>
      <c r="AK353" s="964">
        <f t="shared" si="514"/>
        <v>0</v>
      </c>
      <c r="AL353" s="885">
        <f t="shared" si="514"/>
        <v>0</v>
      </c>
      <c r="AM353" s="886">
        <f t="shared" si="514"/>
        <v>0</v>
      </c>
      <c r="AN353" s="902">
        <f t="shared" si="514"/>
        <v>0</v>
      </c>
      <c r="AO353" s="861">
        <f t="shared" si="514"/>
        <v>0</v>
      </c>
      <c r="AP353" s="862">
        <f t="shared" si="514"/>
        <v>0</v>
      </c>
      <c r="AQ353" s="841">
        <f t="shared" si="514"/>
        <v>0</v>
      </c>
      <c r="AR353" s="766">
        <f t="shared" si="514"/>
        <v>0</v>
      </c>
      <c r="AS353" s="854">
        <f t="shared" si="514"/>
        <v>0</v>
      </c>
      <c r="AT353" s="855">
        <f t="shared" si="514"/>
        <v>0</v>
      </c>
      <c r="AU353" s="847">
        <f t="shared" si="514"/>
        <v>0</v>
      </c>
      <c r="AV353" s="895">
        <f t="shared" si="514"/>
        <v>0</v>
      </c>
      <c r="AW353" s="896">
        <f t="shared" si="514"/>
        <v>0</v>
      </c>
      <c r="AX353" s="879">
        <f t="shared" si="514"/>
        <v>0</v>
      </c>
      <c r="AY353" s="766">
        <f t="shared" ref="AY353:BE353" si="515">SUM(AY61,AY120,AY178,AY236,AY294)</f>
        <v>0</v>
      </c>
      <c r="AZ353" s="885">
        <f t="shared" si="515"/>
        <v>0</v>
      </c>
      <c r="BA353" s="886">
        <f t="shared" si="515"/>
        <v>0</v>
      </c>
      <c r="BB353" s="902">
        <f t="shared" si="515"/>
        <v>0</v>
      </c>
      <c r="BC353" s="861">
        <f t="shared" si="515"/>
        <v>0</v>
      </c>
      <c r="BD353" s="862">
        <f t="shared" si="515"/>
        <v>0</v>
      </c>
      <c r="BE353" s="841">
        <f t="shared" si="515"/>
        <v>0</v>
      </c>
      <c r="BF353" s="766">
        <f t="shared" ref="BF353:BL353" si="516">SUM(BF61,BF120,BF178,BF236,BF294)</f>
        <v>0</v>
      </c>
      <c r="BG353" s="854">
        <f t="shared" si="516"/>
        <v>0</v>
      </c>
      <c r="BH353" s="855">
        <f t="shared" si="516"/>
        <v>0</v>
      </c>
      <c r="BI353" s="847">
        <f t="shared" si="516"/>
        <v>0</v>
      </c>
      <c r="BJ353" s="895">
        <f t="shared" si="516"/>
        <v>0</v>
      </c>
      <c r="BK353" s="896">
        <f t="shared" si="516"/>
        <v>0</v>
      </c>
      <c r="BL353" s="879">
        <f t="shared" si="516"/>
        <v>0</v>
      </c>
      <c r="BM353" s="766">
        <f t="shared" ref="BM353:BS353" si="517">SUM(BM61,BM120,BM178,BM236,BM294)</f>
        <v>0</v>
      </c>
      <c r="BN353" s="885">
        <f t="shared" si="517"/>
        <v>0</v>
      </c>
      <c r="BO353" s="886">
        <f t="shared" si="517"/>
        <v>0</v>
      </c>
      <c r="BP353" s="902">
        <f t="shared" si="517"/>
        <v>0</v>
      </c>
      <c r="BQ353" s="861">
        <f t="shared" si="517"/>
        <v>0</v>
      </c>
      <c r="BR353" s="862">
        <f t="shared" si="517"/>
        <v>0</v>
      </c>
      <c r="BS353" s="841">
        <f t="shared" si="517"/>
        <v>0</v>
      </c>
      <c r="BT353" s="766">
        <f t="shared" ref="BT353:BZ353" si="518">SUM(BT61,BT120,BT178,BT236,BT294)</f>
        <v>0</v>
      </c>
      <c r="BU353" s="854">
        <f t="shared" si="518"/>
        <v>0</v>
      </c>
      <c r="BV353" s="855">
        <f t="shared" si="518"/>
        <v>0</v>
      </c>
      <c r="BW353" s="847">
        <f t="shared" si="518"/>
        <v>0</v>
      </c>
      <c r="BX353" s="895">
        <f t="shared" si="518"/>
        <v>0</v>
      </c>
      <c r="BY353" s="896">
        <f t="shared" si="518"/>
        <v>0</v>
      </c>
      <c r="BZ353" s="879">
        <f t="shared" si="518"/>
        <v>0</v>
      </c>
      <c r="CA353" s="766">
        <f t="shared" ref="CA353:CG353" si="519">SUM(CA61,CA120,CA178,CA236,CA294)</f>
        <v>0</v>
      </c>
      <c r="CB353" s="885">
        <f t="shared" si="519"/>
        <v>0</v>
      </c>
      <c r="CC353" s="886">
        <f t="shared" si="519"/>
        <v>0</v>
      </c>
      <c r="CD353" s="902">
        <f t="shared" si="519"/>
        <v>0</v>
      </c>
      <c r="CE353" s="861">
        <f t="shared" si="519"/>
        <v>0</v>
      </c>
      <c r="CF353" s="862">
        <f t="shared" si="519"/>
        <v>0</v>
      </c>
      <c r="CG353" s="841">
        <f t="shared" si="519"/>
        <v>0</v>
      </c>
      <c r="CH353" s="766">
        <f t="shared" ref="CH353:CN353" si="520">SUM(CH61,CH120,CH178,CH236,CH294)</f>
        <v>0</v>
      </c>
      <c r="CI353" s="854">
        <f t="shared" si="520"/>
        <v>0</v>
      </c>
      <c r="CJ353" s="855">
        <f t="shared" si="520"/>
        <v>0</v>
      </c>
      <c r="CK353" s="847">
        <f t="shared" si="520"/>
        <v>0</v>
      </c>
      <c r="CL353" s="895">
        <f t="shared" si="520"/>
        <v>0</v>
      </c>
      <c r="CM353" s="896">
        <f t="shared" si="520"/>
        <v>0</v>
      </c>
      <c r="CN353" s="879">
        <f t="shared" si="520"/>
        <v>0</v>
      </c>
    </row>
    <row r="357" spans="1:92" x14ac:dyDescent="0.25">
      <c r="K357" s="1806"/>
      <c r="O357" s="1806" t="s">
        <v>535</v>
      </c>
      <c r="R357" s="1806"/>
      <c r="V357" s="1806" t="s">
        <v>535</v>
      </c>
      <c r="Y357" s="1806"/>
      <c r="AC357" s="1806" t="s">
        <v>535</v>
      </c>
      <c r="AF357" s="1806"/>
      <c r="AJ357" s="1806" t="s">
        <v>535</v>
      </c>
      <c r="AM357" s="1806"/>
      <c r="AQ357" s="1806" t="s">
        <v>535</v>
      </c>
      <c r="AT357" s="1806"/>
      <c r="AX357" s="1806" t="s">
        <v>535</v>
      </c>
      <c r="BA357" s="1806"/>
      <c r="BE357" s="1806" t="s">
        <v>535</v>
      </c>
      <c r="BH357" s="1806"/>
      <c r="BL357" s="1806" t="s">
        <v>535</v>
      </c>
      <c r="BO357" s="1806"/>
      <c r="BS357" s="1806" t="s">
        <v>535</v>
      </c>
      <c r="BV357" s="1806"/>
      <c r="BZ357" s="1806" t="s">
        <v>535</v>
      </c>
      <c r="CC357" s="1806"/>
      <c r="CG357" s="1806" t="s">
        <v>535</v>
      </c>
      <c r="CJ357" s="1806"/>
      <c r="CN357" s="1806" t="s">
        <v>535</v>
      </c>
    </row>
    <row r="358" spans="1:92" x14ac:dyDescent="0.25">
      <c r="J358" s="306">
        <f t="shared" ref="J358" si="521">SUM(E318:E344)</f>
        <v>27.402985281385281</v>
      </c>
      <c r="K358" s="707" t="s">
        <v>263</v>
      </c>
      <c r="L358" s="664"/>
      <c r="M358" s="664"/>
      <c r="N358" s="664"/>
      <c r="O358" s="1808">
        <f>TreatyCatch!BL296</f>
        <v>27.363476190476192</v>
      </c>
      <c r="Q358" s="306">
        <f t="shared" ref="Q358" si="522">SUM(L318:L344)</f>
        <v>5.3225792249484059</v>
      </c>
      <c r="R358" s="707" t="s">
        <v>263</v>
      </c>
      <c r="S358" s="664"/>
      <c r="T358" s="664"/>
      <c r="U358" s="664"/>
      <c r="V358" s="1808">
        <f>TreatyCatch!BR296</f>
        <v>5.3225792249484059</v>
      </c>
      <c r="X358" s="306">
        <f t="shared" ref="X358" si="523">SUM(S318:S344)</f>
        <v>7.0868000000000002</v>
      </c>
      <c r="Y358" s="707" t="s">
        <v>263</v>
      </c>
      <c r="Z358" s="664"/>
      <c r="AA358" s="664"/>
      <c r="AB358" s="664"/>
      <c r="AC358" s="1808">
        <f>TreatyCatch!BX296</f>
        <v>14.020133333333334</v>
      </c>
      <c r="AE358" s="306">
        <f t="shared" ref="AE358" si="524">SUM(Z318:Z344)</f>
        <v>14.242500000000001</v>
      </c>
      <c r="AF358" s="707" t="s">
        <v>263</v>
      </c>
      <c r="AG358" s="664"/>
      <c r="AH358" s="664"/>
      <c r="AI358" s="664"/>
      <c r="AJ358" s="1808">
        <f>TreatyCatch!CD296</f>
        <v>14.342500000000001</v>
      </c>
      <c r="AL358" s="306">
        <f t="shared" ref="AL358" si="525">SUM(AG318:AG344)</f>
        <v>6.6666666666666661</v>
      </c>
      <c r="AM358" s="707" t="s">
        <v>263</v>
      </c>
      <c r="AN358" s="664"/>
      <c r="AO358" s="664"/>
      <c r="AP358" s="664"/>
      <c r="AQ358" s="1808">
        <f>TreatyCatch!CJ296</f>
        <v>0</v>
      </c>
      <c r="AS358" s="306">
        <f t="shared" ref="AS358" si="526">SUM(AN318:AN344)</f>
        <v>0</v>
      </c>
      <c r="AT358" s="707" t="s">
        <v>263</v>
      </c>
      <c r="AU358" s="664"/>
      <c r="AV358" s="664"/>
      <c r="AW358" s="664"/>
      <c r="AX358" s="1808">
        <f>TreatyCatch!CP296</f>
        <v>0</v>
      </c>
      <c r="AZ358" s="306">
        <f t="shared" ref="AZ358" si="527">SUM(AU318:AU344)</f>
        <v>16.933</v>
      </c>
      <c r="BA358" s="707" t="s">
        <v>263</v>
      </c>
      <c r="BB358" s="664"/>
      <c r="BC358" s="664"/>
      <c r="BD358" s="664"/>
      <c r="BE358" s="1808">
        <f>TreatyCatch!CV296</f>
        <v>16.933333333333334</v>
      </c>
      <c r="BG358" s="306">
        <f t="shared" ref="BG358" si="528">SUM(BB318:BB344)</f>
        <v>5.6305799999999993</v>
      </c>
      <c r="BH358" s="707" t="s">
        <v>263</v>
      </c>
      <c r="BI358" s="664"/>
      <c r="BJ358" s="664"/>
      <c r="BK358" s="664"/>
      <c r="BL358" s="1808">
        <f>TreatyCatch!DB296</f>
        <v>5.2159799999999992</v>
      </c>
      <c r="BN358" s="306">
        <f t="shared" ref="BN358" si="529">SUM(BI318:BI344)</f>
        <v>1</v>
      </c>
      <c r="BO358" s="707" t="s">
        <v>263</v>
      </c>
      <c r="BP358" s="664"/>
      <c r="BQ358" s="664"/>
      <c r="BR358" s="664"/>
      <c r="BS358" s="1808">
        <f>TreatyCatch!DH296</f>
        <v>1</v>
      </c>
      <c r="BU358" s="306">
        <f t="shared" ref="BU358" si="530">SUM(BP318:BP344)</f>
        <v>0</v>
      </c>
      <c r="BV358" s="707" t="s">
        <v>263</v>
      </c>
      <c r="BW358" s="664"/>
      <c r="BX358" s="664"/>
      <c r="BY358" s="664"/>
      <c r="BZ358" s="1808">
        <f>TreatyCatch!DN296</f>
        <v>0</v>
      </c>
      <c r="CA358" s="1807"/>
      <c r="CB358" s="306">
        <f t="shared" ref="CB358" si="531">SUM(BW318:BW344)</f>
        <v>3.5</v>
      </c>
      <c r="CC358" s="707" t="s">
        <v>263</v>
      </c>
      <c r="CD358" s="664"/>
      <c r="CE358" s="664"/>
      <c r="CF358" s="664"/>
      <c r="CG358" s="1808">
        <f>TreatyCatch!DT296</f>
        <v>3.5</v>
      </c>
      <c r="CH358" s="1807"/>
      <c r="CI358" s="306">
        <f>SUM(CD318:CD344)</f>
        <v>0</v>
      </c>
      <c r="CJ358" s="707" t="s">
        <v>263</v>
      </c>
      <c r="CK358" s="664"/>
      <c r="CL358" s="664"/>
      <c r="CM358" s="664"/>
      <c r="CN358" s="1808">
        <f>TreatyCatch!DZ296</f>
        <v>0</v>
      </c>
    </row>
    <row r="359" spans="1:92" x14ac:dyDescent="0.25">
      <c r="J359" s="134">
        <v>2013</v>
      </c>
      <c r="K359" s="132"/>
      <c r="L359" s="132"/>
      <c r="M359" s="132"/>
      <c r="N359" s="132"/>
      <c r="O359" s="1809"/>
      <c r="Q359" s="134">
        <v>2014</v>
      </c>
      <c r="R359" s="132"/>
      <c r="S359" s="132"/>
      <c r="T359" s="132"/>
      <c r="U359" s="132"/>
      <c r="V359" s="1809"/>
      <c r="X359" s="134">
        <v>2015</v>
      </c>
      <c r="Y359" s="132"/>
      <c r="Z359" s="132"/>
      <c r="AA359" s="132"/>
      <c r="AB359" s="132"/>
      <c r="AC359" s="1809"/>
      <c r="AE359" s="134">
        <v>2016</v>
      </c>
      <c r="AF359" s="132"/>
      <c r="AG359" s="132"/>
      <c r="AH359" s="132"/>
      <c r="AI359" s="132"/>
      <c r="AJ359" s="1809"/>
      <c r="AL359" s="134">
        <v>2017</v>
      </c>
      <c r="AM359" s="132"/>
      <c r="AN359" s="132"/>
      <c r="AO359" s="132"/>
      <c r="AP359" s="132"/>
      <c r="AQ359" s="1809"/>
      <c r="AS359" s="134">
        <v>2018</v>
      </c>
      <c r="AT359" s="132"/>
      <c r="AU359" s="132"/>
      <c r="AV359" s="132"/>
      <c r="AW359" s="132"/>
      <c r="AX359" s="1809"/>
      <c r="AZ359" s="134">
        <v>2019</v>
      </c>
      <c r="BA359" s="132"/>
      <c r="BB359" s="132"/>
      <c r="BC359" s="132"/>
      <c r="BD359" s="132"/>
      <c r="BE359" s="1809"/>
      <c r="BG359" s="134">
        <v>2020</v>
      </c>
      <c r="BH359" s="132"/>
      <c r="BI359" s="132"/>
      <c r="BJ359" s="132"/>
      <c r="BK359" s="132"/>
      <c r="BL359" s="1809"/>
      <c r="BN359" s="134">
        <v>2021</v>
      </c>
      <c r="BO359" s="132"/>
      <c r="BP359" s="132"/>
      <c r="BQ359" s="132"/>
      <c r="BR359" s="132"/>
      <c r="BS359" s="1809"/>
      <c r="BU359" s="134">
        <v>2022</v>
      </c>
      <c r="BV359" s="132"/>
      <c r="BW359" s="132"/>
      <c r="BX359" s="132"/>
      <c r="BY359" s="132"/>
      <c r="BZ359" s="1809"/>
      <c r="CB359" s="134">
        <v>2023</v>
      </c>
      <c r="CC359" s="132"/>
      <c r="CD359" s="132"/>
      <c r="CE359" s="132"/>
      <c r="CF359" s="132"/>
      <c r="CG359" s="1809"/>
      <c r="CI359" s="134">
        <v>2024</v>
      </c>
      <c r="CJ359" s="132"/>
      <c r="CK359" s="132"/>
      <c r="CL359" s="132"/>
      <c r="CM359" s="132"/>
      <c r="CN359" s="1809"/>
    </row>
    <row r="360" spans="1:92" x14ac:dyDescent="0.25">
      <c r="J360" s="310">
        <f t="shared" ref="J360" si="532">SUM(E345:E353,L301:L317)</f>
        <v>123.37002947061833</v>
      </c>
      <c r="K360" s="707" t="s">
        <v>263</v>
      </c>
      <c r="L360" s="664"/>
      <c r="M360" s="664"/>
      <c r="N360" s="664"/>
      <c r="O360" s="1810">
        <f>TreatyCatch!BL298</f>
        <v>164.81314135873023</v>
      </c>
      <c r="Q360" s="310">
        <f t="shared" ref="Q360" si="533">SUM(L345:L353,S301:S317)</f>
        <v>42.498850574712648</v>
      </c>
      <c r="R360" s="707" t="s">
        <v>263</v>
      </c>
      <c r="S360" s="664"/>
      <c r="T360" s="664"/>
      <c r="U360" s="664"/>
      <c r="V360" s="1810">
        <f>TreatyCatch!BR298</f>
        <v>42.732690574712649</v>
      </c>
      <c r="X360" s="310">
        <f t="shared" ref="X360" si="534">SUM(S345:S353,Z301:Z317)</f>
        <v>35.364006722689076</v>
      </c>
      <c r="Y360" s="707" t="s">
        <v>263</v>
      </c>
      <c r="Z360" s="664"/>
      <c r="AA360" s="664"/>
      <c r="AB360" s="664"/>
      <c r="AC360" s="1810">
        <f>TreatyCatch!BX298</f>
        <v>77.624406722689073</v>
      </c>
      <c r="AE360" s="310">
        <f t="shared" ref="AE360" si="535">SUM(Z345:Z353,AG301:AG317)</f>
        <v>0</v>
      </c>
      <c r="AF360" s="707" t="s">
        <v>263</v>
      </c>
      <c r="AG360" s="664"/>
      <c r="AH360" s="664"/>
      <c r="AI360" s="664"/>
      <c r="AJ360" s="1810">
        <f>TreatyCatch!CD298</f>
        <v>2</v>
      </c>
      <c r="AL360" s="310">
        <f t="shared" ref="AL360" si="536">SUM(AG345:AG353,AN301:AN317)</f>
        <v>0</v>
      </c>
      <c r="AM360" s="707" t="s">
        <v>263</v>
      </c>
      <c r="AN360" s="664"/>
      <c r="AO360" s="664"/>
      <c r="AP360" s="664"/>
      <c r="AQ360" s="1810">
        <f>TreatyCatch!CJ298</f>
        <v>0</v>
      </c>
      <c r="AS360" s="310">
        <f t="shared" ref="AS360" si="537">SUM(AN345:AN353,AU301:AU317)</f>
        <v>0</v>
      </c>
      <c r="AT360" s="707" t="s">
        <v>263</v>
      </c>
      <c r="AU360" s="664"/>
      <c r="AV360" s="664"/>
      <c r="AW360" s="664"/>
      <c r="AX360" s="1810">
        <f>TreatyCatch!CP298</f>
        <v>1</v>
      </c>
      <c r="AZ360" s="310">
        <f t="shared" ref="AZ360" si="538">SUM(AU345:AU353,BB301:BB317)</f>
        <v>0</v>
      </c>
      <c r="BA360" s="707" t="s">
        <v>263</v>
      </c>
      <c r="BB360" s="664"/>
      <c r="BC360" s="664"/>
      <c r="BD360" s="664"/>
      <c r="BE360" s="1810">
        <f>TreatyCatch!CV298</f>
        <v>0</v>
      </c>
      <c r="BG360" s="310">
        <f t="shared" ref="BG360" si="539">SUM(BB345:BB353,BI301:BI317)</f>
        <v>0</v>
      </c>
      <c r="BH360" s="707" t="s">
        <v>263</v>
      </c>
      <c r="BI360" s="664"/>
      <c r="BJ360" s="664"/>
      <c r="BK360" s="664"/>
      <c r="BL360" s="1810">
        <f>TreatyCatch!DB298</f>
        <v>0</v>
      </c>
      <c r="BN360" s="310">
        <f t="shared" ref="BN360" si="540">SUM(BI345:BI353,BP301:BP317)</f>
        <v>0</v>
      </c>
      <c r="BO360" s="707" t="s">
        <v>263</v>
      </c>
      <c r="BP360" s="664"/>
      <c r="BQ360" s="664"/>
      <c r="BR360" s="664"/>
      <c r="BS360" s="1810">
        <f>TreatyCatch!DH298</f>
        <v>0</v>
      </c>
      <c r="BU360" s="310">
        <f t="shared" ref="BU360" si="541">SUM(BP345:BP353,BW301:BW317)</f>
        <v>0</v>
      </c>
      <c r="BV360" s="707" t="s">
        <v>263</v>
      </c>
      <c r="BW360" s="664"/>
      <c r="BX360" s="664"/>
      <c r="BY360" s="664"/>
      <c r="BZ360" s="1810">
        <f>TreatyCatch!DN298</f>
        <v>0</v>
      </c>
      <c r="CA360" s="1807"/>
      <c r="CB360" s="310">
        <f t="shared" ref="CB360" si="542">SUM(BW345:BW353,CD301:CD317)</f>
        <v>0</v>
      </c>
      <c r="CC360" s="707" t="s">
        <v>263</v>
      </c>
      <c r="CD360" s="664"/>
      <c r="CE360" s="664"/>
      <c r="CF360" s="664"/>
      <c r="CG360" s="1810">
        <f>TreatyCatch!DT298</f>
        <v>0</v>
      </c>
      <c r="CH360" s="1807"/>
      <c r="CI360" s="310">
        <f>SUM(CD345:CD353,CK301:CK317)</f>
        <v>0</v>
      </c>
      <c r="CJ360" s="707" t="s">
        <v>263</v>
      </c>
      <c r="CK360" s="664"/>
      <c r="CL360" s="664"/>
      <c r="CM360" s="664"/>
      <c r="CN360" s="1810">
        <f>TreatyCatch!DZ298</f>
        <v>0</v>
      </c>
    </row>
    <row r="361" spans="1:92" x14ac:dyDescent="0.25">
      <c r="J361" s="103" t="s">
        <v>534</v>
      </c>
      <c r="K361" s="114"/>
      <c r="L361" s="114"/>
      <c r="M361" s="114"/>
      <c r="N361" s="114"/>
      <c r="O361" s="1809"/>
      <c r="Q361" s="103" t="s">
        <v>286</v>
      </c>
      <c r="R361" s="114"/>
      <c r="S361" s="114"/>
      <c r="T361" s="114"/>
      <c r="U361" s="114"/>
      <c r="V361" s="1809"/>
      <c r="X361" s="103" t="s">
        <v>298</v>
      </c>
      <c r="Y361" s="114"/>
      <c r="Z361" s="114"/>
      <c r="AA361" s="114"/>
      <c r="AB361" s="114"/>
      <c r="AC361" s="1809"/>
      <c r="AE361" s="103" t="s">
        <v>335</v>
      </c>
      <c r="AF361" s="114"/>
      <c r="AG361" s="114"/>
      <c r="AH361" s="114"/>
      <c r="AI361" s="114"/>
      <c r="AJ361" s="1809"/>
      <c r="AL361" s="103" t="s">
        <v>364</v>
      </c>
      <c r="AM361" s="114"/>
      <c r="AN361" s="114"/>
      <c r="AO361" s="114"/>
      <c r="AP361" s="114"/>
      <c r="AQ361" s="1809"/>
      <c r="AS361" s="103" t="s">
        <v>384</v>
      </c>
      <c r="AT361" s="114"/>
      <c r="AU361" s="114"/>
      <c r="AV361" s="114"/>
      <c r="AW361" s="114"/>
      <c r="AX361" s="1809"/>
      <c r="AZ361" s="103" t="s">
        <v>446</v>
      </c>
      <c r="BA361" s="114"/>
      <c r="BB361" s="114"/>
      <c r="BC361" s="114"/>
      <c r="BD361" s="114"/>
      <c r="BE361" s="1809"/>
      <c r="BG361" s="103" t="s">
        <v>467</v>
      </c>
      <c r="BH361" s="114"/>
      <c r="BI361" s="114"/>
      <c r="BJ361" s="114"/>
      <c r="BK361" s="114"/>
      <c r="BL361" s="1809"/>
      <c r="BN361" s="103" t="s">
        <v>477</v>
      </c>
      <c r="BO361" s="114"/>
      <c r="BP361" s="114"/>
      <c r="BQ361" s="114"/>
      <c r="BR361" s="114"/>
      <c r="BS361" s="1809"/>
      <c r="BU361" s="103" t="s">
        <v>495</v>
      </c>
      <c r="BV361" s="114"/>
      <c r="BW361" s="114"/>
      <c r="BX361" s="114"/>
      <c r="BY361" s="114"/>
      <c r="BZ361" s="1809"/>
      <c r="CB361" s="103" t="s">
        <v>492</v>
      </c>
      <c r="CC361" s="114"/>
      <c r="CD361" s="114"/>
      <c r="CE361" s="114"/>
      <c r="CF361" s="114"/>
      <c r="CG361" s="1809"/>
      <c r="CI361" s="103" t="s">
        <v>531</v>
      </c>
      <c r="CJ361" s="114"/>
      <c r="CK361" s="114"/>
      <c r="CL361" s="114"/>
      <c r="CM361" s="114"/>
      <c r="CN361" s="1809"/>
    </row>
    <row r="362" spans="1:92" x14ac:dyDescent="0.25">
      <c r="J362" s="271"/>
      <c r="K362" s="671">
        <f t="shared" ref="K362" si="543">SUM(H327:H353,O301:O326)</f>
        <v>129.68769320821374</v>
      </c>
      <c r="L362" s="707" t="s">
        <v>263</v>
      </c>
      <c r="M362" s="266"/>
      <c r="N362" s="266"/>
      <c r="O362" s="1810">
        <f>TreatyCatch!BM300</f>
        <v>168.49524439255907</v>
      </c>
      <c r="Q362" s="271"/>
      <c r="R362" s="671">
        <f t="shared" ref="R362" si="544">SUM(O327:O353,V301:V326)</f>
        <v>168.02519264289961</v>
      </c>
      <c r="S362" s="707" t="s">
        <v>263</v>
      </c>
      <c r="T362" s="266"/>
      <c r="U362" s="266"/>
      <c r="V362" s="1810">
        <f>TreatyCatch!BS300</f>
        <v>208.18053908759904</v>
      </c>
      <c r="X362" s="271"/>
      <c r="Y362" s="671">
        <f t="shared" ref="Y362" si="545">SUM(V327:V353,AC301:AC326)</f>
        <v>63.411519563025209</v>
      </c>
      <c r="Z362" s="707" t="s">
        <v>263</v>
      </c>
      <c r="AA362" s="266"/>
      <c r="AB362" s="266"/>
      <c r="AC362" s="1810">
        <f>TreatyCatch!BY300</f>
        <v>73.116105277310936</v>
      </c>
      <c r="AE362" s="271"/>
      <c r="AF362" s="671">
        <f t="shared" ref="AF362" si="546">SUM(AC327:AC353,AJ301:AJ326)</f>
        <v>30.711916666666667</v>
      </c>
      <c r="AG362" s="707" t="s">
        <v>263</v>
      </c>
      <c r="AH362" s="266"/>
      <c r="AI362" s="266"/>
      <c r="AJ362" s="1810">
        <f>TreatyCatch!CE300</f>
        <v>40.492467500000011</v>
      </c>
      <c r="AL362" s="271"/>
      <c r="AM362" s="671">
        <f t="shared" ref="AM362" si="547">SUM(AJ327:AJ353,AQ301:AQ326)</f>
        <v>21.932713333333336</v>
      </c>
      <c r="AN362" s="707" t="s">
        <v>263</v>
      </c>
      <c r="AO362" s="266"/>
      <c r="AP362" s="266"/>
      <c r="AQ362" s="1810">
        <f>TreatyCatch!CK300</f>
        <v>7.9281800000000002</v>
      </c>
      <c r="AS362" s="271"/>
      <c r="AT362" s="671">
        <f t="shared" ref="AT362" si="548">SUM(AQ327:AQ353,AX301:AX326)</f>
        <v>35.544024399999998</v>
      </c>
      <c r="AU362" s="707" t="s">
        <v>263</v>
      </c>
      <c r="AV362" s="266"/>
      <c r="AW362" s="266"/>
      <c r="AX362" s="1810">
        <f>TreatyCatch!CQ300</f>
        <v>37.448546666666665</v>
      </c>
      <c r="AZ362" s="271"/>
      <c r="BA362" s="671">
        <f t="shared" ref="BA362" si="549">SUM(AX327:AX353,BE301:BE326)</f>
        <v>158.7003</v>
      </c>
      <c r="BB362" s="707" t="s">
        <v>263</v>
      </c>
      <c r="BC362" s="266"/>
      <c r="BD362" s="266"/>
      <c r="BE362" s="1810">
        <f>TreatyCatch!CW300</f>
        <v>154.68114000000003</v>
      </c>
      <c r="BG362" s="271"/>
      <c r="BH362" s="671">
        <f t="shared" ref="BH362" si="550">SUM(BE327:BE353,BL301:BL326)</f>
        <v>41.655960000000007</v>
      </c>
      <c r="BI362" s="707" t="s">
        <v>263</v>
      </c>
      <c r="BJ362" s="266"/>
      <c r="BK362" s="266"/>
      <c r="BL362" s="1810">
        <f>TreatyCatch!DC300</f>
        <v>41.826760000000007</v>
      </c>
      <c r="BN362" s="271"/>
      <c r="BO362" s="671">
        <f t="shared" ref="BO362" si="551">SUM(BL327:BL353,BS301:BS326)</f>
        <v>116.61766</v>
      </c>
      <c r="BP362" s="707" t="s">
        <v>263</v>
      </c>
      <c r="BQ362" s="266"/>
      <c r="BR362" s="266"/>
      <c r="BS362" s="1810">
        <f>TreatyCatch!DI300</f>
        <v>107.61766</v>
      </c>
      <c r="BU362" s="271"/>
      <c r="BV362" s="671">
        <f t="shared" ref="BV362" si="552">SUM(BS327:BS353,BZ301:BZ326)</f>
        <v>119.06910000000001</v>
      </c>
      <c r="BW362" s="707" t="s">
        <v>263</v>
      </c>
      <c r="BX362" s="266"/>
      <c r="BY362" s="266"/>
      <c r="BZ362" s="1810">
        <f>TreatyCatch!DO300</f>
        <v>127.15010000000001</v>
      </c>
      <c r="CA362" s="1807"/>
      <c r="CB362" s="103"/>
      <c r="CC362" s="671">
        <f t="shared" ref="CC362" si="553">SUM(BZ327:BZ353,CG301:CG326)</f>
        <v>124.81659485557921</v>
      </c>
      <c r="CD362" s="707" t="s">
        <v>263</v>
      </c>
      <c r="CE362" s="266"/>
      <c r="CF362" s="266"/>
      <c r="CG362" s="1810">
        <f>TreatyCatch!DU300</f>
        <v>124.80207905348027</v>
      </c>
      <c r="CH362" s="1807"/>
      <c r="CI362" s="271"/>
      <c r="CJ362" s="671">
        <f>SUM(CG327:CG353,CN301:CN326)</f>
        <v>4</v>
      </c>
      <c r="CK362" s="707" t="s">
        <v>263</v>
      </c>
      <c r="CL362" s="266"/>
      <c r="CM362" s="266"/>
      <c r="CN362" s="1810">
        <f>TreatyCatch!EA300</f>
        <v>4</v>
      </c>
    </row>
    <row r="363" spans="1:92" x14ac:dyDescent="0.25">
      <c r="J363" s="103" t="s">
        <v>534</v>
      </c>
      <c r="K363" s="114"/>
      <c r="L363" s="114"/>
      <c r="M363" s="114"/>
      <c r="N363" s="114"/>
      <c r="O363" s="1809"/>
      <c r="Q363" s="103" t="s">
        <v>286</v>
      </c>
      <c r="R363" s="114"/>
      <c r="S363" s="114"/>
      <c r="T363" s="114"/>
      <c r="U363" s="114"/>
      <c r="V363" s="1809"/>
      <c r="X363" s="103" t="s">
        <v>298</v>
      </c>
      <c r="Y363" s="114"/>
      <c r="Z363" s="114"/>
      <c r="AA363" s="114"/>
      <c r="AB363" s="114"/>
      <c r="AC363" s="1809"/>
      <c r="AE363" s="103" t="s">
        <v>335</v>
      </c>
      <c r="AF363" s="114"/>
      <c r="AG363" s="114"/>
      <c r="AH363" s="114"/>
      <c r="AI363" s="114"/>
      <c r="AJ363" s="1809"/>
      <c r="AL363" s="103" t="s">
        <v>364</v>
      </c>
      <c r="AM363" s="114"/>
      <c r="AN363" s="114"/>
      <c r="AO363" s="114"/>
      <c r="AP363" s="114"/>
      <c r="AQ363" s="1809"/>
      <c r="AS363" s="103" t="s">
        <v>384</v>
      </c>
      <c r="AT363" s="114"/>
      <c r="AU363" s="114"/>
      <c r="AV363" s="114"/>
      <c r="AW363" s="114"/>
      <c r="AX363" s="1809"/>
      <c r="AZ363" s="103" t="s">
        <v>446</v>
      </c>
      <c r="BA363" s="114"/>
      <c r="BB363" s="114"/>
      <c r="BC363" s="114"/>
      <c r="BD363" s="114"/>
      <c r="BE363" s="1809"/>
      <c r="BG363" s="103" t="s">
        <v>467</v>
      </c>
      <c r="BH363" s="114"/>
      <c r="BI363" s="114"/>
      <c r="BJ363" s="114"/>
      <c r="BK363" s="114"/>
      <c r="BL363" s="1809"/>
      <c r="BN363" s="103" t="s">
        <v>477</v>
      </c>
      <c r="BO363" s="114"/>
      <c r="BP363" s="114"/>
      <c r="BQ363" s="114"/>
      <c r="BR363" s="114"/>
      <c r="BS363" s="1809"/>
      <c r="BU363" s="103" t="s">
        <v>495</v>
      </c>
      <c r="BV363" s="114"/>
      <c r="BW363" s="114"/>
      <c r="BX363" s="114"/>
      <c r="BY363" s="114"/>
      <c r="BZ363" s="1809"/>
      <c r="CB363" s="103" t="s">
        <v>492</v>
      </c>
      <c r="CC363" s="114"/>
      <c r="CD363" s="114"/>
      <c r="CE363" s="114"/>
      <c r="CF363" s="114"/>
      <c r="CG363" s="1809"/>
      <c r="CI363" s="103" t="s">
        <v>531</v>
      </c>
      <c r="CJ363" s="114"/>
      <c r="CK363" s="114"/>
      <c r="CL363" s="114"/>
      <c r="CM363" s="114"/>
      <c r="CN363" s="1809"/>
    </row>
    <row r="364" spans="1:92" x14ac:dyDescent="0.25">
      <c r="J364" s="1790">
        <f t="shared" ref="J364" si="554">SUM(J358,J360,K362)</f>
        <v>280.46070796021735</v>
      </c>
      <c r="K364" s="385"/>
      <c r="L364" s="385"/>
      <c r="M364" s="385"/>
      <c r="N364" s="385"/>
      <c r="O364" s="1811">
        <f>TreatyCatch!BL302</f>
        <v>360.67186194176548</v>
      </c>
      <c r="Q364" s="1790">
        <f t="shared" ref="Q364" si="555">SUM(Q358,Q360,R362)</f>
        <v>215.84662244256066</v>
      </c>
      <c r="R364" s="385"/>
      <c r="S364" s="385"/>
      <c r="T364" s="385"/>
      <c r="U364" s="385"/>
      <c r="V364" s="1811">
        <f>TreatyCatch!BR302</f>
        <v>256.23580888726008</v>
      </c>
      <c r="X364" s="1790">
        <f t="shared" ref="X364" si="556">SUM(X358,X360,Y362)</f>
        <v>105.86232628571429</v>
      </c>
      <c r="Y364" s="385"/>
      <c r="Z364" s="385"/>
      <c r="AA364" s="385"/>
      <c r="AB364" s="385"/>
      <c r="AC364" s="1811">
        <f>TreatyCatch!BX302</f>
        <v>164.76064533333334</v>
      </c>
      <c r="AE364" s="1790">
        <f t="shared" ref="AE364" si="557">SUM(AE358,AE360,AF362)</f>
        <v>44.954416666666667</v>
      </c>
      <c r="AF364" s="385"/>
      <c r="AG364" s="385"/>
      <c r="AH364" s="385"/>
      <c r="AI364" s="385"/>
      <c r="AJ364" s="1811">
        <f>TreatyCatch!CD302</f>
        <v>56.834967500000012</v>
      </c>
      <c r="AL364" s="1790">
        <f t="shared" ref="AL364" si="558">SUM(AL358,AL360,AM362)</f>
        <v>28.599380000000004</v>
      </c>
      <c r="AM364" s="385"/>
      <c r="AN364" s="385"/>
      <c r="AO364" s="385"/>
      <c r="AP364" s="385"/>
      <c r="AQ364" s="1811">
        <f>TreatyCatch!CJ302</f>
        <v>7.9281800000000002</v>
      </c>
      <c r="AS364" s="1790">
        <f t="shared" ref="AS364" si="559">SUM(AS358,AS360,AT362)</f>
        <v>35.544024399999998</v>
      </c>
      <c r="AT364" s="385"/>
      <c r="AU364" s="385"/>
      <c r="AV364" s="385"/>
      <c r="AW364" s="385"/>
      <c r="AX364" s="1811">
        <f>TreatyCatch!CP302</f>
        <v>38.448546666666665</v>
      </c>
      <c r="AZ364" s="1790">
        <f t="shared" ref="AZ364" si="560">SUM(AZ358,AZ360,BA362)</f>
        <v>175.63329999999999</v>
      </c>
      <c r="BA364" s="385"/>
      <c r="BB364" s="385"/>
      <c r="BC364" s="385"/>
      <c r="BD364" s="385"/>
      <c r="BE364" s="1811">
        <f>TreatyCatch!CV302</f>
        <v>171.61447333333336</v>
      </c>
      <c r="BG364" s="1790">
        <f t="shared" ref="BG364" si="561">SUM(BG358,BG360,BH362)</f>
        <v>47.286540000000009</v>
      </c>
      <c r="BH364" s="385"/>
      <c r="BI364" s="385"/>
      <c r="BJ364" s="385"/>
      <c r="BK364" s="385"/>
      <c r="BL364" s="1811">
        <f>TreatyCatch!DB302</f>
        <v>47.042740000000009</v>
      </c>
      <c r="BN364" s="1790">
        <f t="shared" ref="BN364" si="562">SUM(BN358,BN360,BO362)</f>
        <v>117.61766</v>
      </c>
      <c r="BO364" s="385"/>
      <c r="BP364" s="385"/>
      <c r="BQ364" s="385"/>
      <c r="BR364" s="385"/>
      <c r="BS364" s="1811">
        <f>TreatyCatch!DH302</f>
        <v>108.61766</v>
      </c>
      <c r="BU364" s="1790">
        <f t="shared" ref="BU364" si="563">SUM(BU358,BU360,BV362)</f>
        <v>119.06910000000001</v>
      </c>
      <c r="BV364" s="385"/>
      <c r="BW364" s="385"/>
      <c r="BX364" s="385"/>
      <c r="BY364" s="385"/>
      <c r="BZ364" s="1811">
        <f>TreatyCatch!DN302</f>
        <v>127.15010000000001</v>
      </c>
      <c r="CA364" s="1807"/>
      <c r="CB364" s="1790">
        <f t="shared" ref="CB364" si="564">SUM(CB358,CB360,CC362)</f>
        <v>128.31659485557921</v>
      </c>
      <c r="CC364" s="385"/>
      <c r="CD364" s="385"/>
      <c r="CE364" s="385"/>
      <c r="CF364" s="385"/>
      <c r="CG364" s="1811">
        <f>TreatyCatch!DT302</f>
        <v>128.30207905348027</v>
      </c>
      <c r="CH364" s="1807"/>
      <c r="CI364" s="1790">
        <f t="shared" ref="CI364" si="565">SUM(CI358,CI360,CJ362)</f>
        <v>4</v>
      </c>
      <c r="CJ364" s="385"/>
      <c r="CK364" s="385"/>
      <c r="CL364" s="385"/>
      <c r="CM364" s="385"/>
      <c r="CN364" s="1811">
        <f>TreatyCatch!DZ302</f>
        <v>4</v>
      </c>
    </row>
  </sheetData>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22"/>
  <sheetViews>
    <sheetView workbookViewId="0"/>
  </sheetViews>
  <sheetFormatPr defaultColWidth="9.140625" defaultRowHeight="15" x14ac:dyDescent="0.25"/>
  <cols>
    <col min="1" max="1" width="43.5703125" style="899" customWidth="1"/>
    <col min="2" max="2" width="9.140625" style="899"/>
    <col min="3" max="3" width="21.5703125" style="899" customWidth="1"/>
    <col min="4" max="16384" width="9.140625" style="899"/>
  </cols>
  <sheetData>
    <row r="1" spans="1:8" x14ac:dyDescent="0.25">
      <c r="A1" s="1499" t="s">
        <v>461</v>
      </c>
    </row>
    <row r="2" spans="1:8" x14ac:dyDescent="0.25">
      <c r="A2" s="1499"/>
    </row>
    <row r="3" spans="1:8" x14ac:dyDescent="0.25">
      <c r="A3" s="1499" t="s">
        <v>283</v>
      </c>
      <c r="B3" s="1500">
        <v>9516</v>
      </c>
    </row>
    <row r="4" spans="1:8" x14ac:dyDescent="0.25">
      <c r="A4" s="1499"/>
      <c r="B4" s="1500"/>
    </row>
    <row r="6" spans="1:8" x14ac:dyDescent="0.25">
      <c r="B6" s="1501" t="s">
        <v>239</v>
      </c>
      <c r="C6" s="1502" t="s">
        <v>271</v>
      </c>
    </row>
    <row r="7" spans="1:8" x14ac:dyDescent="0.25">
      <c r="A7" s="1503" t="s">
        <v>273</v>
      </c>
      <c r="B7" s="1504">
        <f>[5]HRs!$H$90</f>
        <v>2.3370303230025556E-2</v>
      </c>
      <c r="C7" s="1505">
        <f>[5]Catch!$H$115</f>
        <v>222.39180553692316</v>
      </c>
      <c r="F7" s="899" t="s">
        <v>357</v>
      </c>
    </row>
    <row r="8" spans="1:8" x14ac:dyDescent="0.25">
      <c r="A8" s="1506" t="s">
        <v>274</v>
      </c>
      <c r="B8" s="1507">
        <f>[5]HRs!$H$91</f>
        <v>2.3719293197997419E-2</v>
      </c>
      <c r="C8" s="1508">
        <f>[5]Catch!$H$116</f>
        <v>225.71279407214345</v>
      </c>
    </row>
    <row r="9" spans="1:8" x14ac:dyDescent="0.25">
      <c r="A9" s="1503" t="s">
        <v>379</v>
      </c>
      <c r="B9" s="1504">
        <f>'Test Fishery'!EF64+G12</f>
        <v>4.4884659406060172E-3</v>
      </c>
      <c r="C9" s="1505">
        <f t="shared" ref="C9:C14" si="0">B$3*B9</f>
        <v>42.712241890806858</v>
      </c>
      <c r="F9" s="1084" t="s">
        <v>359</v>
      </c>
      <c r="G9" s="899">
        <f>G11*G10</f>
        <v>37</v>
      </c>
    </row>
    <row r="10" spans="1:8" x14ac:dyDescent="0.25">
      <c r="A10" s="1509" t="s">
        <v>380</v>
      </c>
      <c r="B10" s="1510">
        <f>B9-G12</f>
        <v>6.0027762618819437E-4</v>
      </c>
      <c r="C10" s="1511">
        <f t="shared" si="0"/>
        <v>5.7122418908068573</v>
      </c>
      <c r="F10" s="1084" t="s">
        <v>360</v>
      </c>
      <c r="G10" s="1138">
        <v>0.185</v>
      </c>
    </row>
    <row r="11" spans="1:8" x14ac:dyDescent="0.25">
      <c r="A11" s="1506" t="s">
        <v>272</v>
      </c>
      <c r="B11" s="1507">
        <f>'Test Fishery'!EF65+G12</f>
        <v>4.5004714931297807E-3</v>
      </c>
      <c r="C11" s="1508">
        <f t="shared" si="0"/>
        <v>42.826486728622996</v>
      </c>
      <c r="F11" s="1084" t="s">
        <v>358</v>
      </c>
      <c r="G11" s="1139">
        <v>200</v>
      </c>
    </row>
    <row r="12" spans="1:8" x14ac:dyDescent="0.25">
      <c r="A12" s="1503" t="s">
        <v>277</v>
      </c>
      <c r="B12" s="1512">
        <f>SportRelMort!S25</f>
        <v>4.8859790738070596E-4</v>
      </c>
      <c r="C12" s="1505">
        <f t="shared" si="0"/>
        <v>4.6494976866347981</v>
      </c>
      <c r="F12" s="1513" t="s">
        <v>361</v>
      </c>
      <c r="G12" s="1513">
        <f>G9/B3</f>
        <v>3.8881883144178228E-3</v>
      </c>
      <c r="H12" s="899" t="s">
        <v>378</v>
      </c>
    </row>
    <row r="13" spans="1:8" x14ac:dyDescent="0.25">
      <c r="A13" s="1509" t="s">
        <v>276</v>
      </c>
      <c r="B13" s="1514">
        <f>SportRelMort!S26</f>
        <v>1.1554164878642584E-4</v>
      </c>
      <c r="C13" s="1511">
        <f t="shared" si="0"/>
        <v>1.0994943298516282</v>
      </c>
    </row>
    <row r="14" spans="1:8" x14ac:dyDescent="0.25">
      <c r="A14" s="1509" t="s">
        <v>275</v>
      </c>
      <c r="B14" s="1514">
        <f>SportRelMort!S27</f>
        <v>2.8535267973114312E-3</v>
      </c>
      <c r="C14" s="1511">
        <f t="shared" si="0"/>
        <v>27.154161003215577</v>
      </c>
    </row>
    <row r="15" spans="1:8" x14ac:dyDescent="0.25">
      <c r="A15" s="1515" t="s">
        <v>278</v>
      </c>
      <c r="B15" s="1516">
        <f>SUM(B12:B14)</f>
        <v>3.4576663534785631E-3</v>
      </c>
      <c r="C15" s="1517">
        <f>SUM(C12:C14)</f>
        <v>32.903153019702003</v>
      </c>
      <c r="D15" s="899" t="s">
        <v>377</v>
      </c>
    </row>
    <row r="16" spans="1:8" x14ac:dyDescent="0.25">
      <c r="A16" s="1515" t="s">
        <v>370</v>
      </c>
      <c r="B16" s="1516">
        <f>TerminalRR!U57</f>
        <v>0</v>
      </c>
      <c r="C16" s="1517">
        <f>B16*B3</f>
        <v>0</v>
      </c>
    </row>
    <row r="17" spans="1:3" x14ac:dyDescent="0.25">
      <c r="A17" s="1518" t="s">
        <v>279</v>
      </c>
      <c r="B17" s="1519">
        <f>SUM(B8,B11,B15,B16)</f>
        <v>3.1677431044605762E-2</v>
      </c>
      <c r="C17" s="1520">
        <f>SUM(C8,C11,C15,C16)</f>
        <v>301.44243382046847</v>
      </c>
    </row>
    <row r="18" spans="1:3" x14ac:dyDescent="0.25">
      <c r="A18" s="1521" t="s">
        <v>381</v>
      </c>
      <c r="B18" s="1519">
        <f>SUM(B8,B15)</f>
        <v>2.7176959551475983E-2</v>
      </c>
      <c r="C18" s="1522">
        <f>SUM(C8,C15)</f>
        <v>258.61594709184544</v>
      </c>
    </row>
    <row r="21" spans="1:3" x14ac:dyDescent="0.25">
      <c r="B21" s="1138"/>
    </row>
    <row r="22" spans="1:3" x14ac:dyDescent="0.25">
      <c r="B22" s="113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TerminalRR</vt:lpstr>
      <vt:lpstr>SportRelMort</vt:lpstr>
      <vt:lpstr>TreatyCatch</vt:lpstr>
      <vt:lpstr>SportCatchMaster</vt:lpstr>
      <vt:lpstr>Test Fishery</vt:lpstr>
      <vt:lpstr>ByTribeForHRModel</vt:lpstr>
      <vt:lpstr>HRProjectionSummary</vt:lpstr>
      <vt:lpstr>TerminalRR!Print_Area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Bernard</dc:creator>
  <cp:lastModifiedBy>Pete Kairis</cp:lastModifiedBy>
  <cp:lastPrinted>2015-07-31T23:52:18Z</cp:lastPrinted>
  <dcterms:created xsi:type="dcterms:W3CDTF">2009-11-02T20:19:30Z</dcterms:created>
  <dcterms:modified xsi:type="dcterms:W3CDTF">2023-12-13T03:27:18Z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5011977-b912-4387-97a4-f4c94a801377_Enabled">
    <vt:lpwstr>true</vt:lpwstr>
  </property>
  <property fmtid="{D5CDD505-2E9C-101B-9397-08002B2CF9AE}" pid="3" name="MSIP_Label_45011977-b912-4387-97a4-f4c94a801377_SetDate">
    <vt:lpwstr>2021-12-08T21:47:26Z</vt:lpwstr>
  </property>
  <property fmtid="{D5CDD505-2E9C-101B-9397-08002B2CF9AE}" pid="4" name="MSIP_Label_45011977-b912-4387-97a4-f4c94a801377_Method">
    <vt:lpwstr>Standard</vt:lpwstr>
  </property>
  <property fmtid="{D5CDD505-2E9C-101B-9397-08002B2CF9AE}" pid="5" name="MSIP_Label_45011977-b912-4387-97a4-f4c94a801377_Name">
    <vt:lpwstr>Uncategorized Data</vt:lpwstr>
  </property>
  <property fmtid="{D5CDD505-2E9C-101B-9397-08002B2CF9AE}" pid="6" name="MSIP_Label_45011977-b912-4387-97a4-f4c94a801377_SiteId">
    <vt:lpwstr>11d0e217-264e-400a-8ba0-57dcc127d72d</vt:lpwstr>
  </property>
  <property fmtid="{D5CDD505-2E9C-101B-9397-08002B2CF9AE}" pid="7" name="MSIP_Label_45011977-b912-4387-97a4-f4c94a801377_ActionId">
    <vt:lpwstr>f091d576-6fb9-4e1a-b548-0d417401ac52</vt:lpwstr>
  </property>
  <property fmtid="{D5CDD505-2E9C-101B-9397-08002B2CF9AE}" pid="8" name="MSIP_Label_45011977-b912-4387-97a4-f4c94a801377_ContentBits">
    <vt:lpwstr>0</vt:lpwstr>
  </property>
</Properties>
</file>