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Mi unidad\Estudios\Otros estudios\econometrics-cheatsheet\"/>
    </mc:Choice>
  </mc:AlternateContent>
  <xr:revisionPtr revIDLastSave="0" documentId="13_ncr:1_{09121E75-7ADA-4FD9-A5B0-ACC70683F3CA}" xr6:coauthVersionLast="47" xr6:coauthVersionMax="47" xr10:uidLastSave="{00000000-0000-0000-0000-000000000000}"/>
  <bookViews>
    <workbookView xWindow="-108" yWindow="-108" windowWidth="23256" windowHeight="12456" activeTab="1" xr2:uid="{C41343FE-3D6D-420C-BFE9-810BABED9BBA}"/>
  </bookViews>
  <sheets>
    <sheet name="rawdata" sheetId="7" r:id="rId1"/>
    <sheet name="model" sheetId="4" r:id="rId2"/>
    <sheet name="restrictedmodel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4" l="1"/>
  <c r="M12" i="4" l="1"/>
  <c r="L12" i="4"/>
  <c r="J19" i="4" l="1" a="1"/>
  <c r="J19" i="4" s="1"/>
  <c r="J18" i="4" a="1"/>
  <c r="J18" i="4" s="1"/>
  <c r="J17" i="4" a="1"/>
  <c r="J17" i="4" s="1"/>
  <c r="P50" i="4"/>
  <c r="P49" i="4"/>
  <c r="P48" i="4"/>
  <c r="P47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26" i="4"/>
  <c r="N26" i="4" l="1"/>
  <c r="K18" i="4"/>
  <c r="L18" i="4" s="1"/>
  <c r="N37" i="4"/>
  <c r="N47" i="4"/>
  <c r="O50" i="4"/>
  <c r="O49" i="4"/>
  <c r="O48" i="4"/>
  <c r="O47" i="4"/>
  <c r="N50" i="4"/>
  <c r="N49" i="4"/>
  <c r="N48" i="4"/>
  <c r="N27" i="4"/>
  <c r="O27" i="4"/>
  <c r="N28" i="4"/>
  <c r="O28" i="4"/>
  <c r="N29" i="4"/>
  <c r="O29" i="4"/>
  <c r="N30" i="4"/>
  <c r="O30" i="4"/>
  <c r="N31" i="4"/>
  <c r="O31" i="4"/>
  <c r="N32" i="4"/>
  <c r="O32" i="4"/>
  <c r="N33" i="4"/>
  <c r="O33" i="4"/>
  <c r="N34" i="4"/>
  <c r="O34" i="4"/>
  <c r="N35" i="4"/>
  <c r="O35" i="4"/>
  <c r="N36" i="4"/>
  <c r="O36" i="4"/>
  <c r="O37" i="4"/>
  <c r="N38" i="4"/>
  <c r="O38" i="4"/>
  <c r="N39" i="4"/>
  <c r="O39" i="4"/>
  <c r="N40" i="4"/>
  <c r="O40" i="4"/>
  <c r="N41" i="4"/>
  <c r="O41" i="4"/>
  <c r="N42" i="4"/>
  <c r="O42" i="4"/>
  <c r="N43" i="4"/>
  <c r="O43" i="4"/>
  <c r="N44" i="4"/>
  <c r="O44" i="4"/>
  <c r="N45" i="4"/>
  <c r="O45" i="4"/>
  <c r="O26" i="4"/>
  <c r="P18" i="4"/>
  <c r="P19" i="4"/>
  <c r="P17" i="4"/>
  <c r="O17" i="4"/>
  <c r="O18" i="4"/>
  <c r="O19" i="4"/>
  <c r="N18" i="4"/>
  <c r="N19" i="4"/>
  <c r="N17" i="4"/>
  <c r="M17" i="4"/>
  <c r="M18" i="4"/>
  <c r="M19" i="4"/>
  <c r="K19" i="4"/>
  <c r="L19" i="4" s="1"/>
  <c r="K17" i="4"/>
  <c r="L17" i="4" s="1"/>
  <c r="I13" i="4"/>
  <c r="K13" i="4" s="1"/>
  <c r="I14" i="4"/>
  <c r="I6" i="4" s="1"/>
  <c r="I5" i="4"/>
  <c r="J14" i="4"/>
  <c r="M50" i="4"/>
  <c r="M49" i="4"/>
  <c r="M48" i="4"/>
  <c r="M47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26" i="4"/>
  <c r="L27" i="4"/>
  <c r="L28" i="4"/>
  <c r="L29" i="4"/>
  <c r="L30" i="4"/>
  <c r="L31" i="4"/>
  <c r="L32" i="4"/>
  <c r="L50" i="4" s="1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26" i="4"/>
  <c r="I17" i="4" a="1"/>
  <c r="I17" i="4" s="1"/>
  <c r="C23" i="4"/>
  <c r="C24" i="4"/>
  <c r="C25" i="4"/>
  <c r="C26" i="4"/>
  <c r="K27" i="4"/>
  <c r="K28" i="4"/>
  <c r="K29" i="4"/>
  <c r="K30" i="4"/>
  <c r="K31" i="4"/>
  <c r="K32" i="4"/>
  <c r="K33" i="4"/>
  <c r="K34" i="4"/>
  <c r="K35" i="4"/>
  <c r="K36" i="4"/>
  <c r="K49" i="4" s="1"/>
  <c r="K37" i="4"/>
  <c r="K38" i="4"/>
  <c r="K39" i="4"/>
  <c r="K40" i="4"/>
  <c r="K41" i="4"/>
  <c r="K42" i="4"/>
  <c r="K43" i="4"/>
  <c r="K44" i="4"/>
  <c r="K45" i="4"/>
  <c r="K26" i="4"/>
  <c r="K50" i="4" s="1"/>
  <c r="J47" i="4"/>
  <c r="J48" i="4"/>
  <c r="J49" i="4"/>
  <c r="J50" i="4"/>
  <c r="I50" i="4"/>
  <c r="I49" i="4"/>
  <c r="I48" i="4"/>
  <c r="I47" i="4"/>
  <c r="D23" i="4"/>
  <c r="E23" i="4"/>
  <c r="D24" i="4"/>
  <c r="E24" i="4"/>
  <c r="D25" i="4"/>
  <c r="E25" i="4"/>
  <c r="D26" i="4"/>
  <c r="E26" i="4"/>
  <c r="B26" i="4"/>
  <c r="B25" i="4"/>
  <c r="B24" i="4"/>
  <c r="B23" i="4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L47" i="4" l="1"/>
  <c r="J12" i="4" s="1"/>
  <c r="K12" i="4" s="1"/>
  <c r="L48" i="4"/>
  <c r="L49" i="4"/>
  <c r="K48" i="4"/>
  <c r="K47" i="4"/>
  <c r="J13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Marcelo Moreno</author>
  </authors>
  <commentList>
    <comment ref="I7" authorId="0" shapeId="0" xr:uid="{8C742150-90DD-42F7-BE0E-56D43A46374F}">
      <text>
        <r>
          <rPr>
            <b/>
            <sz val="9"/>
            <color indexed="81"/>
            <rFont val="Tahoma"/>
            <family val="2"/>
          </rPr>
          <t>sigmahat</t>
        </r>
      </text>
    </comment>
    <comment ref="I12" authorId="0" shapeId="0" xr:uid="{23AC4AA1-202B-48AE-A835-587E3BAF4E96}">
      <text>
        <r>
          <rPr>
            <b/>
            <sz val="9"/>
            <color indexed="81"/>
            <rFont val="Tahoma"/>
            <family val="2"/>
          </rPr>
          <t>k</t>
        </r>
      </text>
    </comment>
    <comment ref="J12" authorId="0" shapeId="0" xr:uid="{8D7AB75E-5165-441A-83BC-BADD8BADBE2E}">
      <text>
        <r>
          <rPr>
            <b/>
            <sz val="9"/>
            <color indexed="81"/>
            <rFont val="Tahoma"/>
            <family val="2"/>
          </rPr>
          <t>SSE</t>
        </r>
      </text>
    </comment>
    <comment ref="I13" authorId="0" shapeId="0" xr:uid="{397CF540-C8CB-4B78-94B8-04092A5327A6}">
      <text>
        <r>
          <rPr>
            <b/>
            <sz val="9"/>
            <color indexed="81"/>
            <rFont val="Tahoma"/>
            <family val="2"/>
          </rPr>
          <t>degrees of freedom (n-k-1)</t>
        </r>
      </text>
    </comment>
    <comment ref="J13" authorId="0" shapeId="0" xr:uid="{2DB5078E-0EEF-49F7-A1A9-9E9BAB94F436}">
      <text>
        <r>
          <rPr>
            <b/>
            <sz val="9"/>
            <color indexed="81"/>
            <rFont val="Tahoma"/>
            <family val="2"/>
          </rPr>
          <t>SSR</t>
        </r>
      </text>
    </comment>
    <comment ref="I14" authorId="0" shapeId="0" xr:uid="{78D7428C-D4C9-4DD7-9D04-16D9C004C3A3}">
      <text>
        <r>
          <rPr>
            <b/>
            <sz val="9"/>
            <color indexed="81"/>
            <rFont val="Tahoma"/>
            <family val="2"/>
          </rPr>
          <t>n-1</t>
        </r>
      </text>
    </comment>
    <comment ref="J14" authorId="0" shapeId="0" xr:uid="{C35E2517-8317-49B7-96B5-E77121DF9950}">
      <text>
        <r>
          <rPr>
            <b/>
            <sz val="9"/>
            <color indexed="81"/>
            <rFont val="Tahoma"/>
            <family val="2"/>
          </rPr>
          <t>SST</t>
        </r>
      </text>
    </comment>
    <comment ref="M16" authorId="0" shapeId="0" xr:uid="{85B40C74-D1A7-4663-B41E-8E288D7E2FC8}">
      <text>
        <r>
          <rPr>
            <b/>
            <sz val="9"/>
            <color indexed="81"/>
            <rFont val="Tahoma"/>
            <family val="2"/>
          </rPr>
          <t>(1 - alpha) = 0.95</t>
        </r>
      </text>
    </comment>
    <comment ref="O16" authorId="0" shapeId="0" xr:uid="{01E8ACFB-A088-4B7A-94E4-FAAE7BF44108}">
      <text>
        <r>
          <rPr>
            <b/>
            <sz val="9"/>
            <color indexed="81"/>
            <rFont val="Tahoma"/>
            <family val="2"/>
          </rPr>
          <t>(1 - alpha) = 0.99</t>
        </r>
      </text>
    </comment>
    <comment ref="J25" authorId="0" shapeId="0" xr:uid="{3DC80AF5-B8B6-4A1E-9E13-00969ED7C142}">
      <text>
        <r>
          <rPr>
            <b/>
            <sz val="9"/>
            <color indexed="81"/>
            <rFont val="Tahoma"/>
            <family val="2"/>
          </rPr>
          <t>uhat</t>
        </r>
      </text>
    </comment>
    <comment ref="K47" authorId="0" shapeId="0" xr:uid="{C3DA1467-7AE1-4941-AC04-84398338339E}">
      <text>
        <r>
          <rPr>
            <b/>
            <sz val="9"/>
            <color indexed="81"/>
            <rFont val="Tahoma"/>
            <family val="2"/>
          </rPr>
          <t>SSR</t>
        </r>
      </text>
    </comment>
    <comment ref="L47" authorId="0" shapeId="0" xr:uid="{9252EC0E-27EC-41ED-B15B-8D857D9BCA39}">
      <text>
        <r>
          <rPr>
            <b/>
            <sz val="9"/>
            <color indexed="81"/>
            <rFont val="Tahoma"/>
            <family val="2"/>
          </rPr>
          <t>SSE</t>
        </r>
      </text>
    </comment>
    <comment ref="M47" authorId="0" shapeId="0" xr:uid="{1A579815-1A37-4E8F-841E-3B7113261B68}">
      <text>
        <r>
          <rPr>
            <b/>
            <sz val="9"/>
            <color indexed="81"/>
            <rFont val="Tahoma"/>
            <family val="2"/>
          </rPr>
          <t>SST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Marcelo Moreno</author>
  </authors>
  <commentList>
    <comment ref="F16" authorId="0" shapeId="0" xr:uid="{AED431DD-391A-4F0C-ABB0-D97B7AD78EE3}">
      <text>
        <r>
          <rPr>
            <b/>
            <sz val="9"/>
            <color indexed="81"/>
            <rFont val="Tahoma"/>
            <family val="2"/>
          </rPr>
          <t>(1 - alpha) = 0.95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<sst xmlns="http://schemas.openxmlformats.org/spreadsheetml/2006/main" count="77" uniqueCount="42">
  <si>
    <t>y</t>
  </si>
  <si>
    <t>x1</t>
  </si>
  <si>
    <t>x2</t>
  </si>
  <si>
    <t>Total</t>
  </si>
  <si>
    <t>F</t>
  </si>
  <si>
    <t>(yhat - ymean)^2</t>
  </si>
  <si>
    <t>(y - ymean)^2</t>
  </si>
  <si>
    <t>(x1 - x1mean)^2</t>
  </si>
  <si>
    <t>(x2 - x2mean)^2</t>
  </si>
  <si>
    <t>(uhat - umean)^2</t>
  </si>
  <si>
    <t>Observation</t>
  </si>
  <si>
    <t>Sum</t>
  </si>
  <si>
    <t>Mean</t>
  </si>
  <si>
    <t>Variance</t>
  </si>
  <si>
    <t>Std. Deviation</t>
  </si>
  <si>
    <t>Intercept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</si>
  <si>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</si>
  <si>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</si>
  <si>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</si>
  <si>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</si>
  <si>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</si>
  <si>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</si>
  <si>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</si>
  <si>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</si>
  <si>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</si>
  <si>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</si>
  <si>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df</t>
  </si>
  <si>
    <t>SS</t>
  </si>
  <si>
    <t>MS</t>
  </si>
  <si>
    <t>Significance F</t>
  </si>
  <si>
    <t>Coefficients</t>
  </si>
  <si>
    <t>Std Error</t>
  </si>
  <si>
    <t>t Stat</t>
  </si>
  <si>
    <t>P-values</t>
  </si>
  <si>
    <t>Lower 95%</t>
  </si>
  <si>
    <t>Upper 95%</t>
  </si>
  <si>
    <t>Lower 99%</t>
  </si>
  <si>
    <t>Upper 99%</t>
  </si>
  <si>
    <t>RESIDUAL OUTPUT</t>
  </si>
  <si>
    <t>Predicted y</t>
  </si>
  <si>
    <t>Residuals</t>
  </si>
  <si>
    <t>Square 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</si>
</sst>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0" fillId="0" borderId="3" xfId="0" applyBorder="1"/>
    <xf numFmtId="0" fontId="0" fillId="0" borderId="0" xfId="0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Border="1" applyAlignment="1"/>
    <xf numFmtId="0" fontId="0" fillId="0" borderId="0" xfId="0" applyFill="1" applyBorder="1"/>
    <xf numFmtId="0" fontId="0" fillId="5" borderId="0" xfId="0" applyFill="1"/>
    <xf numFmtId="0" fontId="0" fillId="5" borderId="3" xfId="0" applyFill="1" applyBorder="1"/>
    <xf numFmtId="0" fontId="0" fillId="5" borderId="0" xfId="0" applyFill="1" applyBorder="1"/>
    <xf numFmtId="0" fontId="0" fillId="5" borderId="1" xfId="0" applyFill="1" applyBorder="1"/>
    <xf numFmtId="0" fontId="1" fillId="5" borderId="0" xfId="0" applyFont="1" applyFill="1" applyAlignment="1">
      <alignment horizontal="center"/>
    </xf>
    <xf numFmtId="0" fontId="0" fillId="6" borderId="0" xfId="0" applyFill="1" applyBorder="1"/>
    <xf numFmtId="0" fontId="0" fillId="6" borderId="3" xfId="0" applyFill="1" applyBorder="1"/>
    <xf numFmtId="0" fontId="0" fillId="6" borderId="1" xfId="0" applyFill="1" applyBorder="1"/>
    <xf numFmtId="0" fontId="0" fillId="3" borderId="0" xfId="0" applyFill="1" applyBorder="1" applyAlignment="1"/>
    <xf numFmtId="0" fontId="0" fillId="2" borderId="1" xfId="0" applyFill="1" applyBorder="1" applyAlignment="1"/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7EF79-C364-489B-A4D9-92847687B95F}">
  <dimension ref="A1:C21"/>
  <sheetViews>
    <sheetView workbookViewId="0"/>
  </sheetViews>
  <sheetFormatPr baseColWidth="10" defaultRowHeight="14.4" x14ac:dyDescent="0.3"/>
  <sheetData>
    <row r="1" spans="1:3" x14ac:dyDescent="0.3">
      <c r="A1" s="12" t="s">
        <v>0</v>
      </c>
      <c r="B1" s="12" t="s">
        <v>1</v>
      </c>
      <c r="C1" s="12" t="s">
        <v>2</v>
      </c>
    </row>
    <row r="2" spans="1:3" x14ac:dyDescent="0.3">
      <c r="A2" s="6">
        <v>47</v>
      </c>
      <c r="B2" s="6">
        <v>43</v>
      </c>
      <c r="C2" s="6">
        <v>13</v>
      </c>
    </row>
    <row r="3" spans="1:3" x14ac:dyDescent="0.3">
      <c r="A3" s="6">
        <v>78</v>
      </c>
      <c r="B3" s="6">
        <v>29</v>
      </c>
      <c r="C3" s="6">
        <v>1</v>
      </c>
    </row>
    <row r="4" spans="1:3" x14ac:dyDescent="0.3">
      <c r="A4" s="6">
        <v>28</v>
      </c>
      <c r="B4" s="6">
        <v>83</v>
      </c>
      <c r="C4" s="6">
        <v>35</v>
      </c>
    </row>
    <row r="5" spans="1:3" x14ac:dyDescent="0.3">
      <c r="A5" s="6">
        <v>20</v>
      </c>
      <c r="B5" s="6">
        <v>36</v>
      </c>
      <c r="C5" s="6">
        <v>2</v>
      </c>
    </row>
    <row r="6" spans="1:3" x14ac:dyDescent="0.3">
      <c r="A6" s="6">
        <v>80</v>
      </c>
      <c r="B6" s="6">
        <v>0</v>
      </c>
      <c r="C6" s="6">
        <v>8</v>
      </c>
    </row>
    <row r="7" spans="1:3" x14ac:dyDescent="0.3">
      <c r="A7" s="6">
        <v>95</v>
      </c>
      <c r="B7" s="6">
        <v>24</v>
      </c>
      <c r="C7" s="6">
        <v>95</v>
      </c>
    </row>
    <row r="8" spans="1:3" x14ac:dyDescent="0.3">
      <c r="A8" s="6">
        <v>79</v>
      </c>
      <c r="B8" s="6">
        <v>16</v>
      </c>
      <c r="C8" s="6">
        <v>25</v>
      </c>
    </row>
    <row r="9" spans="1:3" x14ac:dyDescent="0.3">
      <c r="A9" s="6">
        <v>7</v>
      </c>
      <c r="B9" s="6">
        <v>13</v>
      </c>
      <c r="C9" s="6">
        <v>95</v>
      </c>
    </row>
    <row r="10" spans="1:3" x14ac:dyDescent="0.3">
      <c r="A10" s="6">
        <v>96</v>
      </c>
      <c r="B10" s="6">
        <v>83</v>
      </c>
      <c r="C10" s="6">
        <v>26</v>
      </c>
    </row>
    <row r="11" spans="1:3" x14ac:dyDescent="0.3">
      <c r="A11" s="6">
        <v>1</v>
      </c>
      <c r="B11" s="6">
        <v>68</v>
      </c>
      <c r="C11" s="6">
        <v>74</v>
      </c>
    </row>
    <row r="12" spans="1:3" x14ac:dyDescent="0.3">
      <c r="A12" s="6">
        <v>48</v>
      </c>
      <c r="B12" s="6">
        <v>57</v>
      </c>
      <c r="C12" s="6">
        <v>96</v>
      </c>
    </row>
    <row r="13" spans="1:3" x14ac:dyDescent="0.3">
      <c r="A13" s="6">
        <v>17</v>
      </c>
      <c r="B13" s="6">
        <v>82</v>
      </c>
      <c r="C13" s="6">
        <v>23</v>
      </c>
    </row>
    <row r="14" spans="1:3" x14ac:dyDescent="0.3">
      <c r="A14" s="6">
        <v>90</v>
      </c>
      <c r="B14" s="6">
        <v>15</v>
      </c>
      <c r="C14" s="6">
        <v>39</v>
      </c>
    </row>
    <row r="15" spans="1:3" x14ac:dyDescent="0.3">
      <c r="A15" s="6">
        <v>36</v>
      </c>
      <c r="B15" s="6">
        <v>58</v>
      </c>
      <c r="C15" s="6">
        <v>70</v>
      </c>
    </row>
    <row r="16" spans="1:3" x14ac:dyDescent="0.3">
      <c r="A16" s="6">
        <v>74</v>
      </c>
      <c r="B16" s="6">
        <v>78</v>
      </c>
      <c r="C16" s="6">
        <v>96</v>
      </c>
    </row>
    <row r="17" spans="1:3" x14ac:dyDescent="0.3">
      <c r="A17" s="6">
        <v>7</v>
      </c>
      <c r="B17" s="6">
        <v>14</v>
      </c>
      <c r="C17" s="6">
        <v>82</v>
      </c>
    </row>
    <row r="18" spans="1:3" x14ac:dyDescent="0.3">
      <c r="A18" s="6">
        <v>50</v>
      </c>
      <c r="B18" s="6">
        <v>2</v>
      </c>
      <c r="C18" s="6">
        <v>77</v>
      </c>
    </row>
    <row r="19" spans="1:3" x14ac:dyDescent="0.3">
      <c r="A19" s="6">
        <v>84</v>
      </c>
      <c r="B19" s="6">
        <v>37</v>
      </c>
      <c r="C19" s="6">
        <v>40</v>
      </c>
    </row>
    <row r="20" spans="1:3" x14ac:dyDescent="0.3">
      <c r="A20" s="6">
        <v>20</v>
      </c>
      <c r="B20" s="6">
        <v>21</v>
      </c>
      <c r="C20" s="6">
        <v>17</v>
      </c>
    </row>
    <row r="21" spans="1:3" x14ac:dyDescent="0.3">
      <c r="A21" s="6">
        <v>20</v>
      </c>
      <c r="B21" s="6">
        <v>42</v>
      </c>
      <c r="C21" s="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FFAE6-2304-4A1E-BA28-EE1A33FBDDBE}">
  <dimension ref="A1:R50"/>
  <sheetViews>
    <sheetView tabSelected="1" workbookViewId="0"/>
  </sheetViews>
  <sheetFormatPr baseColWidth="10" defaultRowHeight="14.4" x14ac:dyDescent="0.3"/>
  <cols>
    <col min="1" max="1" width="12.33203125" bestFit="1" customWidth="1"/>
    <col min="2" max="2" width="12" bestFit="1" customWidth="1"/>
    <col min="3" max="3" width="9" bestFit="1" customWidth="1"/>
    <col min="4" max="5" width="12" bestFit="1" customWidth="1"/>
    <col min="7" max="7" width="11.5546875" style="6"/>
    <col min="8" max="8" width="17.33203125" bestFit="1" customWidth="1"/>
    <col min="9" max="10" width="12.6640625" bestFit="1" customWidth="1"/>
    <col min="11" max="11" width="14.77734375" bestFit="1" customWidth="1"/>
    <col min="12" max="12" width="15.33203125" bestFit="1" customWidth="1"/>
    <col min="13" max="13" width="12.6640625" bestFit="1" customWidth="1"/>
    <col min="14" max="15" width="14.6640625" bestFit="1" customWidth="1"/>
    <col min="16" max="16" width="15.5546875" bestFit="1" customWidth="1"/>
  </cols>
  <sheetData>
    <row r="1" spans="1:16" x14ac:dyDescent="0.3">
      <c r="A1" s="23" t="s">
        <v>10</v>
      </c>
      <c r="B1" s="24" t="s">
        <v>0</v>
      </c>
      <c r="C1" s="25" t="s">
        <v>15</v>
      </c>
      <c r="D1" s="24" t="s">
        <v>1</v>
      </c>
      <c r="E1" s="24" t="s">
        <v>2</v>
      </c>
      <c r="H1" t="s">
        <v>16</v>
      </c>
    </row>
    <row r="2" spans="1:16" ht="15" thickBot="1" x14ac:dyDescent="0.35">
      <c r="A2" s="5">
        <v>1</v>
      </c>
      <c r="B2" s="5">
        <v>47</v>
      </c>
      <c r="C2" s="19">
        <v>1</v>
      </c>
      <c r="D2" s="5">
        <v>43</v>
      </c>
      <c r="E2" s="5">
        <v>13</v>
      </c>
    </row>
    <row r="3" spans="1:16" x14ac:dyDescent="0.3">
      <c r="A3" s="6">
        <f>A2+1</f>
        <v>2</v>
      </c>
      <c r="B3" s="6">
        <v>78</v>
      </c>
      <c r="C3" s="18">
        <v>1</v>
      </c>
      <c r="D3" s="6">
        <v>29</v>
      </c>
      <c r="E3" s="6">
        <v>1</v>
      </c>
      <c r="H3" s="4" t="s">
        <v>17</v>
      </c>
      <c r="I3" s="4"/>
    </row>
    <row r="4" spans="1:16" x14ac:dyDescent="0.3">
      <c r="A4" s="6">
        <f t="shared" ref="A4:A21" si="0">A3+1</f>
        <v>3</v>
      </c>
      <c r="B4" s="6">
        <v>28</v>
      </c>
      <c r="C4" s="18">
        <v>1</v>
      </c>
      <c r="D4" s="6">
        <v>83</v>
      </c>
      <c r="E4" s="6">
        <v>35</v>
      </c>
      <c r="H4" s="1" t="s">
        <v>18</v>
      </c>
      <c r="I4" s="1">
        <v>0.19947096004710768</v>
      </c>
    </row>
    <row r="5" spans="1:16" x14ac:dyDescent="0.3">
      <c r="A5" s="6">
        <f t="shared" si="0"/>
        <v>4</v>
      </c>
      <c r="B5" s="6">
        <v>20</v>
      </c>
      <c r="C5" s="18">
        <v>1</v>
      </c>
      <c r="D5" s="6">
        <v>36</v>
      </c>
      <c r="E5" s="6">
        <v>2</v>
      </c>
      <c r="H5" s="1" t="s">
        <v>19</v>
      </c>
      <c r="I5" s="1">
        <f>J12/J14</f>
        <v>3.9788663902114933E-2</v>
      </c>
    </row>
    <row r="6" spans="1:16" x14ac:dyDescent="0.3">
      <c r="A6" s="6">
        <f t="shared" si="0"/>
        <v>5</v>
      </c>
      <c r="B6" s="6">
        <v>80</v>
      </c>
      <c r="C6" s="18">
        <v>1</v>
      </c>
      <c r="D6" s="6">
        <v>0</v>
      </c>
      <c r="E6" s="6">
        <v>8</v>
      </c>
      <c r="H6" s="1" t="s">
        <v>20</v>
      </c>
      <c r="I6" s="1">
        <f>1-(I14/I13)*(1-I5)</f>
        <v>-7.3177375638812769E-2</v>
      </c>
    </row>
    <row r="7" spans="1:16" x14ac:dyDescent="0.3">
      <c r="A7" s="6">
        <f t="shared" si="0"/>
        <v>6</v>
      </c>
      <c r="B7" s="6">
        <v>95</v>
      </c>
      <c r="C7" s="18">
        <v>1</v>
      </c>
      <c r="D7" s="6">
        <v>24</v>
      </c>
      <c r="E7" s="6">
        <v>95</v>
      </c>
      <c r="H7" s="1" t="s">
        <v>21</v>
      </c>
      <c r="I7" s="1">
        <f>SQRT(J13/I13)</f>
        <v>34.071543668924754</v>
      </c>
    </row>
    <row r="8" spans="1:16" ht="15" thickBot="1" x14ac:dyDescent="0.35">
      <c r="A8" s="6">
        <f t="shared" si="0"/>
        <v>7</v>
      </c>
      <c r="B8" s="6">
        <v>79</v>
      </c>
      <c r="C8" s="18">
        <v>1</v>
      </c>
      <c r="D8" s="6">
        <v>16</v>
      </c>
      <c r="E8" s="6">
        <v>25</v>
      </c>
      <c r="H8" s="2" t="s">
        <v>22</v>
      </c>
      <c r="I8" s="2">
        <v>20</v>
      </c>
    </row>
    <row r="9" spans="1:16" x14ac:dyDescent="0.3">
      <c r="A9" s="6">
        <f t="shared" si="0"/>
        <v>8</v>
      </c>
      <c r="B9" s="6">
        <v>7</v>
      </c>
      <c r="C9" s="18">
        <v>1</v>
      </c>
      <c r="D9" s="6">
        <v>13</v>
      </c>
      <c r="E9" s="6">
        <v>95</v>
      </c>
    </row>
    <row r="10" spans="1:16" ht="15" thickBot="1" x14ac:dyDescent="0.35">
      <c r="A10" s="6">
        <f t="shared" si="0"/>
        <v>9</v>
      </c>
      <c r="B10" s="6">
        <v>96</v>
      </c>
      <c r="C10" s="18">
        <v>1</v>
      </c>
      <c r="D10" s="6">
        <v>83</v>
      </c>
      <c r="E10" s="6">
        <v>26</v>
      </c>
      <c r="H10" t="s">
        <v>23</v>
      </c>
    </row>
    <row r="11" spans="1:16" x14ac:dyDescent="0.3">
      <c r="A11" s="6">
        <f t="shared" si="0"/>
        <v>10</v>
      </c>
      <c r="B11" s="6">
        <v>1</v>
      </c>
      <c r="C11" s="18">
        <v>1</v>
      </c>
      <c r="D11" s="6">
        <v>68</v>
      </c>
      <c r="E11" s="6">
        <v>74</v>
      </c>
      <c r="H11" s="3"/>
      <c r="I11" s="3" t="s">
        <v>26</v>
      </c>
      <c r="J11" s="3" t="s">
        <v>27</v>
      </c>
      <c r="K11" s="3" t="s">
        <v>28</v>
      </c>
      <c r="L11" s="3" t="s">
        <v>4</v>
      </c>
      <c r="M11" s="3" t="s">
        <v>29</v>
      </c>
    </row>
    <row r="12" spans="1:16" x14ac:dyDescent="0.3">
      <c r="A12" s="6">
        <f t="shared" si="0"/>
        <v>11</v>
      </c>
      <c r="B12" s="6">
        <v>48</v>
      </c>
      <c r="C12" s="18">
        <v>1</v>
      </c>
      <c r="D12" s="6">
        <v>57</v>
      </c>
      <c r="E12" s="6">
        <v>96</v>
      </c>
      <c r="H12" s="1" t="s">
        <v>24</v>
      </c>
      <c r="I12" s="1">
        <v>2</v>
      </c>
      <c r="J12" s="21">
        <f>L47</f>
        <v>817.75850428141257</v>
      </c>
      <c r="K12" s="1">
        <f>J12/I12</f>
        <v>408.87925214070628</v>
      </c>
      <c r="L12" s="1">
        <f>((restrictedmodel!C13-model!J13)/model!J13)*(model!I13/model!I12)</f>
        <v>0.35221792375663064</v>
      </c>
      <c r="M12" s="1">
        <f>_xlfn.F.DIST.RT(L12,I12,I13)</f>
        <v>0.70813823701659606</v>
      </c>
    </row>
    <row r="13" spans="1:16" x14ac:dyDescent="0.3">
      <c r="A13" s="6">
        <f t="shared" si="0"/>
        <v>12</v>
      </c>
      <c r="B13" s="6">
        <v>17</v>
      </c>
      <c r="C13" s="18">
        <v>1</v>
      </c>
      <c r="D13" s="6">
        <v>82</v>
      </c>
      <c r="E13" s="6">
        <v>23</v>
      </c>
      <c r="H13" s="1" t="s">
        <v>25</v>
      </c>
      <c r="I13" s="1">
        <f>I8-I12-1</f>
        <v>17</v>
      </c>
      <c r="J13" s="11">
        <f>K47</f>
        <v>19734.791495718593</v>
      </c>
      <c r="K13" s="1">
        <f>J13/I13</f>
        <v>1160.8700879834466</v>
      </c>
      <c r="L13" s="1"/>
      <c r="M13" s="1"/>
    </row>
    <row r="14" spans="1:16" ht="15" thickBot="1" x14ac:dyDescent="0.35">
      <c r="A14" s="6">
        <f t="shared" si="0"/>
        <v>13</v>
      </c>
      <c r="B14" s="6">
        <v>90</v>
      </c>
      <c r="C14" s="18">
        <v>1</v>
      </c>
      <c r="D14" s="6">
        <v>15</v>
      </c>
      <c r="E14" s="6">
        <v>39</v>
      </c>
      <c r="H14" s="2" t="s">
        <v>3</v>
      </c>
      <c r="I14" s="2">
        <f>SUM(I12:I13)</f>
        <v>19</v>
      </c>
      <c r="J14" s="22">
        <f>SUM(J12:J13)</f>
        <v>20552.550000000007</v>
      </c>
      <c r="K14" s="2"/>
      <c r="L14" s="2"/>
      <c r="M14" s="2"/>
    </row>
    <row r="15" spans="1:16" ht="15" thickBot="1" x14ac:dyDescent="0.35">
      <c r="A15" s="6">
        <f t="shared" si="0"/>
        <v>14</v>
      </c>
      <c r="B15" s="6">
        <v>36</v>
      </c>
      <c r="C15" s="18">
        <v>1</v>
      </c>
      <c r="D15" s="6">
        <v>58</v>
      </c>
      <c r="E15" s="6">
        <v>70</v>
      </c>
    </row>
    <row r="16" spans="1:16" x14ac:dyDescent="0.3">
      <c r="A16" s="6">
        <f t="shared" si="0"/>
        <v>15</v>
      </c>
      <c r="B16" s="6">
        <v>74</v>
      </c>
      <c r="C16" s="18">
        <v>1</v>
      </c>
      <c r="D16" s="6">
        <v>78</v>
      </c>
      <c r="E16" s="6">
        <v>96</v>
      </c>
      <c r="H16" s="3"/>
      <c r="I16" s="3" t="s">
        <v>30</v>
      </c>
      <c r="J16" s="3" t="s">
        <v>31</v>
      </c>
      <c r="K16" s="3" t="s">
        <v>32</v>
      </c>
      <c r="L16" s="3" t="s">
        <v>33</v>
      </c>
      <c r="M16" s="3" t="s">
        <v>34</v>
      </c>
      <c r="N16" s="3" t="s">
        <v>35</v>
      </c>
      <c r="O16" s="3" t="s">
        <v>36</v>
      </c>
      <c r="P16" s="3" t="s">
        <v>37</v>
      </c>
    </row>
    <row r="17" spans="1:16" x14ac:dyDescent="0.3">
      <c r="A17" s="6">
        <f t="shared" si="0"/>
        <v>16</v>
      </c>
      <c r="B17" s="6">
        <v>7</v>
      </c>
      <c r="C17" s="18">
        <v>1</v>
      </c>
      <c r="D17" s="6">
        <v>14</v>
      </c>
      <c r="E17" s="6">
        <v>82</v>
      </c>
      <c r="H17" s="1" t="s">
        <v>15</v>
      </c>
      <c r="I17" cm="1">
        <f t="array" ref="I17:I19">MMULT(MINVERSE(MMULT(TRANSPOSE(C2:E21),C2:E21)),MMULT(TRANSPOSE(C2:E21),B2:B21))</f>
        <v>61.708116150078638</v>
      </c>
      <c r="J17" s="1" cm="1">
        <f t="array" ref="J17">INDEX(I7*SQRT(MINVERSE(MMULT(TRANSPOSE(C2:E21),C2:E21))),1,1)</f>
        <v>17.209863109219761</v>
      </c>
      <c r="K17" s="1">
        <f>(I17-0)/J17</f>
        <v>3.5856250429452885</v>
      </c>
      <c r="L17" s="1">
        <f>_xlfn.T.DIST.2T(ABS(K17),$I$13)</f>
        <v>2.2789038821856367E-3</v>
      </c>
      <c r="M17" s="1">
        <f>I17-_xlfn.T.INV.2T(0.05,$I$13)*J17</f>
        <v>25.398478869867866</v>
      </c>
      <c r="N17" s="1">
        <f>I17+_xlfn.T.INV.2T(0.05,$I$13)*J17</f>
        <v>98.017753430289417</v>
      </c>
      <c r="O17" s="1">
        <f>I17-_xlfn.T.INV.2T(0.01,$I$13)*J17</f>
        <v>11.829965647467432</v>
      </c>
      <c r="P17" s="1">
        <f>I17+_xlfn.T.INV.2T(0.01,$I$13)*J17</f>
        <v>111.58626665268984</v>
      </c>
    </row>
    <row r="18" spans="1:16" x14ac:dyDescent="0.3">
      <c r="A18" s="6">
        <f t="shared" si="0"/>
        <v>17</v>
      </c>
      <c r="B18" s="6">
        <v>50</v>
      </c>
      <c r="C18" s="18">
        <v>1</v>
      </c>
      <c r="D18" s="6">
        <v>2</v>
      </c>
      <c r="E18" s="6">
        <v>77</v>
      </c>
      <c r="H18" s="1" t="s">
        <v>1</v>
      </c>
      <c r="I18" s="1">
        <v>-0.14304524599608096</v>
      </c>
      <c r="J18" s="1" cm="1">
        <f t="array" ref="J18">INDEX(I7*SQRT(MINVERSE(MMULT(TRANSPOSE(C2:E21),C2:E21))),2,2)</f>
        <v>0.28101613779402745</v>
      </c>
      <c r="K18" s="1">
        <f t="shared" ref="K18:K19" si="1">(I18-0)/J18</f>
        <v>-0.50902858148640162</v>
      </c>
      <c r="L18" s="1">
        <f t="shared" ref="L18:L19" si="2">_xlfn.T.DIST.2T(ABS(K18),$I$13)</f>
        <v>0.61727527931580617</v>
      </c>
      <c r="M18" s="1">
        <f t="shared" ref="M18:M19" si="3">I18-_xlfn.T.INV.2T(0.05,$I$13)*J18</f>
        <v>-0.73593747113647401</v>
      </c>
      <c r="N18" s="1">
        <f t="shared" ref="N18:N19" si="4">I18+_xlfn.T.INV.2T(0.05,$I$13)*J18</f>
        <v>0.44984697914431215</v>
      </c>
      <c r="O18" s="1">
        <f t="shared" ref="O18:O19" si="5">I18-_xlfn.T.INV.2T(0.01,$I$13)*J18</f>
        <v>-0.95749479307260599</v>
      </c>
      <c r="P18" s="1">
        <f t="shared" ref="P18:P19" si="6">I18+_xlfn.T.INV.2T(0.01,$I$13)*J18</f>
        <v>0.67140430108044413</v>
      </c>
    </row>
    <row r="19" spans="1:16" ht="15" thickBot="1" x14ac:dyDescent="0.35">
      <c r="A19" s="6">
        <f t="shared" si="0"/>
        <v>18</v>
      </c>
      <c r="B19" s="6">
        <v>84</v>
      </c>
      <c r="C19" s="18">
        <v>1</v>
      </c>
      <c r="D19" s="6">
        <v>37</v>
      </c>
      <c r="E19" s="6">
        <v>40</v>
      </c>
      <c r="H19" s="2" t="s">
        <v>2</v>
      </c>
      <c r="I19" s="2">
        <v>-0.1471445623928922</v>
      </c>
      <c r="J19" s="2" cm="1">
        <f t="array" ref="J19">INDEX(I7*SQRT(MINVERSE(MMULT(TRANSPOSE(C2:E21),C2:E21))),3,3)</f>
        <v>0.22842985587411871</v>
      </c>
      <c r="K19" s="2">
        <f t="shared" si="1"/>
        <v>-0.64415643843850012</v>
      </c>
      <c r="L19" s="2">
        <f t="shared" si="2"/>
        <v>0.52807029627088631</v>
      </c>
      <c r="M19" s="2">
        <f t="shared" si="3"/>
        <v>-0.62908943075832724</v>
      </c>
      <c r="N19" s="2">
        <f t="shared" si="4"/>
        <v>0.3348003059725429</v>
      </c>
      <c r="O19" s="2">
        <f t="shared" si="5"/>
        <v>-0.80918694229277688</v>
      </c>
      <c r="P19" s="2">
        <f t="shared" si="6"/>
        <v>0.51489781750699248</v>
      </c>
    </row>
    <row r="20" spans="1:16" x14ac:dyDescent="0.3">
      <c r="A20" s="6">
        <f t="shared" si="0"/>
        <v>19</v>
      </c>
      <c r="B20" s="6">
        <v>20</v>
      </c>
      <c r="C20" s="18">
        <v>1</v>
      </c>
      <c r="D20" s="6">
        <v>21</v>
      </c>
      <c r="E20" s="6">
        <v>17</v>
      </c>
    </row>
    <row r="21" spans="1:16" ht="15" thickBot="1" x14ac:dyDescent="0.35">
      <c r="A21" s="7">
        <f t="shared" si="0"/>
        <v>20</v>
      </c>
      <c r="B21" s="7">
        <v>20</v>
      </c>
      <c r="C21" s="20">
        <v>1</v>
      </c>
      <c r="D21" s="7">
        <v>42</v>
      </c>
      <c r="E21" s="7">
        <v>55</v>
      </c>
    </row>
    <row r="23" spans="1:16" x14ac:dyDescent="0.3">
      <c r="A23" s="13" t="s">
        <v>11</v>
      </c>
      <c r="B23" s="13">
        <f>SUM(B2:B21)</f>
        <v>977</v>
      </c>
      <c r="C23" s="13">
        <f>SUM(C2:C21)</f>
        <v>20</v>
      </c>
      <c r="D23" s="13">
        <f t="shared" ref="D23:E23" si="7">SUM(D2:D21)</f>
        <v>801</v>
      </c>
      <c r="E23" s="13">
        <f t="shared" si="7"/>
        <v>969</v>
      </c>
      <c r="H23" t="s">
        <v>38</v>
      </c>
    </row>
    <row r="24" spans="1:16" ht="15" thickBot="1" x14ac:dyDescent="0.35">
      <c r="A24" s="13" t="s">
        <v>12</v>
      </c>
      <c r="B24" s="13">
        <f>AVERAGE(B2:B21)</f>
        <v>48.85</v>
      </c>
      <c r="C24" s="13">
        <f>AVERAGE(C2:C21)</f>
        <v>1</v>
      </c>
      <c r="D24" s="13">
        <f t="shared" ref="D24:E24" si="8">AVERAGE(D2:D21)</f>
        <v>40.049999999999997</v>
      </c>
      <c r="E24" s="13">
        <f t="shared" si="8"/>
        <v>48.45</v>
      </c>
      <c r="K24" s="7"/>
      <c r="L24" s="7"/>
      <c r="M24" s="7"/>
      <c r="N24" s="7"/>
      <c r="O24" s="7"/>
      <c r="P24" s="7"/>
    </row>
    <row r="25" spans="1:16" x14ac:dyDescent="0.3">
      <c r="A25" s="13" t="s">
        <v>13</v>
      </c>
      <c r="B25" s="13">
        <f>_xlfn.VAR.P(B2:B21)</f>
        <v>1027.6275000000001</v>
      </c>
      <c r="C25" s="13">
        <f>_xlfn.VAR.P(C2:C21)</f>
        <v>0</v>
      </c>
      <c r="D25" s="13">
        <f t="shared" ref="D25:E25" si="9">_xlfn.VAR.P(D2:D21)</f>
        <v>736.44749999999999</v>
      </c>
      <c r="E25" s="13">
        <f t="shared" si="9"/>
        <v>1114.5474999999999</v>
      </c>
      <c r="H25" s="3" t="s">
        <v>10</v>
      </c>
      <c r="I25" s="3" t="s">
        <v>39</v>
      </c>
      <c r="J25" s="3" t="s">
        <v>40</v>
      </c>
      <c r="K25" s="17" t="s">
        <v>41</v>
      </c>
      <c r="L25" s="17" t="s">
        <v>5</v>
      </c>
      <c r="M25" s="17" t="s">
        <v>6</v>
      </c>
      <c r="N25" s="17" t="s">
        <v>7</v>
      </c>
      <c r="O25" s="17" t="s">
        <v>8</v>
      </c>
      <c r="P25" s="17" t="s">
        <v>9</v>
      </c>
    </row>
    <row r="26" spans="1:16" x14ac:dyDescent="0.3">
      <c r="A26" s="13" t="s">
        <v>14</v>
      </c>
      <c r="B26" s="13">
        <f>_xlfn.STDEV.P(B2:B21)</f>
        <v>32.056629579542516</v>
      </c>
      <c r="C26" s="13">
        <f>_xlfn.STDEV.P(C2:C21)</f>
        <v>0</v>
      </c>
      <c r="D26" s="13">
        <f t="shared" ref="D26:E26" si="10">_xlfn.STDEV.P(D2:D21)</f>
        <v>27.137566213645616</v>
      </c>
      <c r="E26" s="13">
        <f t="shared" si="10"/>
        <v>33.38483937358393</v>
      </c>
      <c r="H26" s="1">
        <v>1</v>
      </c>
      <c r="I26" s="1">
        <v>53.6442912611396</v>
      </c>
      <c r="J26" s="1">
        <v>-6.6442912611395997</v>
      </c>
      <c r="K26" s="14">
        <f>J26^2</f>
        <v>44.146606362856055</v>
      </c>
      <c r="L26" s="14">
        <f>(I26-$B$24)^2</f>
        <v>22.985228696639521</v>
      </c>
      <c r="M26" s="14">
        <f>(B2-$B$24)^2</f>
        <v>3.4225000000000052</v>
      </c>
      <c r="N26" s="14">
        <f>(D2-$D$24)^2</f>
        <v>8.7025000000000166</v>
      </c>
      <c r="O26" s="14">
        <f>(E2-$E$24)^2</f>
        <v>1256.7025000000001</v>
      </c>
      <c r="P26" s="14">
        <f>(J26-$J$48)^2</f>
        <v>44.146606362855984</v>
      </c>
    </row>
    <row r="27" spans="1:16" x14ac:dyDescent="0.3">
      <c r="H27" s="1">
        <v>2</v>
      </c>
      <c r="I27" s="1">
        <v>57.412659453799435</v>
      </c>
      <c r="J27" s="1">
        <v>20.587340546200565</v>
      </c>
      <c r="K27" s="15">
        <f t="shared" ref="K27:K45" si="11">J27^2</f>
        <v>423.83859076523379</v>
      </c>
      <c r="L27" s="15">
        <f t="shared" ref="L27:L45" si="12">(I27-$B$24)^2</f>
        <v>73.319136921740821</v>
      </c>
      <c r="M27" s="15">
        <f t="shared" ref="M27:M45" si="13">(B3-$B$24)^2</f>
        <v>849.72249999999997</v>
      </c>
      <c r="N27" s="15">
        <f t="shared" ref="N27:N45" si="14">(D3-$D$24)^2</f>
        <v>122.10249999999994</v>
      </c>
      <c r="O27" s="15">
        <f t="shared" ref="O27:O45" si="15">(E3-$E$24)^2</f>
        <v>2251.5025000000001</v>
      </c>
      <c r="P27" s="15">
        <f t="shared" ref="P27:P45" si="16">(J27-$J$48)^2</f>
        <v>423.83859076523407</v>
      </c>
    </row>
    <row r="28" spans="1:16" x14ac:dyDescent="0.3">
      <c r="H28" s="1">
        <v>3</v>
      </c>
      <c r="I28" s="1">
        <v>44.685301048652732</v>
      </c>
      <c r="J28" s="1">
        <v>-16.685301048652732</v>
      </c>
      <c r="K28" s="15">
        <f t="shared" si="11"/>
        <v>278.39927108417197</v>
      </c>
      <c r="L28" s="15">
        <f t="shared" si="12"/>
        <v>17.34471735535304</v>
      </c>
      <c r="M28" s="15">
        <f t="shared" si="13"/>
        <v>434.72250000000008</v>
      </c>
      <c r="N28" s="15">
        <f t="shared" si="14"/>
        <v>1844.7025000000003</v>
      </c>
      <c r="O28" s="15">
        <f t="shared" si="15"/>
        <v>180.90250000000009</v>
      </c>
      <c r="P28" s="15">
        <f t="shared" si="16"/>
        <v>278.39927108417174</v>
      </c>
    </row>
    <row r="29" spans="1:16" x14ac:dyDescent="0.3">
      <c r="H29" s="1">
        <v>4</v>
      </c>
      <c r="I29" s="1">
        <v>56.264198169433982</v>
      </c>
      <c r="J29" s="1">
        <v>-36.264198169433982</v>
      </c>
      <c r="K29" s="15">
        <f t="shared" si="11"/>
        <v>1315.0920688719789</v>
      </c>
      <c r="L29" s="15">
        <f t="shared" si="12"/>
        <v>54.970334495638184</v>
      </c>
      <c r="M29" s="15">
        <f t="shared" si="13"/>
        <v>832.3225000000001</v>
      </c>
      <c r="N29" s="15">
        <f t="shared" si="14"/>
        <v>16.402499999999979</v>
      </c>
      <c r="O29" s="15">
        <f t="shared" si="15"/>
        <v>2157.6025000000004</v>
      </c>
      <c r="P29" s="15">
        <f t="shared" si="16"/>
        <v>1315.0920688719784</v>
      </c>
    </row>
    <row r="30" spans="1:16" x14ac:dyDescent="0.3">
      <c r="H30" s="1">
        <v>5</v>
      </c>
      <c r="I30" s="1">
        <v>60.530959650935543</v>
      </c>
      <c r="J30" s="1">
        <v>19.469040349064457</v>
      </c>
      <c r="K30" s="15">
        <f t="shared" si="11"/>
        <v>379.04353211349985</v>
      </c>
      <c r="L30" s="15">
        <f t="shared" si="12"/>
        <v>136.44481836678418</v>
      </c>
      <c r="M30" s="15">
        <f t="shared" si="13"/>
        <v>970.32249999999988</v>
      </c>
      <c r="N30" s="15">
        <f t="shared" si="14"/>
        <v>1604.0024999999998</v>
      </c>
      <c r="O30" s="15">
        <f t="shared" si="15"/>
        <v>1636.2025000000003</v>
      </c>
      <c r="P30" s="15">
        <f t="shared" si="16"/>
        <v>379.04353211350013</v>
      </c>
    </row>
    <row r="31" spans="1:16" x14ac:dyDescent="0.3">
      <c r="H31" s="1">
        <v>6</v>
      </c>
      <c r="I31" s="1">
        <v>44.296296818847971</v>
      </c>
      <c r="J31" s="1">
        <v>50.703703181152029</v>
      </c>
      <c r="K31" s="15">
        <f t="shared" si="11"/>
        <v>2570.8655162823666</v>
      </c>
      <c r="L31" s="15">
        <f t="shared" si="12"/>
        <v>20.736212662034124</v>
      </c>
      <c r="M31" s="15">
        <f t="shared" si="13"/>
        <v>2129.8224999999998</v>
      </c>
      <c r="N31" s="15">
        <f t="shared" si="14"/>
        <v>257.60249999999991</v>
      </c>
      <c r="O31" s="15">
        <f t="shared" si="15"/>
        <v>2166.9024999999997</v>
      </c>
      <c r="P31" s="15">
        <f t="shared" si="16"/>
        <v>2570.865516282367</v>
      </c>
    </row>
    <row r="32" spans="1:16" x14ac:dyDescent="0.3">
      <c r="H32" s="1">
        <v>7</v>
      </c>
      <c r="I32" s="1">
        <v>55.740778154319074</v>
      </c>
      <c r="J32" s="1">
        <v>23.259221845680926</v>
      </c>
      <c r="K32" s="15">
        <f t="shared" si="11"/>
        <v>540.99140086660088</v>
      </c>
      <c r="L32" s="15">
        <f t="shared" si="12"/>
        <v>47.482823572040957</v>
      </c>
      <c r="M32" s="15">
        <f t="shared" si="13"/>
        <v>909.02249999999992</v>
      </c>
      <c r="N32" s="15">
        <f t="shared" si="14"/>
        <v>578.40249999999992</v>
      </c>
      <c r="O32" s="15">
        <f t="shared" si="15"/>
        <v>549.90250000000015</v>
      </c>
      <c r="P32" s="15">
        <f t="shared" si="16"/>
        <v>540.99140086660111</v>
      </c>
    </row>
    <row r="33" spans="8:18" x14ac:dyDescent="0.3">
      <c r="H33" s="1">
        <v>8</v>
      </c>
      <c r="I33" s="1">
        <v>45.86979452480486</v>
      </c>
      <c r="J33" s="1">
        <v>-38.86979452480486</v>
      </c>
      <c r="K33" s="15">
        <f t="shared" si="11"/>
        <v>1510.8609264005499</v>
      </c>
      <c r="L33" s="15">
        <f t="shared" si="12"/>
        <v>8.8816246743831009</v>
      </c>
      <c r="M33" s="15">
        <f t="shared" si="13"/>
        <v>1751.4225000000001</v>
      </c>
      <c r="N33" s="15">
        <f t="shared" si="14"/>
        <v>731.70249999999987</v>
      </c>
      <c r="O33" s="15">
        <f t="shared" si="15"/>
        <v>2166.9024999999997</v>
      </c>
      <c r="P33" s="15">
        <f t="shared" si="16"/>
        <v>1510.8609264005493</v>
      </c>
    </row>
    <row r="34" spans="8:18" x14ac:dyDescent="0.3">
      <c r="H34" s="1">
        <v>9</v>
      </c>
      <c r="I34" s="1">
        <v>46.009602110188766</v>
      </c>
      <c r="J34" s="1">
        <v>49.990397889811234</v>
      </c>
      <c r="K34" s="15">
        <f t="shared" si="11"/>
        <v>2499.0398811816435</v>
      </c>
      <c r="L34" s="15">
        <f t="shared" si="12"/>
        <v>8.0678601724441208</v>
      </c>
      <c r="M34" s="15">
        <f t="shared" si="13"/>
        <v>2223.1224999999999</v>
      </c>
      <c r="N34" s="15">
        <f t="shared" si="14"/>
        <v>1844.7025000000003</v>
      </c>
      <c r="O34" s="15">
        <f t="shared" si="15"/>
        <v>504.00250000000011</v>
      </c>
      <c r="P34" s="15">
        <f t="shared" si="16"/>
        <v>2499.0398811816444</v>
      </c>
    </row>
    <row r="35" spans="8:18" x14ac:dyDescent="0.3">
      <c r="H35" s="1">
        <v>10</v>
      </c>
      <c r="I35" s="1">
        <v>41.092341805271147</v>
      </c>
      <c r="J35" s="1">
        <v>-40.092341805271147</v>
      </c>
      <c r="K35" s="15">
        <f t="shared" si="11"/>
        <v>1607.3958714306925</v>
      </c>
      <c r="L35" s="15">
        <f t="shared" si="12"/>
        <v>60.181260666243752</v>
      </c>
      <c r="M35" s="15">
        <f t="shared" si="13"/>
        <v>2289.6224999999999</v>
      </c>
      <c r="N35" s="15">
        <f t="shared" si="14"/>
        <v>781.20250000000021</v>
      </c>
      <c r="O35" s="15">
        <f t="shared" si="15"/>
        <v>652.8024999999999</v>
      </c>
      <c r="P35" s="15">
        <f t="shared" si="16"/>
        <v>1607.3958714306918</v>
      </c>
    </row>
    <row r="36" spans="8:18" x14ac:dyDescent="0.3">
      <c r="H36" s="1">
        <v>11</v>
      </c>
      <c r="I36" s="1">
        <v>39.428659138584401</v>
      </c>
      <c r="J36" s="1">
        <v>8.5713408614155995</v>
      </c>
      <c r="K36" s="15">
        <f t="shared" si="11"/>
        <v>73.467884162572716</v>
      </c>
      <c r="L36" s="15">
        <f t="shared" si="12"/>
        <v>88.761663626979256</v>
      </c>
      <c r="M36" s="15">
        <f t="shared" si="13"/>
        <v>0.72250000000000236</v>
      </c>
      <c r="N36" s="15">
        <f t="shared" si="14"/>
        <v>287.30250000000012</v>
      </c>
      <c r="O36" s="15">
        <f t="shared" si="15"/>
        <v>2261.0024999999996</v>
      </c>
      <c r="P36" s="15">
        <f t="shared" si="16"/>
        <v>73.467884162572801</v>
      </c>
    </row>
    <row r="37" spans="8:18" x14ac:dyDescent="0.3">
      <c r="H37" s="1">
        <v>12</v>
      </c>
      <c r="I37" s="1">
        <v>46.594081043363524</v>
      </c>
      <c r="J37" s="1">
        <v>-29.594081043363524</v>
      </c>
      <c r="K37" s="15">
        <f t="shared" si="11"/>
        <v>875.80963280116828</v>
      </c>
      <c r="L37" s="15">
        <f t="shared" si="12"/>
        <v>5.0891703389118153</v>
      </c>
      <c r="M37" s="15">
        <f t="shared" si="13"/>
        <v>1014.4225000000001</v>
      </c>
      <c r="N37" s="15">
        <f>(D13-$D$24)^2</f>
        <v>1759.8025000000002</v>
      </c>
      <c r="O37" s="15">
        <f t="shared" si="15"/>
        <v>647.7025000000001</v>
      </c>
      <c r="P37" s="15">
        <f t="shared" si="16"/>
        <v>875.80963280116782</v>
      </c>
      <c r="R37" s="1"/>
    </row>
    <row r="38" spans="8:18" x14ac:dyDescent="0.3">
      <c r="H38" s="1">
        <v>13</v>
      </c>
      <c r="I38" s="1">
        <v>53.823799526814668</v>
      </c>
      <c r="J38" s="1">
        <v>36.176200473185332</v>
      </c>
      <c r="K38" s="15">
        <f t="shared" si="11"/>
        <v>1308.7174806760947</v>
      </c>
      <c r="L38" s="15">
        <f t="shared" si="12"/>
        <v>24.738681732941796</v>
      </c>
      <c r="M38" s="15">
        <f t="shared" si="13"/>
        <v>1693.3225</v>
      </c>
      <c r="N38" s="15">
        <f t="shared" si="14"/>
        <v>627.50249999999983</v>
      </c>
      <c r="O38" s="15">
        <f t="shared" si="15"/>
        <v>89.302500000000052</v>
      </c>
      <c r="P38" s="15">
        <f t="shared" si="16"/>
        <v>1308.7174806760952</v>
      </c>
    </row>
    <row r="39" spans="8:18" x14ac:dyDescent="0.3">
      <c r="H39" s="1">
        <v>14</v>
      </c>
      <c r="I39" s="1">
        <v>43.111372514803527</v>
      </c>
      <c r="J39" s="1">
        <v>-7.1113725148035272</v>
      </c>
      <c r="K39" s="15">
        <f t="shared" si="11"/>
        <v>50.571619044303041</v>
      </c>
      <c r="L39" s="15">
        <f t="shared" si="12"/>
        <v>32.931845413852407</v>
      </c>
      <c r="M39" s="15">
        <f t="shared" si="13"/>
        <v>165.12250000000003</v>
      </c>
      <c r="N39" s="15">
        <f t="shared" si="14"/>
        <v>322.2025000000001</v>
      </c>
      <c r="O39" s="15">
        <f t="shared" si="15"/>
        <v>464.40249999999986</v>
      </c>
      <c r="P39" s="15">
        <f t="shared" si="16"/>
        <v>50.571619044302963</v>
      </c>
    </row>
    <row r="40" spans="8:18" x14ac:dyDescent="0.3">
      <c r="H40" s="1">
        <v>15</v>
      </c>
      <c r="I40" s="1">
        <v>36.424708972666707</v>
      </c>
      <c r="J40" s="1">
        <v>37.575291027333293</v>
      </c>
      <c r="K40" s="15">
        <f t="shared" si="11"/>
        <v>1411.9024957887939</v>
      </c>
      <c r="L40" s="15">
        <f t="shared" si="12"/>
        <v>154.38785711392927</v>
      </c>
      <c r="M40" s="15">
        <f t="shared" si="13"/>
        <v>632.52249999999992</v>
      </c>
      <c r="N40" s="15">
        <f t="shared" si="14"/>
        <v>1440.2025000000003</v>
      </c>
      <c r="O40" s="15">
        <f t="shared" si="15"/>
        <v>2261.0024999999996</v>
      </c>
      <c r="P40" s="15">
        <f t="shared" si="16"/>
        <v>1411.9024957887943</v>
      </c>
    </row>
    <row r="41" spans="8:18" x14ac:dyDescent="0.3">
      <c r="H41" s="1">
        <v>16</v>
      </c>
      <c r="I41" s="1">
        <v>47.63962858991637</v>
      </c>
      <c r="J41" s="1">
        <v>-40.63962858991637</v>
      </c>
      <c r="K41" s="15">
        <f t="shared" si="11"/>
        <v>1651.579411926348</v>
      </c>
      <c r="L41" s="15">
        <f t="shared" si="12"/>
        <v>1.4649989503478382</v>
      </c>
      <c r="M41" s="15">
        <f t="shared" si="13"/>
        <v>1751.4225000000001</v>
      </c>
      <c r="N41" s="15">
        <f t="shared" si="14"/>
        <v>678.60249999999985</v>
      </c>
      <c r="O41" s="15">
        <f t="shared" si="15"/>
        <v>1125.6024999999997</v>
      </c>
      <c r="P41" s="15">
        <f t="shared" si="16"/>
        <v>1651.5794119263473</v>
      </c>
    </row>
    <row r="42" spans="8:18" x14ac:dyDescent="0.3">
      <c r="H42" s="1">
        <v>17</v>
      </c>
      <c r="I42" s="1">
        <v>50.091894353833808</v>
      </c>
      <c r="J42" s="1">
        <v>-9.1894353833808395E-2</v>
      </c>
      <c r="K42" s="15">
        <f t="shared" si="11"/>
        <v>8.4445722665331749E-3</v>
      </c>
      <c r="L42" s="15">
        <f t="shared" si="12"/>
        <v>1.542301586084289</v>
      </c>
      <c r="M42" s="15">
        <f t="shared" si="13"/>
        <v>1.3224999999999967</v>
      </c>
      <c r="N42" s="15">
        <f t="shared" si="14"/>
        <v>1447.8024999999998</v>
      </c>
      <c r="O42" s="15">
        <f t="shared" si="15"/>
        <v>815.10249999999985</v>
      </c>
      <c r="P42" s="15">
        <f t="shared" si="16"/>
        <v>8.4445722665321306E-3</v>
      </c>
    </row>
    <row r="43" spans="8:18" x14ac:dyDescent="0.3">
      <c r="H43" s="1">
        <v>18</v>
      </c>
      <c r="I43" s="1">
        <v>50.529659552507994</v>
      </c>
      <c r="J43" s="1">
        <v>33.470340447492006</v>
      </c>
      <c r="K43" s="15">
        <f t="shared" si="11"/>
        <v>1120.2636896710194</v>
      </c>
      <c r="L43" s="15">
        <f t="shared" si="12"/>
        <v>2.8212562123313489</v>
      </c>
      <c r="M43" s="15">
        <f t="shared" si="13"/>
        <v>1235.5224999999998</v>
      </c>
      <c r="N43" s="15">
        <f t="shared" si="14"/>
        <v>9.3024999999999824</v>
      </c>
      <c r="O43" s="15">
        <f t="shared" si="15"/>
        <v>71.402500000000046</v>
      </c>
      <c r="P43" s="15">
        <f t="shared" si="16"/>
        <v>1120.2636896710198</v>
      </c>
    </row>
    <row r="44" spans="8:18" x14ac:dyDescent="0.3">
      <c r="H44" s="1">
        <v>19</v>
      </c>
      <c r="I44" s="1">
        <v>56.202708423481809</v>
      </c>
      <c r="J44" s="1">
        <v>-36.202708423481809</v>
      </c>
      <c r="K44" s="15">
        <f t="shared" si="11"/>
        <v>1310.6360971956408</v>
      </c>
      <c r="L44" s="15">
        <f t="shared" si="12"/>
        <v>54.062321160740332</v>
      </c>
      <c r="M44" s="15">
        <f t="shared" si="13"/>
        <v>832.3225000000001</v>
      </c>
      <c r="N44" s="15">
        <f t="shared" si="14"/>
        <v>362.90249999999992</v>
      </c>
      <c r="O44" s="15">
        <f t="shared" si="15"/>
        <v>989.10250000000019</v>
      </c>
      <c r="P44" s="15">
        <f t="shared" si="16"/>
        <v>1310.6360971956403</v>
      </c>
    </row>
    <row r="45" spans="8:18" ht="15" thickBot="1" x14ac:dyDescent="0.35">
      <c r="H45" s="2">
        <v>20</v>
      </c>
      <c r="I45" s="2">
        <v>47.607264886634198</v>
      </c>
      <c r="J45" s="2">
        <v>-27.607264886634198</v>
      </c>
      <c r="K45" s="16">
        <f t="shared" si="11"/>
        <v>762.16107452078552</v>
      </c>
      <c r="L45" s="16">
        <f t="shared" si="12"/>
        <v>1.5443905619923166</v>
      </c>
      <c r="M45" s="16">
        <f t="shared" si="13"/>
        <v>832.3225000000001</v>
      </c>
      <c r="N45" s="16">
        <f t="shared" si="14"/>
        <v>3.8025000000000109</v>
      </c>
      <c r="O45" s="16">
        <f t="shared" si="15"/>
        <v>42.902499999999961</v>
      </c>
      <c r="P45" s="16">
        <f t="shared" si="16"/>
        <v>762.16107452078518</v>
      </c>
    </row>
    <row r="47" spans="8:18" x14ac:dyDescent="0.3">
      <c r="H47" s="13" t="s">
        <v>11</v>
      </c>
      <c r="I47" s="13">
        <f t="shared" ref="I47:O47" si="17">SUM(I26:I45)</f>
        <v>977</v>
      </c>
      <c r="J47" s="13">
        <f t="shared" si="17"/>
        <v>-1.1368683772161603E-13</v>
      </c>
      <c r="K47" s="10">
        <f t="shared" si="17"/>
        <v>19734.791495718593</v>
      </c>
      <c r="L47" s="9">
        <f t="shared" si="17"/>
        <v>817.75850428141257</v>
      </c>
      <c r="M47" s="8">
        <f t="shared" si="17"/>
        <v>20552.549999999992</v>
      </c>
      <c r="N47" s="13">
        <f t="shared" si="17"/>
        <v>14728.949999999997</v>
      </c>
      <c r="O47" s="13">
        <f t="shared" si="17"/>
        <v>22290.950000000004</v>
      </c>
      <c r="P47" s="13">
        <f t="shared" ref="P47" si="18">SUM(P26:P45)</f>
        <v>19734.791495718589</v>
      </c>
    </row>
    <row r="48" spans="8:18" x14ac:dyDescent="0.3">
      <c r="H48" s="13" t="s">
        <v>12</v>
      </c>
      <c r="I48" s="13">
        <f t="shared" ref="I48:O48" si="19">AVERAGE(I26:I45)</f>
        <v>48.85</v>
      </c>
      <c r="J48" s="13">
        <f t="shared" si="19"/>
        <v>-5.6843418860808018E-15</v>
      </c>
      <c r="K48" s="13">
        <f t="shared" si="19"/>
        <v>986.73957478592968</v>
      </c>
      <c r="L48" s="13">
        <f t="shared" si="19"/>
        <v>40.887925214070627</v>
      </c>
      <c r="M48" s="13">
        <f t="shared" si="19"/>
        <v>1027.6274999999996</v>
      </c>
      <c r="N48" s="13">
        <f t="shared" si="19"/>
        <v>736.44749999999988</v>
      </c>
      <c r="O48" s="13">
        <f t="shared" si="19"/>
        <v>1114.5475000000001</v>
      </c>
      <c r="P48" s="13">
        <f t="shared" ref="P48" si="20">AVERAGE(P26:P45)</f>
        <v>986.73957478592945</v>
      </c>
    </row>
    <row r="49" spans="8:16" x14ac:dyDescent="0.3">
      <c r="H49" s="13" t="s">
        <v>13</v>
      </c>
      <c r="I49" s="13">
        <f t="shared" ref="I49:O49" si="21">_xlfn.VAR.P(I26:I45)</f>
        <v>40.887925214071004</v>
      </c>
      <c r="J49" s="13">
        <f t="shared" si="21"/>
        <v>986.73957478592956</v>
      </c>
      <c r="K49" s="13">
        <f t="shared" si="21"/>
        <v>571767.43826099962</v>
      </c>
      <c r="L49" s="13">
        <f t="shared" si="21"/>
        <v>1861.5978056999406</v>
      </c>
      <c r="M49" s="13">
        <f t="shared" si="21"/>
        <v>517140.0324750006</v>
      </c>
      <c r="N49" s="13">
        <f t="shared" si="21"/>
        <v>426652.28647500055</v>
      </c>
      <c r="O49" s="13">
        <f t="shared" si="21"/>
        <v>666346.68847499951</v>
      </c>
      <c r="P49" s="13">
        <f t="shared" ref="P49" si="22">_xlfn.VAR.P(P26:P45)</f>
        <v>571767.43826099974</v>
      </c>
    </row>
    <row r="50" spans="8:16" x14ac:dyDescent="0.3">
      <c r="H50" s="13" t="s">
        <v>14</v>
      </c>
      <c r="I50" s="13">
        <f t="shared" ref="I50:O50" si="23">_xlfn.STDEV.P(I26:I45)</f>
        <v>6.3943666781058939</v>
      </c>
      <c r="J50" s="13">
        <f t="shared" si="23"/>
        <v>31.412411158424778</v>
      </c>
      <c r="K50" s="13">
        <f t="shared" si="23"/>
        <v>756.15305214023942</v>
      </c>
      <c r="L50" s="13">
        <f t="shared" si="23"/>
        <v>43.146237445459143</v>
      </c>
      <c r="M50" s="13">
        <f t="shared" si="23"/>
        <v>719.12449024838565</v>
      </c>
      <c r="N50" s="13">
        <f t="shared" si="23"/>
        <v>653.18625710818549</v>
      </c>
      <c r="O50" s="13">
        <f t="shared" si="23"/>
        <v>816.30061158558465</v>
      </c>
      <c r="P50" s="13">
        <f t="shared" ref="P50" si="24">_xlfn.STDEV.P(P26:P45)</f>
        <v>756.15305214023954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81373-62FB-4CE5-A79C-C5BE33D69B64}">
  <dimension ref="A1:G18"/>
  <sheetViews>
    <sheetView workbookViewId="0"/>
  </sheetViews>
  <sheetFormatPr baseColWidth="10" defaultRowHeight="14.4" x14ac:dyDescent="0.3"/>
  <cols>
    <col min="1" max="1" width="17.33203125" bestFit="1" customWidth="1"/>
    <col min="3" max="3" width="17.33203125" bestFit="1" customWidth="1"/>
    <col min="4" max="4" width="23.33203125" bestFit="1" customWidth="1"/>
  </cols>
  <sheetData>
    <row r="1" spans="1:7" x14ac:dyDescent="0.3">
      <c r="A1" t="s">
        <v>16</v>
      </c>
    </row>
    <row r="2" spans="1:7" ht="15" thickBot="1" x14ac:dyDescent="0.35"/>
    <row r="3" spans="1:7" x14ac:dyDescent="0.3">
      <c r="A3" s="4" t="s">
        <v>17</v>
      </c>
      <c r="B3" s="4"/>
    </row>
    <row r="4" spans="1:7" x14ac:dyDescent="0.3">
      <c r="A4" s="1" t="s">
        <v>18</v>
      </c>
      <c r="B4" s="1">
        <v>0.83605719735735495</v>
      </c>
    </row>
    <row r="5" spans="1:7" x14ac:dyDescent="0.3">
      <c r="A5" s="1" t="s">
        <v>19</v>
      </c>
      <c r="B5" s="1">
        <v>0.69899163725303526</v>
      </c>
    </row>
    <row r="6" spans="1:7" x14ac:dyDescent="0.3">
      <c r="A6" s="1" t="s">
        <v>20</v>
      </c>
      <c r="B6" s="1">
        <v>0.64636005830566678</v>
      </c>
    </row>
    <row r="7" spans="1:7" x14ac:dyDescent="0.3">
      <c r="A7" s="1" t="s">
        <v>21</v>
      </c>
      <c r="B7" s="1">
        <v>32.889407989423241</v>
      </c>
    </row>
    <row r="8" spans="1:7" ht="15" thickBot="1" x14ac:dyDescent="0.35">
      <c r="A8" s="2" t="s">
        <v>22</v>
      </c>
      <c r="B8" s="2">
        <v>20</v>
      </c>
    </row>
    <row r="10" spans="1:7" ht="15" thickBot="1" x14ac:dyDescent="0.35">
      <c r="A10" t="s">
        <v>23</v>
      </c>
    </row>
    <row r="11" spans="1:7" x14ac:dyDescent="0.3">
      <c r="A11" s="3"/>
      <c r="B11" s="3" t="s">
        <v>26</v>
      </c>
      <c r="C11" s="3" t="s">
        <v>27</v>
      </c>
      <c r="D11" s="3" t="s">
        <v>28</v>
      </c>
      <c r="E11" s="3" t="s">
        <v>4</v>
      </c>
      <c r="F11" s="3" t="s">
        <v>29</v>
      </c>
    </row>
    <row r="12" spans="1:7" x14ac:dyDescent="0.3">
      <c r="A12" s="1" t="s">
        <v>24</v>
      </c>
      <c r="B12" s="1">
        <v>1</v>
      </c>
      <c r="C12" s="1">
        <v>47726.45</v>
      </c>
      <c r="D12" s="1">
        <v>47726.45</v>
      </c>
      <c r="E12" s="1">
        <v>44.121169879163396</v>
      </c>
      <c r="F12" s="1">
        <v>3.107284361257436E-6</v>
      </c>
    </row>
    <row r="13" spans="1:7" x14ac:dyDescent="0.3">
      <c r="A13" s="1" t="s">
        <v>25</v>
      </c>
      <c r="B13" s="1">
        <v>19</v>
      </c>
      <c r="C13" s="1">
        <v>20552.550000000007</v>
      </c>
      <c r="D13" s="1">
        <v>1081.7131578947372</v>
      </c>
      <c r="E13" s="1"/>
      <c r="F13" s="1"/>
    </row>
    <row r="14" spans="1:7" ht="15" thickBot="1" x14ac:dyDescent="0.35">
      <c r="A14" s="2" t="s">
        <v>3</v>
      </c>
      <c r="B14" s="2">
        <v>20</v>
      </c>
      <c r="C14" s="2">
        <v>68279</v>
      </c>
      <c r="D14" s="2"/>
      <c r="E14" s="2"/>
      <c r="F14" s="2"/>
    </row>
    <row r="15" spans="1:7" ht="15" thickBot="1" x14ac:dyDescent="0.35"/>
    <row r="16" spans="1:7" x14ac:dyDescent="0.3">
      <c r="A16" s="3"/>
      <c r="B16" s="3" t="s">
        <v>30</v>
      </c>
      <c r="C16" s="3" t="s">
        <v>31</v>
      </c>
      <c r="D16" s="3" t="s">
        <v>32</v>
      </c>
      <c r="E16" s="3" t="s">
        <v>33</v>
      </c>
      <c r="F16" s="3" t="s">
        <v>34</v>
      </c>
      <c r="G16" s="3" t="s">
        <v>35</v>
      </c>
    </row>
    <row r="17" spans="1:7" x14ac:dyDescent="0.3">
      <c r="A17" s="1" t="s">
        <v>15</v>
      </c>
      <c r="B17" s="1">
        <v>0</v>
      </c>
      <c r="C17" s="1" t="e">
        <v>#N/A</v>
      </c>
      <c r="D17" s="1" t="e">
        <v>#N/A</v>
      </c>
      <c r="E17" s="1" t="e">
        <v>#N/A</v>
      </c>
      <c r="F17" s="1" t="e">
        <v>#N/A</v>
      </c>
      <c r="G17" s="1" t="e">
        <v>#N/A</v>
      </c>
    </row>
    <row r="18" spans="1:7" ht="15" thickBot="1" x14ac:dyDescent="0.35">
      <c r="A18" s="2" t="s">
        <v>15</v>
      </c>
      <c r="B18" s="2">
        <v>48.850000000000009</v>
      </c>
      <c r="C18" s="2">
        <v>7.3542952004075044</v>
      </c>
      <c r="D18" s="2">
        <v>6.6423768245382933</v>
      </c>
      <c r="E18" s="2">
        <v>2.3582198251477517E-6</v>
      </c>
      <c r="F18" s="2">
        <v>33.45728324232752</v>
      </c>
      <c r="G18" s="2">
        <v>64.242716757672497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rawdata</vt:lpstr>
      <vt:lpstr>model</vt:lpstr>
      <vt:lpstr>restrictedmodel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Moreno</dc:creator>
  <cp:lastModifiedBy>Marcelo Moreno</cp:lastModifiedBy>
  <dcterms:created xsi:type="dcterms:W3CDTF">2022-01-17T13:56:12Z</dcterms:created>
  <dcterms:modified xsi:type="dcterms:W3CDTF">2022-01-18T11:50:23Z</dcterms:modified>
</cp:coreProperties>
</file>