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Overview" sheetId="1" state="visible" r:id="rId1"/>
    <sheet name="CostBlocks" sheetId="2" state="visible" r:id="rId2"/>
    <sheet name="History" sheetId="3" state="visible" r:id="rId3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<sst xmlns="http://schemas.openxmlformats.org/spreadsheetml/2006/main" count="113" uniqueCount="113">
  <si>
    <t xml:space="preserve">Financial overview plan 2023</t>
  </si>
  <si>
    <t>Date</t>
  </si>
  <si>
    <t>Balance</t>
  </si>
  <si>
    <t>Incoming</t>
  </si>
  <si>
    <t>Outgoing</t>
  </si>
  <si>
    <t>Explanation</t>
  </si>
  <si>
    <t xml:space="preserve">MinisForum UM690</t>
  </si>
  <si>
    <t xml:space="preserve">Guthaben FA</t>
  </si>
  <si>
    <t xml:space="preserve">Refund Magic Trackpad</t>
  </si>
  <si>
    <t xml:space="preserve">AP2 Gesamt Rechnung</t>
  </si>
  <si>
    <t xml:space="preserve">Refund Mac Mini M2</t>
  </si>
  <si>
    <t xml:space="preserve">Restkosten March</t>
  </si>
  <si>
    <t>Ust.VZ.Q1</t>
  </si>
  <si>
    <t xml:space="preserve">LG Gram 14 2022 + 1TB SSD</t>
  </si>
  <si>
    <t xml:space="preserve">Brille (Flex Gleitsicht)</t>
  </si>
  <si>
    <t xml:space="preserve">SVS Q1 + Q2 (really!?)</t>
  </si>
  <si>
    <t xml:space="preserve">Taiwan (cancellation fees)</t>
  </si>
  <si>
    <t xml:space="preserve">AP3 + AP5 Anzahlungen</t>
  </si>
  <si>
    <t>EKSt.VZ.Q3</t>
  </si>
  <si>
    <t>SVS.Q3</t>
  </si>
  <si>
    <t xml:space="preserve">Berlin (sunk costs)</t>
  </si>
  <si>
    <t xml:space="preserve">Monthly costs April-July</t>
  </si>
  <si>
    <t xml:space="preserve">Korrektur Mehrausgaben ;-(</t>
  </si>
  <si>
    <t xml:space="preserve">MacBook Air 15” + Accessrs.</t>
  </si>
  <si>
    <t xml:space="preserve">Lisi Kredit</t>
  </si>
  <si>
    <t>Energiekostenpauschale</t>
  </si>
  <si>
    <t xml:space="preserve">Lisi Kredit Rueckzahlung</t>
  </si>
  <si>
    <t xml:space="preserve">Erloes UM690</t>
  </si>
  <si>
    <t>Klimabonus</t>
  </si>
  <si>
    <t xml:space="preserve">Airbnb Burgas / Sarafovo</t>
  </si>
  <si>
    <t xml:space="preserve">Flights / Train Burgas</t>
  </si>
  <si>
    <t xml:space="preserve">SustSol Zahlungen</t>
  </si>
  <si>
    <t xml:space="preserve">Spesen Bulgarien</t>
  </si>
  <si>
    <t xml:space="preserve">Ersparnis Miete Home</t>
  </si>
  <si>
    <t xml:space="preserve">Monthly costs 08-10</t>
  </si>
  <si>
    <t>Vorsteuer-Pauschale</t>
  </si>
  <si>
    <t xml:space="preserve">Korrektur Div. (Foodora)</t>
  </si>
  <si>
    <t xml:space="preserve">Motorola Edge 40 Neo</t>
  </si>
  <si>
    <t>SVS.Q4</t>
  </si>
  <si>
    <t>EKSt.VZ.Q4</t>
  </si>
  <si>
    <t xml:space="preserve">Rest SusDoXaaS (SFG)</t>
  </si>
  <si>
    <t xml:space="preserve">Nov. Rent + Rest Expenditures</t>
  </si>
  <si>
    <t xml:space="preserve">Minisforum UM790 Pro</t>
  </si>
  <si>
    <t xml:space="preserve">Lost flight Cathy…</t>
  </si>
  <si>
    <t xml:space="preserve">TFT 27” + mobile stands</t>
  </si>
  <si>
    <t xml:space="preserve">Reisekosten SEA</t>
  </si>
  <si>
    <t xml:space="preserve">Umsatz 2023</t>
  </si>
  <si>
    <t xml:space="preserve">Reisekosten SEA (est.)</t>
  </si>
  <si>
    <t xml:space="preserve">Indonesia Expenditures</t>
  </si>
  <si>
    <t>SusDoXaaS</t>
  </si>
  <si>
    <t xml:space="preserve">Indonesia accommod.</t>
  </si>
  <si>
    <t xml:space="preserve">Indonesia living</t>
  </si>
  <si>
    <t>Withdrawals</t>
  </si>
  <si>
    <t>Total</t>
  </si>
  <si>
    <t xml:space="preserve">Malaysia accomod.</t>
  </si>
  <si>
    <t xml:space="preserve">Visa Card direct</t>
  </si>
  <si>
    <t xml:space="preserve">Malaysia living</t>
  </si>
  <si>
    <t>Grab</t>
  </si>
  <si>
    <t>Singapore</t>
  </si>
  <si>
    <t xml:space="preserve">Driver to Amed/Bali</t>
  </si>
  <si>
    <t xml:space="preserve">Brutto / Netto 2023</t>
  </si>
  <si>
    <t>Flights</t>
  </si>
  <si>
    <t xml:space="preserve">Penalty Imigrasi</t>
  </si>
  <si>
    <t>Umsatz</t>
  </si>
  <si>
    <t>Summe</t>
  </si>
  <si>
    <t xml:space="preserve">Transfer Wise</t>
  </si>
  <si>
    <t>Ausgabenpauschh.</t>
  </si>
  <si>
    <t xml:space="preserve">Already Paid</t>
  </si>
  <si>
    <t>SVS</t>
  </si>
  <si>
    <t xml:space="preserve">(WKO Calc)</t>
  </si>
  <si>
    <t xml:space="preserve">Rest Total</t>
  </si>
  <si>
    <t>Sum</t>
  </si>
  <si>
    <t>Gewinn</t>
  </si>
  <si>
    <t>Steuer</t>
  </si>
  <si>
    <t xml:space="preserve">Reisekosten SEA PAID</t>
  </si>
  <si>
    <t xml:space="preserve">Malaysia Expenditures</t>
  </si>
  <si>
    <t>Netto</t>
  </si>
  <si>
    <t xml:space="preserve">Jakarta Airbnb</t>
  </si>
  <si>
    <t xml:space="preserve">Flug GRZ-JAK</t>
  </si>
  <si>
    <t xml:space="preserve">Bandung Papandayan</t>
  </si>
  <si>
    <t xml:space="preserve">Monatl. Kosten</t>
  </si>
  <si>
    <t xml:space="preserve">Yogya Gallery Prawi</t>
  </si>
  <si>
    <t>Langkawi</t>
  </si>
  <si>
    <t>Miete</t>
  </si>
  <si>
    <t xml:space="preserve">Malang Hotel Tugu</t>
  </si>
  <si>
    <t>Internet</t>
  </si>
  <si>
    <t xml:space="preserve">Banyuwangi Illira</t>
  </si>
  <si>
    <t>Phone</t>
  </si>
  <si>
    <t xml:space="preserve">KL Airbnb</t>
  </si>
  <si>
    <t>Lebensmittel</t>
  </si>
  <si>
    <t xml:space="preserve">Bali Meditasi (14d)</t>
  </si>
  <si>
    <t>sonst.</t>
  </si>
  <si>
    <t xml:space="preserve">Orchard Rendezvous</t>
  </si>
  <si>
    <t xml:space="preserve">Singapore Expenditures</t>
  </si>
  <si>
    <t xml:space="preserve">Brille Hartl.</t>
  </si>
  <si>
    <t xml:space="preserve">Flights DEN-&gt;KL/Jak</t>
  </si>
  <si>
    <t>Server</t>
  </si>
  <si>
    <t xml:space="preserve">Flight Jak→KL→Jak</t>
  </si>
  <si>
    <t xml:space="preserve">Services (MS, gh)</t>
  </si>
  <si>
    <t xml:space="preserve">Flight KL→SG→KL</t>
  </si>
  <si>
    <t>Cards</t>
  </si>
  <si>
    <t xml:space="preserve">Flug KL→VIE &amp;&amp; OEBB</t>
  </si>
  <si>
    <t xml:space="preserve">Indonesia Expenditures (2M)</t>
  </si>
  <si>
    <t xml:space="preserve">Malaysia Expenditures (4W)</t>
  </si>
  <si>
    <t xml:space="preserve">Singapore Expenditures (2D)</t>
  </si>
  <si>
    <t xml:space="preserve">Bulgarien 2023 (15.9-14.10)</t>
  </si>
  <si>
    <t xml:space="preserve">Abhebungen 18.9.</t>
  </si>
  <si>
    <t xml:space="preserve">Abhebungen 25.9.</t>
  </si>
  <si>
    <t xml:space="preserve">Abhebungen 27.9.</t>
  </si>
  <si>
    <t xml:space="preserve">Abhebungen 02.10.</t>
  </si>
  <si>
    <t xml:space="preserve">Trip V+I (cancel)</t>
  </si>
  <si>
    <t xml:space="preserve">Early flight home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</si>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</sst>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[$-C07]dd/mm/yy"/>
    <numFmt numFmtId="165" formatCode="[$€-C07]\ #,##0.00;[RED]\-[$€-C07]\ #,##0.00"/>
    <numFmt numFmtId="166" formatCode="[$-C07]d/m/yy"/>
    <numFmt numFmtId="167" formatCode="dd/mm/yy"/>
    <numFmt numFmtId="168" formatCode="[$$-409]#,##0.00;\-[$$-409]#,##0.00"/>
  </numFmts>
  <fonts count="23">
    <font>
      <sz val="10.000000"/>
      <color indexed="64"/>
      <name val="Arial"/>
    </font>
    <font>
      <sz val="10.000000"/>
      <name val="Arial"/>
    </font>
    <font>
      <sz val="11.000000"/>
      <color indexed="64"/>
      <name val="CaskaydiaCove Nerd Font Mono"/>
    </font>
    <font>
      <sz val="16.000000"/>
      <color indexed="64"/>
      <name val="CaskaydiaCove Nerd Font Mono"/>
    </font>
    <font>
      <i/>
      <sz val="11.000000"/>
      <color indexed="64"/>
      <name val="CaskaydiaCove Nerd Font Mono"/>
    </font>
    <font>
      <sz val="10.000000"/>
      <color indexed="64"/>
      <name val="CaskaydiaCove Nerd Font Mono"/>
    </font>
    <font>
      <b/>
      <i/>
      <sz val="11.000000"/>
      <color indexed="64"/>
      <name val="CaskaydiaCove Nerd Font Mono"/>
    </font>
    <font>
      <sz val="10.000000"/>
      <color indexed="64"/>
      <name val="Liberation Sans2"/>
    </font>
    <font>
      <sz val="11.000000"/>
      <color indexed="64"/>
      <name val="Liberation Sans1"/>
    </font>
    <font>
      <b/>
      <i/>
      <sz val="11.000000"/>
      <color indexed="64"/>
      <name val="CaskaydiaCove Nerd Font"/>
    </font>
    <font>
      <i/>
      <sz val="11.000000"/>
      <color indexed="64"/>
      <name val="CaskaydiaCove Nerd Font"/>
    </font>
    <font>
      <sz val="11.000000"/>
      <color indexed="64"/>
      <name val="CaskaydiaCove Nerd Font"/>
    </font>
    <font>
      <b/>
      <sz val="11.000000"/>
      <color indexed="64"/>
      <name val="CaskaydiaCove Nerd Font"/>
    </font>
    <font>
      <b/>
      <i/>
      <sz val="11.000000"/>
      <color rgb="FFEEEEEE"/>
      <name val="CaskaydiaCove Nerd Font"/>
    </font>
    <font>
      <i/>
      <sz val="8.000000"/>
      <color rgb="FFEEEEEE"/>
      <name val="CaskaydiaCove Nerd Font"/>
    </font>
    <font>
      <b/>
      <i/>
      <sz val="11.000000"/>
      <color indexed="64"/>
      <name val="Liberation Sans1"/>
    </font>
    <font>
      <sz val="8.000000"/>
      <color rgb="FFEEEEEE"/>
      <name val="CaskaydiaCove Nerd Font"/>
    </font>
    <font>
      <sz val="11.000000"/>
      <color rgb="FFEEEEEE"/>
      <name val="CaskaydiaCove Nerd Font"/>
    </font>
    <font>
      <b/>
      <sz val="11.000000"/>
      <color rgb="FFEEEEEE"/>
      <name val="CaskaydiaCove Nerd Font"/>
    </font>
    <font>
      <i/>
      <sz val="8.000000"/>
      <color indexed="64"/>
      <name val="CaskaydiaCove Nerd Font"/>
    </font>
    <font>
      <b/>
      <sz val="11.000000"/>
      <color indexed="64"/>
      <name val="Liberation Sans1"/>
    </font>
    <font>
      <sz val="8.000000"/>
      <color indexed="64"/>
      <name val="CaskaydiaCove Nerd Font"/>
    </font>
    <font>
      <i/>
      <sz val="11.000000"/>
      <color indexed="64"/>
      <name val="Liberation Sans1"/>
    </font>
  </fonts>
  <fills count="12">
    <fill>
      <patternFill patternType="none"/>
    </fill>
    <fill>
      <patternFill patternType="gray125"/>
    </fill>
    <fill>
      <patternFill patternType="solid">
        <fgColor rgb="FFD4EA6B"/>
        <bgColor rgb="FFE8F2A1"/>
      </patternFill>
    </fill>
    <fill>
      <patternFill patternType="solid">
        <fgColor rgb="FF729FCF"/>
        <bgColor indexed="55"/>
      </patternFill>
    </fill>
    <fill>
      <patternFill patternType="solid">
        <fgColor rgb="FFE8F2A1"/>
        <bgColor indexed="26"/>
      </patternFill>
    </fill>
    <fill>
      <patternFill patternType="solid">
        <fgColor rgb="FFFFA6A6"/>
        <bgColor indexed="47"/>
      </patternFill>
    </fill>
    <fill>
      <patternFill patternType="solid">
        <fgColor rgb="FFCCCCCC"/>
        <bgColor indexed="31"/>
      </patternFill>
    </fill>
    <fill>
      <patternFill patternType="solid">
        <fgColor rgb="FFAFD095"/>
        <bgColor rgb="FFCCCCCC"/>
      </patternFill>
    </fill>
    <fill>
      <patternFill patternType="solid">
        <fgColor rgb="FF2A6099"/>
        <bgColor indexed="54"/>
      </patternFill>
    </fill>
    <fill>
      <patternFill patternType="solid">
        <fgColor rgb="FFFF972F"/>
        <bgColor rgb="FFFF6D6D"/>
      </patternFill>
    </fill>
    <fill>
      <patternFill patternType="solid">
        <fgColor indexed="2"/>
        <bgColor indexed="60"/>
      </patternFill>
    </fill>
    <fill>
      <patternFill patternType="solid">
        <fgColor rgb="FFFF6D6D"/>
        <bgColor indexed="53"/>
      </patternFill>
    </fill>
  </fills>
  <borders count="19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hair">
        <color theme="1"/>
      </bottom>
      <diagonal style="none"/>
    </border>
    <border>
      <left style="none"/>
      <right style="none"/>
      <top style="thin">
        <color theme="1"/>
      </top>
      <bottom style="hair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hair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hair">
        <color theme="1"/>
      </left>
      <right style="none"/>
      <top style="hair">
        <color theme="1"/>
      </top>
      <bottom style="hair">
        <color theme="1"/>
      </bottom>
      <diagonal style="none"/>
    </border>
    <border>
      <left style="none"/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none"/>
      <top style="hair">
        <color theme="1"/>
      </top>
      <bottom style="none"/>
      <diagonal style="none"/>
    </border>
    <border>
      <left style="none"/>
      <right style="hair">
        <color theme="1"/>
      </right>
      <top style="hair">
        <color theme="1"/>
      </top>
      <bottom style="none"/>
      <diagonal style="none"/>
    </border>
    <border>
      <left style="hair">
        <color theme="1"/>
      </left>
      <right style="none"/>
      <top style="none"/>
      <bottom style="none"/>
      <diagonal style="none"/>
    </border>
    <border>
      <left style="none"/>
      <right style="hair">
        <color theme="1"/>
      </right>
      <top style="none"/>
      <bottom style="none"/>
      <diagonal style="none"/>
    </border>
    <border>
      <left style="hair">
        <color theme="1"/>
      </left>
      <right style="hair">
        <color theme="1"/>
      </right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none"/>
      <top style="none"/>
      <bottom style="hair">
        <color theme="1"/>
      </bottom>
      <diagonal style="none"/>
    </border>
    <border>
      <left style="none"/>
      <right style="hair">
        <color theme="1"/>
      </right>
      <top style="none"/>
      <bottom style="hair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05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0" borderId="0" numFmtId="164" xfId="0" applyNumberFormat="1" applyFont="1" applyProtection="0">
      <protection hidden="0" locked="1"/>
    </xf>
    <xf fontId="2" fillId="0" borderId="0" numFmtId="165" xfId="0" applyNumberFormat="1" applyFont="1" applyProtection="0">
      <protection hidden="0" locked="1"/>
    </xf>
    <xf fontId="3" fillId="0" borderId="0" numFmtId="164" xfId="0" applyNumberFormat="1" applyFont="1" applyAlignment="1" applyProtection="0">
      <alignment horizontal="left"/>
      <protection hidden="0" locked="1"/>
    </xf>
    <xf fontId="4" fillId="0" borderId="0" numFmtId="165" xfId="0" applyNumberFormat="1" applyFont="1" applyProtection="0">
      <protection hidden="0" locked="1"/>
    </xf>
    <xf fontId="4" fillId="0" borderId="1" numFmtId="164" xfId="0" applyNumberFormat="1" applyFont="1" applyBorder="1" applyAlignment="1" applyProtection="0">
      <alignment horizontal="center"/>
      <protection hidden="0" locked="1"/>
    </xf>
    <xf fontId="4" fillId="0" borderId="2" numFmtId="165" xfId="0" applyNumberFormat="1" applyFont="1" applyBorder="1" applyAlignment="1" applyProtection="0">
      <alignment horizontal="center"/>
      <protection hidden="0" locked="1"/>
    </xf>
    <xf fontId="4" fillId="0" borderId="3" numFmtId="0" xfId="0" applyFont="1" applyBorder="1" applyAlignment="1" applyProtection="0">
      <alignment horizontal="center"/>
      <protection hidden="0" locked="1"/>
    </xf>
    <xf fontId="5" fillId="0" borderId="0" numFmtId="0" xfId="0" applyFont="1" applyProtection="0">
      <protection hidden="0" locked="1"/>
    </xf>
    <xf fontId="2" fillId="2" borderId="4" numFmtId="164" xfId="0" applyNumberFormat="1" applyFont="1" applyFill="1" applyBorder="1" applyProtection="0">
      <protection hidden="0" locked="1"/>
    </xf>
    <xf fontId="2" fillId="2" borderId="0" numFmtId="165" xfId="0" applyNumberFormat="1" applyFont="1" applyFill="1" applyProtection="0">
      <protection hidden="0" locked="1"/>
    </xf>
    <xf fontId="2" fillId="2" borderId="5" numFmtId="0" xfId="0" applyFont="1" applyFill="1" applyBorder="1" applyProtection="0">
      <protection hidden="0" locked="1"/>
    </xf>
    <xf fontId="2" fillId="0" borderId="4" numFmtId="164" xfId="0" applyNumberFormat="1" applyFont="1" applyBorder="1" applyProtection="0">
      <protection hidden="0" locked="1"/>
    </xf>
    <xf fontId="2" fillId="0" borderId="5" numFmtId="0" xfId="0" applyFont="1" applyBorder="1" applyProtection="0">
      <protection hidden="0" locked="1"/>
    </xf>
    <xf fontId="6" fillId="0" borderId="0" numFmtId="0" xfId="0" applyFont="1" applyProtection="0">
      <protection hidden="0" locked="1"/>
    </xf>
    <xf fontId="2" fillId="2" borderId="5" numFmtId="166" xfId="0" applyNumberFormat="1" applyFont="1" applyFill="1" applyBorder="1" applyProtection="0">
      <protection hidden="0" locked="1"/>
    </xf>
    <xf fontId="2" fillId="0" borderId="0" numFmtId="166" xfId="0" applyNumberFormat="1" applyFont="1" applyProtection="0">
      <protection hidden="0" locked="1"/>
    </xf>
    <xf fontId="2" fillId="0" borderId="5" numFmtId="166" xfId="0" applyNumberFormat="1" applyFont="1" applyBorder="1" applyProtection="0">
      <protection hidden="0" locked="1"/>
    </xf>
    <xf fontId="2" fillId="0" borderId="4" numFmtId="164" xfId="0" applyNumberFormat="1" applyFont="1" applyBorder="1" applyAlignment="1" applyProtection="0">
      <alignment horizontal="right"/>
      <protection hidden="0" locked="1"/>
    </xf>
    <xf fontId="2" fillId="2" borderId="4" numFmtId="164" xfId="0" applyNumberFormat="1" applyFont="1" applyFill="1" applyBorder="1" applyAlignment="1" applyProtection="0">
      <alignment horizontal="right"/>
      <protection hidden="0" locked="1"/>
    </xf>
    <xf fontId="2" fillId="2" borderId="6" numFmtId="164" xfId="0" applyNumberFormat="1" applyFont="1" applyFill="1" applyBorder="1" applyProtection="0">
      <protection hidden="0" locked="1"/>
    </xf>
    <xf fontId="2" fillId="2" borderId="7" numFmtId="165" xfId="0" applyNumberFormat="1" applyFont="1" applyFill="1" applyBorder="1" applyProtection="0">
      <protection hidden="0" locked="1"/>
    </xf>
    <xf fontId="2" fillId="2" borderId="8" numFmtId="166" xfId="0" applyNumberFormat="1" applyFont="1" applyFill="1" applyBorder="1" applyProtection="0">
      <protection hidden="0" locked="1"/>
    </xf>
    <xf fontId="5" fillId="0" borderId="0" numFmtId="167" xfId="0" applyNumberFormat="1" applyFont="1" applyProtection="0">
      <protection hidden="0" locked="1"/>
    </xf>
    <xf fontId="7" fillId="0" borderId="0" numFmtId="0" xfId="0" applyFont="1" applyProtection="0">
      <protection hidden="0" locked="1"/>
    </xf>
    <xf fontId="8" fillId="0" borderId="0" numFmtId="165" xfId="0" applyNumberFormat="1" applyFont="1" applyProtection="0">
      <protection hidden="0" locked="1"/>
    </xf>
    <xf fontId="8" fillId="0" borderId="0" numFmtId="0" xfId="0" applyFont="1" applyProtection="0">
      <protection hidden="0" locked="1"/>
    </xf>
    <xf fontId="9" fillId="0" borderId="0" numFmtId="0" xfId="0" applyFont="1" applyProtection="0">
      <protection hidden="0" locked="1"/>
    </xf>
    <xf fontId="10" fillId="0" borderId="0" numFmtId="165" xfId="0" applyNumberFormat="1" applyFont="1" applyProtection="0">
      <protection hidden="0" locked="1"/>
    </xf>
    <xf fontId="11" fillId="0" borderId="0" numFmtId="0" xfId="0" applyFont="1" applyProtection="0">
      <protection hidden="0" locked="1"/>
    </xf>
    <xf fontId="11" fillId="0" borderId="0" numFmtId="165" xfId="0" applyNumberFormat="1" applyFont="1" applyProtection="0">
      <protection hidden="0" locked="1"/>
    </xf>
    <xf fontId="9" fillId="3" borderId="9" numFmtId="0" xfId="0" applyFont="1" applyFill="1" applyBorder="1" applyProtection="0">
      <protection hidden="0" locked="1"/>
    </xf>
    <xf fontId="10" fillId="3" borderId="10" numFmtId="165" xfId="0" applyNumberFormat="1" applyFont="1" applyFill="1" applyBorder="1" applyProtection="0">
      <protection hidden="0" locked="1"/>
    </xf>
    <xf fontId="9" fillId="4" borderId="9" numFmtId="166" xfId="0" applyNumberFormat="1" applyFont="1" applyFill="1" applyBorder="1" applyProtection="0">
      <protection hidden="0" locked="1"/>
    </xf>
    <xf fontId="11" fillId="4" borderId="10" numFmtId="165" xfId="0" applyNumberFormat="1" applyFont="1" applyFill="1" applyBorder="1" applyProtection="0">
      <protection hidden="0" locked="1"/>
    </xf>
    <xf fontId="9" fillId="5" borderId="11" numFmtId="0" xfId="0" applyFont="1" applyFill="1" applyBorder="1" applyProtection="0">
      <protection hidden="0" locked="1"/>
    </xf>
    <xf fontId="11" fillId="5" borderId="12" numFmtId="165" xfId="0" applyNumberFormat="1" applyFont="1" applyFill="1" applyBorder="1" applyProtection="0">
      <protection hidden="0" locked="1"/>
    </xf>
    <xf fontId="11" fillId="3" borderId="13" numFmtId="0" xfId="0" applyFont="1" applyFill="1" applyBorder="1" applyProtection="0">
      <protection hidden="0" locked="1"/>
    </xf>
    <xf fontId="11" fillId="3" borderId="14" numFmtId="165" xfId="0" applyNumberFormat="1" applyFont="1" applyFill="1" applyBorder="1" applyProtection="0">
      <protection hidden="0" locked="1"/>
    </xf>
    <xf fontId="11" fillId="4" borderId="13" numFmtId="166" xfId="0" applyNumberFormat="1" applyFont="1" applyFill="1" applyBorder="1" applyProtection="0">
      <protection hidden="0" locked="1"/>
    </xf>
    <xf fontId="11" fillId="4" borderId="15" numFmtId="165" xfId="0" applyNumberFormat="1" applyFont="1" applyFill="1" applyBorder="1" applyProtection="0">
      <protection hidden="0" locked="1"/>
    </xf>
    <xf fontId="11" fillId="5" borderId="13" numFmtId="0" xfId="0" applyFont="1" applyFill="1" applyBorder="1" applyProtection="0">
      <protection hidden="0" locked="1"/>
    </xf>
    <xf fontId="11" fillId="5" borderId="14" numFmtId="165" xfId="0" applyNumberFormat="1" applyFont="1" applyFill="1" applyBorder="1" applyProtection="0">
      <protection hidden="0" locked="1"/>
    </xf>
    <xf fontId="10" fillId="0" borderId="0" numFmtId="0" xfId="0" applyFont="1" applyProtection="0">
      <protection hidden="0" locked="1"/>
    </xf>
    <xf fontId="11" fillId="5" borderId="13" numFmtId="165" xfId="0" applyNumberFormat="1" applyFont="1" applyFill="1" applyBorder="1" applyProtection="0">
      <protection hidden="0" locked="1"/>
    </xf>
    <xf fontId="12" fillId="3" borderId="9" numFmtId="0" xfId="0" applyFont="1" applyFill="1" applyBorder="1" applyProtection="0">
      <protection hidden="0" locked="1"/>
    </xf>
    <xf fontId="12" fillId="3" borderId="10" numFmtId="165" xfId="0" applyNumberFormat="1" applyFont="1" applyFill="1" applyBorder="1" applyProtection="0">
      <protection hidden="0" locked="1"/>
    </xf>
    <xf fontId="9" fillId="6" borderId="9" numFmtId="165" xfId="0" applyNumberFormat="1" applyFont="1" applyFill="1" applyBorder="1" applyProtection="0">
      <protection hidden="0" locked="1"/>
    </xf>
    <xf fontId="10" fillId="6" borderId="10" numFmtId="165" xfId="0" applyNumberFormat="1" applyFont="1" applyFill="1" applyBorder="1" applyProtection="0">
      <protection hidden="0" locked="1"/>
    </xf>
    <xf fontId="11" fillId="6" borderId="13" numFmtId="0" xfId="0" applyFont="1" applyFill="1" applyBorder="1" applyProtection="0">
      <protection hidden="0" locked="1"/>
    </xf>
    <xf fontId="11" fillId="6" borderId="14" numFmtId="165" xfId="0" applyNumberFormat="1" applyFont="1" applyFill="1" applyBorder="1" applyProtection="0">
      <protection hidden="0" locked="1"/>
    </xf>
    <xf fontId="12" fillId="4" borderId="9" numFmtId="166" xfId="0" applyNumberFormat="1" applyFont="1" applyFill="1" applyBorder="1" applyProtection="0">
      <protection hidden="0" locked="1"/>
    </xf>
    <xf fontId="11" fillId="4" borderId="16" numFmtId="165" xfId="0" applyNumberFormat="1" applyFont="1" applyFill="1" applyBorder="1" applyProtection="0">
      <protection hidden="0" locked="1"/>
    </xf>
    <xf fontId="10" fillId="4" borderId="13" numFmtId="0" xfId="0" applyFont="1" applyFill="1" applyBorder="1" applyProtection="0">
      <protection hidden="0" locked="1"/>
    </xf>
    <xf fontId="10" fillId="4" borderId="15" numFmtId="165" xfId="0" applyNumberFormat="1" applyFont="1" applyFill="1" applyBorder="1" applyProtection="0">
      <protection hidden="0" locked="1"/>
    </xf>
    <xf fontId="12" fillId="6" borderId="14" numFmtId="165" xfId="0" applyNumberFormat="1" applyFont="1" applyFill="1" applyBorder="1" applyProtection="0">
      <protection hidden="0" locked="1"/>
    </xf>
    <xf fontId="12" fillId="4" borderId="9" numFmtId="0" xfId="0" applyFont="1" applyFill="1" applyBorder="1" applyProtection="0">
      <protection hidden="0" locked="1"/>
    </xf>
    <xf fontId="12" fillId="4" borderId="16" numFmtId="165" xfId="0" applyNumberFormat="1" applyFont="1" applyFill="1" applyBorder="1" applyProtection="0">
      <protection hidden="0" locked="1"/>
    </xf>
    <xf fontId="12" fillId="5" borderId="17" numFmtId="165" xfId="0" applyNumberFormat="1" applyFont="1" applyFill="1" applyBorder="1" applyProtection="0">
      <protection hidden="0" locked="1"/>
    </xf>
    <xf fontId="12" fillId="5" borderId="18" numFmtId="165" xfId="0" applyNumberFormat="1" applyFont="1" applyFill="1" applyBorder="1" applyProtection="0">
      <protection hidden="0" locked="1"/>
    </xf>
    <xf fontId="9" fillId="7" borderId="9" numFmtId="166" xfId="0" applyNumberFormat="1" applyFont="1" applyFill="1" applyBorder="1" applyProtection="0">
      <protection hidden="0" locked="1"/>
    </xf>
    <xf fontId="11" fillId="7" borderId="10" numFmtId="165" xfId="0" applyNumberFormat="1" applyFont="1" applyFill="1" applyBorder="1" applyProtection="0">
      <protection hidden="0" locked="1"/>
    </xf>
    <xf fontId="11" fillId="0" borderId="0" numFmtId="168" xfId="0" applyNumberFormat="1" applyFont="1" applyProtection="0">
      <protection hidden="0" locked="1"/>
    </xf>
    <xf fontId="13" fillId="8" borderId="11" numFmtId="165" xfId="0" applyNumberFormat="1" applyFont="1" applyFill="1" applyBorder="1" applyAlignment="1" applyProtection="0">
      <alignment horizontal="left"/>
      <protection hidden="0" locked="1"/>
    </xf>
    <xf fontId="14" fillId="8" borderId="12" numFmtId="0" xfId="0" applyFont="1" applyFill="1" applyBorder="1" applyAlignment="1" applyProtection="0">
      <alignment horizontal="right"/>
      <protection hidden="0" locked="1"/>
    </xf>
    <xf fontId="15" fillId="0" borderId="0" numFmtId="0" xfId="0" applyFont="1" applyProtection="0">
      <protection hidden="0" locked="1"/>
    </xf>
    <xf fontId="12" fillId="6" borderId="9" numFmtId="0" xfId="0" applyFont="1" applyFill="1" applyBorder="1" applyProtection="0">
      <protection hidden="0" locked="1"/>
    </xf>
    <xf fontId="12" fillId="6" borderId="10" numFmtId="165" xfId="0" applyNumberFormat="1" applyFont="1" applyFill="1" applyBorder="1" applyProtection="0">
      <protection hidden="0" locked="1"/>
    </xf>
    <xf fontId="11" fillId="7" borderId="13" numFmtId="166" xfId="0" applyNumberFormat="1" applyFont="1" applyFill="1" applyBorder="1" applyProtection="0">
      <protection hidden="0" locked="1"/>
    </xf>
    <xf fontId="11" fillId="7" borderId="15" numFmtId="165" xfId="0" applyNumberFormat="1" applyFont="1" applyFill="1" applyBorder="1" applyProtection="0">
      <protection hidden="0" locked="1"/>
    </xf>
    <xf fontId="13" fillId="8" borderId="13" numFmtId="165" xfId="0" applyNumberFormat="1" applyFont="1" applyFill="1" applyBorder="1" applyAlignment="1" applyProtection="0">
      <alignment horizontal="left"/>
      <protection hidden="0" locked="1"/>
    </xf>
    <xf fontId="16" fillId="8" borderId="14" numFmtId="165" xfId="0" applyNumberFormat="1" applyFont="1" applyFill="1" applyBorder="1" applyProtection="0">
      <protection hidden="0" locked="1"/>
    </xf>
    <xf fontId="17" fillId="8" borderId="13" numFmtId="0" xfId="0" applyFont="1" applyFill="1" applyBorder="1" applyProtection="0">
      <protection hidden="0" locked="1"/>
    </xf>
    <xf fontId="17" fillId="8" borderId="14" numFmtId="165" xfId="0" applyNumberFormat="1" applyFont="1" applyFill="1" applyBorder="1" applyProtection="0">
      <protection hidden="0" locked="1"/>
    </xf>
    <xf fontId="9" fillId="9" borderId="9" numFmtId="166" xfId="0" applyNumberFormat="1" applyFont="1" applyFill="1" applyBorder="1" applyProtection="0">
      <protection hidden="0" locked="1"/>
    </xf>
    <xf fontId="11" fillId="9" borderId="10" numFmtId="165" xfId="0" applyNumberFormat="1" applyFont="1" applyFill="1" applyBorder="1" applyProtection="0">
      <protection hidden="0" locked="1"/>
    </xf>
    <xf fontId="11" fillId="9" borderId="13" numFmtId="166" xfId="0" applyNumberFormat="1" applyFont="1" applyFill="1" applyBorder="1" applyProtection="0">
      <protection hidden="0" locked="1"/>
    </xf>
    <xf fontId="11" fillId="9" borderId="14" numFmtId="165" xfId="0" applyNumberFormat="1" applyFont="1" applyFill="1" applyBorder="1" applyProtection="0">
      <protection hidden="0" locked="1"/>
    </xf>
    <xf fontId="17" fillId="8" borderId="0" numFmtId="0" xfId="0" applyFont="1" applyFill="1" applyProtection="0">
      <protection hidden="0" locked="1"/>
    </xf>
    <xf fontId="18" fillId="8" borderId="17" numFmtId="0" xfId="0" applyFont="1" applyFill="1" applyBorder="1" applyProtection="0">
      <protection hidden="0" locked="1"/>
    </xf>
    <xf fontId="18" fillId="8" borderId="18" numFmtId="165" xfId="0" applyNumberFormat="1" applyFont="1" applyFill="1" applyBorder="1" applyProtection="0">
      <protection hidden="0" locked="1"/>
    </xf>
    <xf fontId="9" fillId="10" borderId="11" numFmtId="165" xfId="0" applyNumberFormat="1" applyFont="1" applyFill="1" applyBorder="1" applyAlignment="1" applyProtection="0">
      <alignment horizontal="left"/>
      <protection hidden="0" locked="1"/>
    </xf>
    <xf fontId="19" fillId="10" borderId="12" numFmtId="0" xfId="0" applyFont="1" applyFill="1" applyBorder="1" applyAlignment="1" applyProtection="0">
      <alignment horizontal="right"/>
      <protection hidden="0" locked="1"/>
    </xf>
    <xf fontId="20" fillId="0" borderId="0" numFmtId="0" xfId="0" applyFont="1" applyProtection="0">
      <protection hidden="0" locked="1"/>
    </xf>
    <xf fontId="9" fillId="10" borderId="13" numFmtId="165" xfId="0" applyNumberFormat="1" applyFont="1" applyFill="1" applyBorder="1" applyAlignment="1" applyProtection="0">
      <alignment horizontal="left"/>
      <protection hidden="0" locked="1"/>
    </xf>
    <xf fontId="21" fillId="10" borderId="14" numFmtId="165" xfId="0" applyNumberFormat="1" applyFont="1" applyFill="1" applyBorder="1" applyProtection="0">
      <protection hidden="0" locked="1"/>
    </xf>
    <xf fontId="10" fillId="0" borderId="0" numFmtId="0" xfId="0" applyFont="1" applyAlignment="1" applyProtection="0">
      <alignment horizontal="right"/>
      <protection hidden="0" locked="1"/>
    </xf>
    <xf fontId="11" fillId="10" borderId="13" numFmtId="0" xfId="0" applyFont="1" applyFill="1" applyBorder="1" applyProtection="0">
      <protection hidden="0" locked="1"/>
    </xf>
    <xf fontId="11" fillId="10" borderId="14" numFmtId="165" xfId="0" applyNumberFormat="1" applyFont="1" applyFill="1" applyBorder="1" applyProtection="0">
      <protection hidden="0" locked="1"/>
    </xf>
    <xf fontId="22" fillId="0" borderId="0" numFmtId="0" xfId="0" applyFont="1" applyProtection="0">
      <protection hidden="0" locked="1"/>
    </xf>
    <xf fontId="12" fillId="9" borderId="9" numFmtId="166" xfId="0" applyNumberFormat="1" applyFont="1" applyFill="1" applyBorder="1" applyProtection="0">
      <protection hidden="0" locked="1"/>
    </xf>
    <xf fontId="12" fillId="9" borderId="10" numFmtId="165" xfId="0" applyNumberFormat="1" applyFont="1" applyFill="1" applyBorder="1" applyProtection="0">
      <protection hidden="0" locked="1"/>
    </xf>
    <xf fontId="12" fillId="10" borderId="17" numFmtId="0" xfId="0" applyFont="1" applyFill="1" applyBorder="1" applyProtection="0">
      <protection hidden="0" locked="1"/>
    </xf>
    <xf fontId="12" fillId="10" borderId="18" numFmtId="165" xfId="0" applyNumberFormat="1" applyFont="1" applyFill="1" applyBorder="1" applyProtection="0">
      <protection hidden="0" locked="1"/>
    </xf>
    <xf fontId="12" fillId="7" borderId="9" numFmtId="166" xfId="0" applyNumberFormat="1" applyFont="1" applyFill="1" applyBorder="1" applyProtection="0">
      <protection hidden="0" locked="1"/>
    </xf>
    <xf fontId="12" fillId="7" borderId="16" numFmtId="165" xfId="0" applyNumberFormat="1" applyFont="1" applyFill="1" applyBorder="1" applyProtection="0">
      <protection hidden="0" locked="1"/>
    </xf>
    <xf fontId="8" fillId="0" borderId="0" numFmtId="0" xfId="0" applyFont="1" applyAlignment="1" applyProtection="0">
      <alignment wrapText="1"/>
      <protection hidden="0" locked="1"/>
    </xf>
    <xf fontId="0" fillId="0" borderId="0" numFmtId="0" xfId="0" applyProtection="0">
      <protection hidden="0" locked="1"/>
    </xf>
    <xf fontId="9" fillId="11" borderId="9" numFmtId="0" xfId="0" applyFont="1" applyFill="1" applyBorder="1" applyProtection="0">
      <protection hidden="0" locked="1"/>
    </xf>
    <xf fontId="10" fillId="11" borderId="10" numFmtId="165" xfId="0" applyNumberFormat="1" applyFont="1" applyFill="1" applyBorder="1" applyProtection="0">
      <protection hidden="0" locked="1"/>
    </xf>
    <xf fontId="11" fillId="11" borderId="13" numFmtId="0" xfId="0" applyFont="1" applyFill="1" applyBorder="1" applyProtection="0">
      <protection hidden="0" locked="1"/>
    </xf>
    <xf fontId="11" fillId="11" borderId="15" numFmtId="165" xfId="0" applyNumberFormat="1" applyFont="1" applyFill="1" applyBorder="1" applyProtection="0">
      <protection hidden="0" locked="1"/>
    </xf>
    <xf fontId="12" fillId="11" borderId="9" numFmtId="0" xfId="0" applyFont="1" applyFill="1" applyBorder="1" applyProtection="0">
      <protection hidden="0" locked="1"/>
    </xf>
    <xf fontId="12" fillId="11" borderId="10" numFmtId="165" xfId="0" applyNumberFormat="1" applyFont="1" applyFill="1" applyBorder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H10" activeCellId="0" sqref="H10"/>
    </sheetView>
  </sheetViews>
  <sheetFormatPr defaultColWidth="8.65234375" defaultRowHeight="12.75"/>
  <cols>
    <col customWidth="1" min="1" max="1" style="1" width="3.3799999999999999"/>
    <col customWidth="1" min="2" max="2" style="2" width="11.140625"/>
    <col customWidth="1" min="3" max="4" style="3" width="14.300000000000001"/>
    <col customWidth="1" min="5" max="5" style="3" width="15.49"/>
    <col customWidth="1" min="6" max="6" style="1" width="35.689999999999998"/>
    <col customWidth="1" min="7" max="7" style="1" width="2.8399999999999999"/>
    <col customWidth="1" min="8" max="8" style="1" width="21.760000000000002"/>
    <col customWidth="1" min="9" max="9" style="3" width="14.73"/>
    <col customWidth="1" min="10" max="10" style="3" width="11.49"/>
    <col customWidth="1" min="11" max="11" style="1" width="2.8399999999999999"/>
    <col customWidth="1" min="12" max="12" style="1" width="21.350000000000001"/>
    <col customWidth="1" min="13" max="1023" style="1" width="11.49"/>
    <col customWidth="0" min="1024" max="16384" style="1" width="8.6500000000000004"/>
  </cols>
  <sheetData>
    <row r="1" ht="20.25">
      <c r="B1" s="4" t="s">
        <v>0</v>
      </c>
      <c r="C1" s="4"/>
      <c r="D1" s="4"/>
      <c r="E1" s="4"/>
      <c r="I1" s="5"/>
    </row>
    <row r="3" s="1" customFormat="1" ht="15"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H3" s="9"/>
      <c r="I3" s="9"/>
      <c r="L3" s="9"/>
      <c r="M3" s="9"/>
    </row>
    <row r="4" s="1" customFormat="1" ht="15">
      <c r="B4" s="10">
        <v>45004</v>
      </c>
      <c r="C4" s="11">
        <f>15727.99+19.62-828.19</f>
        <v>14919.42</v>
      </c>
      <c r="D4" s="11"/>
      <c r="E4" s="11"/>
      <c r="F4" s="12"/>
      <c r="H4" s="9"/>
      <c r="I4" s="9"/>
      <c r="L4" s="9"/>
      <c r="M4" s="9"/>
    </row>
    <row r="5" ht="15">
      <c r="B5" s="13">
        <v>45004</v>
      </c>
      <c r="E5" s="3">
        <v>-969</v>
      </c>
      <c r="F5" s="14" t="s">
        <v>6</v>
      </c>
      <c r="H5" s="9"/>
      <c r="I5" s="9"/>
      <c r="J5" s="1"/>
      <c r="L5" s="9"/>
      <c r="M5" s="9"/>
    </row>
    <row r="6" ht="15">
      <c r="B6" s="13">
        <v>45005</v>
      </c>
      <c r="D6" s="3">
        <v>1275</v>
      </c>
      <c r="F6" s="14" t="s">
        <v>7</v>
      </c>
      <c r="H6" s="9"/>
      <c r="I6" s="9"/>
      <c r="J6" s="1"/>
      <c r="L6" s="9"/>
      <c r="M6" s="9"/>
    </row>
    <row r="7" ht="15">
      <c r="B7" s="13">
        <v>45006</v>
      </c>
      <c r="D7" s="3">
        <v>130.66999999999999</v>
      </c>
      <c r="F7" s="14" t="s">
        <v>8</v>
      </c>
      <c r="H7" s="9"/>
      <c r="I7" s="9"/>
      <c r="J7" s="1"/>
      <c r="L7" s="9"/>
      <c r="M7" s="9"/>
    </row>
    <row r="8" ht="15">
      <c r="B8" s="13">
        <v>45007</v>
      </c>
      <c r="D8" s="3">
        <v>8000</v>
      </c>
      <c r="F8" s="14" t="s">
        <v>9</v>
      </c>
      <c r="H8" s="9"/>
      <c r="I8" s="9"/>
      <c r="L8" s="15"/>
      <c r="M8" s="5"/>
    </row>
    <row r="9" ht="15">
      <c r="B9" s="13">
        <v>45007</v>
      </c>
      <c r="D9" s="3">
        <v>1549</v>
      </c>
      <c r="F9" s="14" t="s">
        <v>10</v>
      </c>
      <c r="H9" s="9"/>
      <c r="I9" s="9"/>
      <c r="M9" s="3"/>
    </row>
    <row r="10" ht="15">
      <c r="B10" s="13">
        <v>45015</v>
      </c>
      <c r="E10" s="3">
        <v>-200</v>
      </c>
      <c r="F10" s="14" t="s">
        <v>11</v>
      </c>
      <c r="H10" s="9"/>
      <c r="I10" s="9"/>
    </row>
    <row r="11" ht="15">
      <c r="B11" s="13">
        <v>45017</v>
      </c>
      <c r="E11" s="3">
        <f>-(11400+4000)*0.2</f>
        <v>-3080</v>
      </c>
      <c r="F11" s="14" t="s">
        <v>12</v>
      </c>
      <c r="H11" s="9"/>
      <c r="I11" s="9"/>
    </row>
    <row r="12" ht="15">
      <c r="B12" s="10">
        <v>45017</v>
      </c>
      <c r="C12" s="11">
        <f>C4+SUM(D6:D10)+SUM(E5:E11)</f>
        <v>21625.09</v>
      </c>
      <c r="D12" s="11"/>
      <c r="E12" s="11"/>
      <c r="F12" s="16"/>
      <c r="G12" s="17"/>
      <c r="H12" s="9"/>
      <c r="I12" s="9"/>
      <c r="J12" s="9"/>
    </row>
    <row r="13" ht="15">
      <c r="B13" s="13">
        <v>45046</v>
      </c>
      <c r="E13" s="3">
        <v>-1030</v>
      </c>
      <c r="F13" s="18" t="s">
        <v>13</v>
      </c>
      <c r="G13" s="17"/>
      <c r="H13" s="9"/>
      <c r="I13" s="9"/>
      <c r="J13" s="9"/>
    </row>
    <row r="14" ht="15">
      <c r="B14" s="19">
        <v>45047</v>
      </c>
      <c r="E14" s="3">
        <v>-300</v>
      </c>
      <c r="F14" s="18" t="s">
        <v>14</v>
      </c>
      <c r="G14" s="17"/>
      <c r="H14" s="9"/>
      <c r="I14" s="9"/>
      <c r="J14" s="9"/>
    </row>
    <row r="15" ht="15">
      <c r="B15" s="19">
        <v>45051</v>
      </c>
      <c r="E15" s="3">
        <v>-726.79999999999995</v>
      </c>
      <c r="F15" s="18" t="s">
        <v>15</v>
      </c>
      <c r="G15" s="17"/>
      <c r="H15" s="9"/>
      <c r="I15" s="9"/>
      <c r="J15" s="9"/>
    </row>
    <row r="16" ht="15">
      <c r="B16" s="19">
        <v>45108</v>
      </c>
      <c r="E16" s="3">
        <v>-300</v>
      </c>
      <c r="F16" s="18" t="s">
        <v>16</v>
      </c>
      <c r="G16" s="17"/>
      <c r="H16" s="9"/>
      <c r="I16" s="9"/>
      <c r="J16" s="9"/>
    </row>
    <row r="17" ht="15">
      <c r="B17" s="19">
        <v>45126</v>
      </c>
      <c r="D17" s="3">
        <v>8200</v>
      </c>
      <c r="F17" s="18" t="s">
        <v>17</v>
      </c>
      <c r="G17" s="17"/>
      <c r="H17" s="9"/>
      <c r="I17" s="9"/>
    </row>
    <row r="18" ht="15">
      <c r="B18" s="19">
        <v>45127</v>
      </c>
      <c r="E18" s="3">
        <v>-714</v>
      </c>
      <c r="F18" s="18" t="s">
        <v>18</v>
      </c>
      <c r="G18" s="17"/>
      <c r="H18" s="9"/>
      <c r="I18" s="9"/>
    </row>
    <row r="19" ht="15">
      <c r="B19" s="19">
        <v>45136</v>
      </c>
      <c r="E19" s="3">
        <v>-436.07999999999998</v>
      </c>
      <c r="F19" s="18" t="s">
        <v>19</v>
      </c>
      <c r="G19" s="17"/>
      <c r="H19" s="9"/>
      <c r="I19" s="9"/>
    </row>
    <row r="20" ht="15">
      <c r="B20" s="19">
        <v>45139</v>
      </c>
      <c r="E20" s="3">
        <v>-400</v>
      </c>
      <c r="F20" s="18" t="s">
        <v>20</v>
      </c>
      <c r="G20" s="17"/>
      <c r="H20" s="9"/>
      <c r="I20" s="9"/>
    </row>
    <row r="21" ht="15">
      <c r="B21" s="19">
        <v>45139</v>
      </c>
      <c r="E21" s="3">
        <f>-4900</f>
        <v>-4900</v>
      </c>
      <c r="F21" s="18" t="s">
        <v>21</v>
      </c>
      <c r="G21" s="17"/>
      <c r="H21" s="9"/>
      <c r="I21" s="9"/>
    </row>
    <row r="22" ht="15">
      <c r="B22" s="19">
        <v>45139</v>
      </c>
      <c r="E22" s="3">
        <v>-2700</v>
      </c>
      <c r="F22" s="18" t="s">
        <v>22</v>
      </c>
      <c r="G22" s="17"/>
      <c r="H22" s="9"/>
      <c r="I22" s="9"/>
    </row>
    <row r="23" ht="15">
      <c r="B23" s="20">
        <v>45139</v>
      </c>
      <c r="C23" s="11">
        <f>C12+SUM(D13:E22)</f>
        <v>18318.209999999999</v>
      </c>
      <c r="D23" s="11"/>
      <c r="E23" s="11"/>
      <c r="F23" s="16"/>
      <c r="G23" s="17"/>
      <c r="H23" s="9"/>
      <c r="I23" s="9"/>
    </row>
    <row r="24" ht="15">
      <c r="B24" s="19">
        <v>45139</v>
      </c>
      <c r="E24" s="3">
        <f>-1947-117</f>
        <v>-2064</v>
      </c>
      <c r="F24" s="18" t="s">
        <v>23</v>
      </c>
      <c r="G24" s="17"/>
      <c r="H24" s="9"/>
      <c r="I24" s="9"/>
    </row>
    <row r="25" ht="15">
      <c r="B25" s="19">
        <v>45153</v>
      </c>
      <c r="E25" s="3">
        <v>-1000</v>
      </c>
      <c r="F25" s="18" t="s">
        <v>24</v>
      </c>
      <c r="G25" s="17"/>
      <c r="H25" s="9"/>
      <c r="I25" s="9"/>
    </row>
    <row r="26" ht="15">
      <c r="B26" s="19">
        <v>45159</v>
      </c>
      <c r="D26" s="3">
        <v>410</v>
      </c>
      <c r="F26" s="18" t="s">
        <v>25</v>
      </c>
      <c r="G26" s="17"/>
      <c r="H26" s="9"/>
      <c r="I26" s="9"/>
    </row>
    <row r="27" ht="15">
      <c r="B27" s="19">
        <v>45170</v>
      </c>
      <c r="D27" s="3">
        <v>350</v>
      </c>
      <c r="F27" s="18" t="s">
        <v>26</v>
      </c>
      <c r="G27" s="17"/>
      <c r="H27" s="9"/>
      <c r="I27" s="9"/>
    </row>
    <row r="28" ht="15">
      <c r="B28" s="19">
        <v>45172</v>
      </c>
      <c r="D28" s="3">
        <v>650</v>
      </c>
      <c r="F28" s="18" t="s">
        <v>27</v>
      </c>
      <c r="G28" s="17"/>
      <c r="H28" s="9"/>
      <c r="I28" s="9"/>
    </row>
    <row r="29" ht="15">
      <c r="B29" s="19">
        <v>45180</v>
      </c>
      <c r="D29" s="3">
        <v>150</v>
      </c>
      <c r="F29" s="18" t="s">
        <v>28</v>
      </c>
      <c r="G29" s="17"/>
      <c r="H29" s="9"/>
      <c r="I29" s="9"/>
    </row>
    <row r="30" ht="15">
      <c r="B30" s="19">
        <v>45185</v>
      </c>
      <c r="E30" s="3">
        <v>-1051.8800000000001</v>
      </c>
      <c r="F30" s="18" t="s">
        <v>29</v>
      </c>
      <c r="G30" s="17"/>
      <c r="H30" s="9"/>
      <c r="I30" s="9"/>
    </row>
    <row r="31" ht="15">
      <c r="B31" s="19">
        <v>45185</v>
      </c>
      <c r="E31" s="3">
        <f>-68-64-12.9-14.9</f>
        <v>-159.80000000000001</v>
      </c>
      <c r="F31" s="18" t="s">
        <v>30</v>
      </c>
      <c r="G31" s="17"/>
      <c r="H31" s="9"/>
      <c r="I31" s="9"/>
    </row>
    <row r="32" ht="15">
      <c r="B32" s="19">
        <v>45185</v>
      </c>
      <c r="D32" s="3">
        <v>7500</v>
      </c>
      <c r="F32" s="18" t="s">
        <v>31</v>
      </c>
      <c r="G32" s="17"/>
      <c r="H32" s="9"/>
      <c r="I32" s="9"/>
    </row>
    <row r="33" ht="15">
      <c r="B33" s="19">
        <v>45209</v>
      </c>
      <c r="E33" s="3">
        <f>-1385.15</f>
        <v>-1385.1500000000001</v>
      </c>
      <c r="F33" s="18" t="s">
        <v>32</v>
      </c>
      <c r="G33" s="17"/>
      <c r="H33" s="9"/>
      <c r="I33" s="9"/>
    </row>
    <row r="34" ht="15">
      <c r="B34" s="19">
        <v>45209</v>
      </c>
      <c r="D34" s="3">
        <f>2*595-(595/2+100+200)</f>
        <v>592.5</v>
      </c>
      <c r="F34" s="18" t="s">
        <v>33</v>
      </c>
      <c r="G34" s="17"/>
      <c r="H34" s="9"/>
      <c r="I34" s="9"/>
    </row>
    <row r="35" ht="15">
      <c r="B35" s="19">
        <v>45230</v>
      </c>
      <c r="E35" s="3">
        <f>-3*CostBlocks!$C$28</f>
        <v>-3368.8499999999999</v>
      </c>
      <c r="F35" s="18" t="s">
        <v>34</v>
      </c>
      <c r="G35" s="17"/>
      <c r="H35" s="9"/>
      <c r="I35" s="9"/>
    </row>
    <row r="36" ht="15">
      <c r="B36" s="19">
        <v>45230</v>
      </c>
      <c r="D36" s="3">
        <f>CostBlocks!$C$5*0.018*35100/49600</f>
        <v>631.79999999999995</v>
      </c>
      <c r="F36" s="18" t="s">
        <v>35</v>
      </c>
      <c r="G36" s="17"/>
      <c r="H36" s="9"/>
      <c r="I36" s="9"/>
    </row>
    <row r="37" s="9" customFormat="1" ht="15">
      <c r="B37" s="19">
        <v>45235</v>
      </c>
      <c r="E37" s="3">
        <v>-1500</v>
      </c>
      <c r="F37" s="18" t="s">
        <v>36</v>
      </c>
    </row>
    <row r="38" s="9" customFormat="1" ht="15">
      <c r="B38" s="19">
        <v>45236</v>
      </c>
      <c r="E38" s="3">
        <v>-292</v>
      </c>
      <c r="F38" s="18" t="s">
        <v>37</v>
      </c>
    </row>
    <row r="39" ht="15">
      <c r="B39" s="19">
        <v>45236</v>
      </c>
      <c r="D39" s="3">
        <v>350</v>
      </c>
      <c r="F39" s="18" t="s">
        <v>26</v>
      </c>
      <c r="G39" s="17"/>
      <c r="H39" s="9"/>
      <c r="I39" s="9"/>
    </row>
    <row r="40" ht="15">
      <c r="B40" s="20">
        <v>45236</v>
      </c>
      <c r="C40" s="11">
        <f>C23+SUM(C24:E39)</f>
        <v>18130.830000000002</v>
      </c>
      <c r="D40" s="11"/>
      <c r="E40" s="11"/>
      <c r="F40" s="16"/>
      <c r="G40" s="17"/>
      <c r="H40" s="9"/>
      <c r="I40" s="9"/>
    </row>
    <row r="41" ht="15">
      <c r="B41" s="13">
        <v>45245</v>
      </c>
      <c r="E41" s="3">
        <v>-436.07999999999998</v>
      </c>
      <c r="F41" s="18" t="s">
        <v>38</v>
      </c>
      <c r="G41" s="17"/>
      <c r="H41" s="9"/>
      <c r="I41" s="9"/>
    </row>
    <row r="42" ht="15">
      <c r="B42" s="13">
        <v>45245</v>
      </c>
      <c r="E42" s="3">
        <v>-715</v>
      </c>
      <c r="F42" s="18" t="s">
        <v>39</v>
      </c>
      <c r="G42" s="17"/>
      <c r="H42" s="9"/>
      <c r="I42" s="9"/>
    </row>
    <row r="43" ht="15">
      <c r="B43" s="19">
        <v>45250</v>
      </c>
      <c r="D43" s="3">
        <f>49600-11400-8000-8200-7500</f>
        <v>14500</v>
      </c>
      <c r="F43" s="18" t="s">
        <v>40</v>
      </c>
      <c r="G43" s="17"/>
      <c r="H43" s="9"/>
      <c r="I43" s="9"/>
    </row>
    <row r="44" ht="15">
      <c r="B44" s="13">
        <v>45238</v>
      </c>
      <c r="E44" s="3">
        <f>-200-150-150</f>
        <v>-500</v>
      </c>
      <c r="F44" s="18" t="s">
        <v>41</v>
      </c>
      <c r="G44" s="17"/>
      <c r="H44" s="9"/>
      <c r="I44" s="9"/>
    </row>
    <row r="45" ht="15">
      <c r="B45" s="13">
        <v>45281</v>
      </c>
      <c r="E45" s="3">
        <v>-819</v>
      </c>
      <c r="F45" s="18" t="s">
        <v>42</v>
      </c>
      <c r="G45" s="17"/>
      <c r="H45" s="9"/>
      <c r="I45" s="9"/>
    </row>
    <row r="46" ht="15">
      <c r="B46" s="13">
        <v>45284</v>
      </c>
      <c r="E46" s="3">
        <v>-300</v>
      </c>
      <c r="F46" s="18" t="s">
        <v>43</v>
      </c>
      <c r="G46" s="17"/>
      <c r="H46" s="9"/>
      <c r="I46" s="9"/>
    </row>
    <row r="47" ht="15">
      <c r="B47" s="13">
        <v>45291</v>
      </c>
      <c r="E47" s="3">
        <f>-267</f>
        <v>-267</v>
      </c>
      <c r="F47" s="18" t="s">
        <v>44</v>
      </c>
      <c r="G47" s="17"/>
      <c r="H47" s="9"/>
      <c r="I47" s="9"/>
    </row>
    <row r="48" ht="15">
      <c r="B48" s="19">
        <v>45291</v>
      </c>
      <c r="E48" s="3">
        <f>-CostBlocks!$F$31</f>
        <v>-10733.030000000001</v>
      </c>
      <c r="F48" s="18" t="s">
        <v>45</v>
      </c>
      <c r="G48" s="17"/>
      <c r="H48" s="9"/>
      <c r="I48" s="9"/>
    </row>
    <row r="49" ht="15">
      <c r="B49" s="13">
        <v>45291</v>
      </c>
      <c r="D49" s="3">
        <f>CostBlocks!$C$5*0.018*14500/49600</f>
        <v>261</v>
      </c>
      <c r="F49" s="18" t="s">
        <v>35</v>
      </c>
      <c r="G49" s="17"/>
      <c r="H49" s="9"/>
      <c r="I49" s="9"/>
    </row>
    <row r="50" ht="15">
      <c r="B50" s="21">
        <v>45292</v>
      </c>
      <c r="C50" s="22">
        <f>SUM(C40:E49)</f>
        <v>19121.720000000001</v>
      </c>
      <c r="D50" s="22"/>
      <c r="E50" s="22"/>
      <c r="F50" s="23"/>
      <c r="G50" s="17"/>
      <c r="H50" s="9"/>
      <c r="I50" s="9"/>
    </row>
    <row r="51" ht="13.5">
      <c r="B51" s="24"/>
      <c r="C51" s="9"/>
      <c r="D51" s="9"/>
      <c r="E51" s="9"/>
      <c r="F51" s="9"/>
      <c r="G51" s="17"/>
      <c r="I51" s="1"/>
    </row>
    <row r="52" ht="13.800000000000001">
      <c r="F52" s="17"/>
      <c r="G52" s="17"/>
      <c r="H52" s="17"/>
    </row>
    <row r="53" ht="13.800000000000001">
      <c r="F53" s="17"/>
      <c r="G53" s="17"/>
      <c r="H53" s="17"/>
    </row>
    <row r="54" ht="13.800000000000001">
      <c r="F54" s="17"/>
      <c r="G54" s="17"/>
      <c r="H54" s="17"/>
    </row>
    <row r="55" ht="13.800000000000001">
      <c r="F55" s="17"/>
      <c r="G55" s="17"/>
      <c r="H55" s="17"/>
    </row>
    <row r="56" ht="13.800000000000001">
      <c r="F56" s="17"/>
      <c r="G56" s="17"/>
      <c r="H56" s="17"/>
    </row>
    <row r="57" ht="13.800000000000001">
      <c r="F57" s="17"/>
      <c r="G57" s="17"/>
      <c r="H57" s="17"/>
    </row>
    <row r="58" ht="13.800000000000001">
      <c r="F58" s="17"/>
      <c r="G58" s="17"/>
      <c r="H58" s="17"/>
    </row>
    <row r="59" ht="13.800000000000001">
      <c r="F59" s="17"/>
      <c r="G59" s="17"/>
      <c r="H59" s="17"/>
    </row>
    <row r="60" ht="13.800000000000001">
      <c r="F60" s="17"/>
      <c r="G60" s="17"/>
      <c r="H60" s="17"/>
    </row>
    <row r="61" ht="13.800000000000001">
      <c r="F61" s="17"/>
      <c r="G61" s="17"/>
      <c r="H61" s="17"/>
    </row>
    <row r="62" ht="13.800000000000001">
      <c r="F62" s="17"/>
      <c r="G62" s="17"/>
      <c r="H62" s="17"/>
    </row>
    <row r="63" ht="13.800000000000001">
      <c r="F63" s="17"/>
      <c r="G63" s="17"/>
      <c r="H63" s="17"/>
    </row>
    <row r="64" ht="13.800000000000001">
      <c r="F64" s="17"/>
      <c r="G64" s="17"/>
      <c r="H64" s="17"/>
    </row>
    <row r="65" ht="13.800000000000001">
      <c r="F65" s="17"/>
      <c r="G65" s="17"/>
      <c r="H65" s="17"/>
    </row>
    <row r="66" ht="13.800000000000001">
      <c r="F66" s="17"/>
      <c r="G66" s="17"/>
      <c r="H66" s="17"/>
    </row>
    <row r="67" ht="13.800000000000001">
      <c r="F67" s="17"/>
      <c r="G67" s="17"/>
      <c r="H67" s="17"/>
    </row>
    <row r="68" ht="13.800000000000001">
      <c r="F68" s="17"/>
      <c r="G68" s="17"/>
      <c r="H68" s="17"/>
    </row>
    <row r="69" ht="13.800000000000001">
      <c r="F69" s="17"/>
      <c r="G69" s="17"/>
      <c r="H69" s="17"/>
    </row>
    <row r="70" ht="13.800000000000001">
      <c r="F70" s="17"/>
      <c r="G70" s="17"/>
      <c r="H70" s="17"/>
    </row>
    <row r="71" ht="13.800000000000001">
      <c r="F71" s="17"/>
      <c r="G71" s="17"/>
      <c r="H71" s="17"/>
    </row>
    <row r="72" ht="13.800000000000001">
      <c r="F72" s="17"/>
      <c r="G72" s="17"/>
      <c r="H72" s="17"/>
    </row>
    <row r="73" ht="13.800000000000001">
      <c r="F73" s="17"/>
      <c r="G73" s="17"/>
      <c r="H73" s="17"/>
    </row>
    <row r="74" ht="13.800000000000001">
      <c r="F74" s="17"/>
      <c r="G74" s="17"/>
      <c r="H74" s="17"/>
    </row>
  </sheetData>
  <mergeCells count="1">
    <mergeCell ref="B1:E1"/>
  </mergeCells>
  <printOptions headings="0" gridLines="0" horizontalCentered="0" verticalCentered="0"/>
  <pageMargins left="0" right="0" top="0" bottom="0" header="0" footer="0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 differentFirst="1">
    <oddHeader>&amp;C&amp;Kffffff&amp;A</oddHeader>
    <oddFooter>&amp;C&amp;KffffffPage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0" workbookViewId="0">
      <selection activeCell="A1" activeCellId="0" sqref="A1"/>
    </sheetView>
  </sheetViews>
  <sheetFormatPr defaultColWidth="11.48828125" defaultRowHeight="12.75"/>
  <cols>
    <col customWidth="1" min="1" max="1" style="25" width="2.7000000000000002"/>
    <col customWidth="1" min="2" max="2" style="25" width="29.059999999999999"/>
    <col customWidth="1" min="3" max="3" style="25" width="14.6"/>
    <col customWidth="1" min="4" max="4" style="25" width="12.43"/>
    <col customWidth="1" min="5" max="5" style="25" width="27.43"/>
    <col customWidth="1" min="6" max="6" style="26" width="15"/>
    <col customWidth="1" min="7" max="7" style="25" width="7.5700000000000003"/>
    <col customWidth="1" min="8" max="8" style="26" width="21.890000000000001"/>
    <col customWidth="1" min="9" max="9" style="26" width="12.699999999999999"/>
    <col customWidth="0" min="10" max="10" style="25" width="11.49"/>
    <col customWidth="1" min="11" max="11" style="25" width="13.24"/>
    <col customWidth="1" min="12" max="12" style="25" width="11.35"/>
    <col customWidth="0" min="13" max="16384" style="25" width="11.49"/>
  </cols>
  <sheetData>
    <row r="1" s="27" customFormat="1" ht="13.800000000000001">
      <c r="B1" s="28"/>
      <c r="C1" s="29"/>
      <c r="D1" s="30"/>
      <c r="E1" s="28"/>
      <c r="F1" s="29"/>
      <c r="G1" s="30"/>
      <c r="H1" s="28"/>
      <c r="I1" s="31"/>
      <c r="J1" s="30"/>
    </row>
    <row r="2" ht="13.800000000000001">
      <c r="B2" s="32" t="s">
        <v>46</v>
      </c>
      <c r="C2" s="33"/>
      <c r="D2" s="30"/>
      <c r="E2" s="34" t="s">
        <v>47</v>
      </c>
      <c r="F2" s="35"/>
      <c r="G2" s="30"/>
      <c r="H2" s="36" t="s">
        <v>48</v>
      </c>
      <c r="I2" s="37"/>
      <c r="J2" s="30"/>
    </row>
    <row r="3" ht="13.800000000000001">
      <c r="B3" s="38" t="s">
        <v>49</v>
      </c>
      <c r="C3" s="39">
        <v>49600</v>
      </c>
      <c r="D3" s="30"/>
      <c r="E3" s="40" t="s">
        <v>50</v>
      </c>
      <c r="F3" s="41">
        <f>F15+F17+F18+F19+F20+F22</f>
        <v>2322.6799999999998</v>
      </c>
      <c r="G3" s="30"/>
      <c r="H3" s="42"/>
      <c r="I3" s="43"/>
      <c r="J3" s="44"/>
    </row>
    <row r="4" ht="13.800000000000001">
      <c r="B4" s="38"/>
      <c r="C4" s="39"/>
      <c r="D4" s="30"/>
      <c r="E4" s="40" t="s">
        <v>51</v>
      </c>
      <c r="F4" s="41">
        <v>3600</v>
      </c>
      <c r="G4" s="31"/>
      <c r="H4" s="45" t="s">
        <v>52</v>
      </c>
      <c r="I4" s="43">
        <f>122+122+10+40+128+133+62+130+73+135+62+62+122+122+122+62+77+92+122+122+62+62+121+151+121+121</f>
        <v>2558</v>
      </c>
      <c r="J4" s="30"/>
    </row>
    <row r="5" ht="13.800000000000001">
      <c r="B5" s="46" t="s">
        <v>53</v>
      </c>
      <c r="C5" s="47">
        <f>SUM(C3:C4)</f>
        <v>49600</v>
      </c>
      <c r="D5" s="30"/>
      <c r="E5" s="40" t="s">
        <v>54</v>
      </c>
      <c r="F5" s="41">
        <v>1113.95</v>
      </c>
      <c r="G5" s="30"/>
      <c r="H5" s="45" t="s">
        <v>55</v>
      </c>
      <c r="I5" s="43">
        <f>30+36+30+59</f>
        <v>155</v>
      </c>
      <c r="J5" s="30"/>
    </row>
    <row r="6" ht="13.800000000000001">
      <c r="B6" s="30"/>
      <c r="C6" s="29"/>
      <c r="D6" s="30"/>
      <c r="E6" s="40" t="s">
        <v>56</v>
      </c>
      <c r="F6" s="41">
        <v>1911</v>
      </c>
      <c r="G6" s="30"/>
      <c r="H6" s="45" t="s">
        <v>57</v>
      </c>
      <c r="I6" s="43">
        <v>180</v>
      </c>
      <c r="J6" s="30"/>
    </row>
    <row r="7" ht="13.800000000000001">
      <c r="B7" s="30"/>
      <c r="C7" s="31"/>
      <c r="D7" s="30"/>
      <c r="E7" s="40" t="s">
        <v>58</v>
      </c>
      <c r="F7" s="41">
        <v>465.5</v>
      </c>
      <c r="G7" s="30"/>
      <c r="H7" s="45" t="s">
        <v>59</v>
      </c>
      <c r="I7" s="43">
        <v>60</v>
      </c>
      <c r="J7" s="30"/>
    </row>
    <row r="8" ht="13.800000000000001">
      <c r="B8" s="48" t="s">
        <v>60</v>
      </c>
      <c r="C8" s="49"/>
      <c r="D8" s="30"/>
      <c r="E8" s="40" t="s">
        <v>61</v>
      </c>
      <c r="F8" s="41">
        <f>F16+F24+F27+F25+F26</f>
        <v>1320.51</v>
      </c>
      <c r="G8" s="30"/>
      <c r="H8" s="45" t="s">
        <v>62</v>
      </c>
      <c r="I8" s="43">
        <v>60</v>
      </c>
    </row>
    <row r="9" ht="13.800000000000001">
      <c r="B9" s="50" t="s">
        <v>63</v>
      </c>
      <c r="C9" s="51">
        <f>C3+C4</f>
        <v>49600</v>
      </c>
      <c r="D9" s="30"/>
      <c r="E9" s="52" t="s">
        <v>64</v>
      </c>
      <c r="F9" s="53">
        <f>SUM(F3:F8)</f>
        <v>10733.639999999999</v>
      </c>
      <c r="G9" s="30"/>
      <c r="H9" s="45" t="s">
        <v>65</v>
      </c>
      <c r="I9" s="43">
        <v>615</v>
      </c>
      <c r="J9" s="30"/>
    </row>
    <row r="10" ht="13.800000000000001">
      <c r="B10" s="50" t="s">
        <v>66</v>
      </c>
      <c r="C10" s="51">
        <f>C9*0.12</f>
        <v>5952</v>
      </c>
      <c r="D10" s="30"/>
      <c r="E10" s="54" t="s">
        <v>67</v>
      </c>
      <c r="F10" s="55">
        <f>F31</f>
        <v>10733.030000000001</v>
      </c>
      <c r="G10" s="30"/>
      <c r="H10" s="45"/>
      <c r="I10" s="43"/>
      <c r="J10" s="30"/>
    </row>
    <row r="11" ht="13.800000000000001">
      <c r="B11" s="50" t="s">
        <v>68</v>
      </c>
      <c r="C11" s="56">
        <v>12500</v>
      </c>
      <c r="D11" s="31" t="s">
        <v>69</v>
      </c>
      <c r="E11" s="57" t="s">
        <v>70</v>
      </c>
      <c r="F11" s="58">
        <f>F9-F10</f>
        <v>0.61000000000058197</v>
      </c>
      <c r="G11" s="30"/>
      <c r="H11" s="59" t="s">
        <v>71</v>
      </c>
      <c r="I11" s="60">
        <f>SUM(I4:I9)</f>
        <v>3628</v>
      </c>
      <c r="J11" s="30"/>
    </row>
    <row r="12" s="25" customFormat="1" ht="13.800000000000001">
      <c r="B12" s="50" t="s">
        <v>72</v>
      </c>
      <c r="C12" s="51">
        <f>C9-C10-C11</f>
        <v>31148</v>
      </c>
      <c r="D12" s="31"/>
      <c r="E12" s="30"/>
      <c r="F12" s="31"/>
      <c r="G12" s="30"/>
      <c r="J12" s="30"/>
    </row>
    <row r="13" ht="13.800000000000001">
      <c r="B13" s="50" t="s">
        <v>73</v>
      </c>
      <c r="C13" s="56">
        <v>3742</v>
      </c>
      <c r="D13" s="31" t="s">
        <v>69</v>
      </c>
      <c r="E13" s="30"/>
      <c r="F13" s="31"/>
      <c r="G13" s="30"/>
      <c r="H13" s="27"/>
      <c r="I13" s="27"/>
    </row>
    <row r="14" ht="13.800000000000001">
      <c r="B14" s="50"/>
      <c r="C14" s="56"/>
      <c r="E14" s="61" t="s">
        <v>74</v>
      </c>
      <c r="F14" s="62"/>
      <c r="G14" s="63"/>
      <c r="H14" s="64" t="s">
        <v>75</v>
      </c>
      <c r="I14" s="65"/>
      <c r="J14" s="31"/>
      <c r="K14" s="66"/>
    </row>
    <row r="15" ht="13.800000000000001">
      <c r="B15" s="67" t="s">
        <v>76</v>
      </c>
      <c r="C15" s="68">
        <f>C9-C11-C13</f>
        <v>33358</v>
      </c>
      <c r="D15" s="30"/>
      <c r="E15" s="69" t="s">
        <v>77</v>
      </c>
      <c r="F15" s="70">
        <v>788.67999999999995</v>
      </c>
      <c r="G15" s="30"/>
      <c r="H15" s="71"/>
      <c r="I15" s="72"/>
      <c r="J15" s="63"/>
    </row>
    <row r="16" ht="13.800000000000001">
      <c r="B16" s="30"/>
      <c r="C16" s="30"/>
      <c r="D16" s="30"/>
      <c r="E16" s="69" t="s">
        <v>78</v>
      </c>
      <c r="F16" s="70">
        <v>548.27999999999997</v>
      </c>
      <c r="G16" s="30"/>
      <c r="H16" s="73" t="s">
        <v>52</v>
      </c>
      <c r="I16" s="74">
        <f>200+100+100+200+200+100+100</f>
        <v>1000</v>
      </c>
      <c r="J16" s="30"/>
    </row>
    <row r="17" ht="13.800000000000001">
      <c r="B17" s="30"/>
      <c r="C17" s="30"/>
      <c r="D17" s="30"/>
      <c r="E17" s="69" t="s">
        <v>79</v>
      </c>
      <c r="F17" s="70">
        <v>154</v>
      </c>
      <c r="G17" s="30"/>
      <c r="H17" s="73" t="s">
        <v>55</v>
      </c>
      <c r="I17" s="74">
        <f>20+60+20+5+21+17+6+27+13.6+50+28+17+29+30+6+18+15+12+18+44+12+15+13+17+15+20+17</f>
        <v>565.60000000000002</v>
      </c>
      <c r="J17" s="30"/>
    </row>
    <row r="18" ht="13.800000000000001">
      <c r="B18" s="75" t="s">
        <v>80</v>
      </c>
      <c r="C18" s="76"/>
      <c r="D18" s="30"/>
      <c r="E18" s="69" t="s">
        <v>81</v>
      </c>
      <c r="F18" s="70">
        <v>214</v>
      </c>
      <c r="G18" s="30"/>
      <c r="H18" s="73" t="s">
        <v>82</v>
      </c>
      <c r="I18" s="74">
        <f>187.25+97</f>
        <v>284.25</v>
      </c>
      <c r="J18" s="30"/>
    </row>
    <row r="19" ht="13.800000000000001">
      <c r="B19" s="77" t="s">
        <v>83</v>
      </c>
      <c r="C19" s="78">
        <v>600</v>
      </c>
      <c r="D19" s="30"/>
      <c r="E19" s="69" t="s">
        <v>84</v>
      </c>
      <c r="F19" s="70">
        <v>240</v>
      </c>
      <c r="G19" s="30"/>
      <c r="H19" s="79"/>
      <c r="I19" s="79"/>
      <c r="J19" s="30"/>
    </row>
    <row r="20" ht="13.800000000000001">
      <c r="B20" s="77" t="s">
        <v>85</v>
      </c>
      <c r="C20" s="78">
        <v>20</v>
      </c>
      <c r="D20" s="30"/>
      <c r="E20" s="69" t="s">
        <v>86</v>
      </c>
      <c r="F20" s="70">
        <v>233</v>
      </c>
      <c r="G20" s="30"/>
      <c r="H20" s="80" t="s">
        <v>71</v>
      </c>
      <c r="I20" s="81">
        <f>SUM(I16:I18)</f>
        <v>1849.8499999999999</v>
      </c>
      <c r="J20" s="30"/>
    </row>
    <row r="21" ht="13.800000000000001">
      <c r="B21" s="77" t="s">
        <v>87</v>
      </c>
      <c r="C21" s="78">
        <v>15</v>
      </c>
      <c r="D21" s="30"/>
      <c r="E21" s="69" t="s">
        <v>88</v>
      </c>
      <c r="F21" s="70">
        <v>1146.49</v>
      </c>
      <c r="G21" s="30"/>
      <c r="H21" s="27"/>
      <c r="I21" s="27"/>
    </row>
    <row r="22" ht="13.800000000000001">
      <c r="B22" s="77" t="s">
        <v>89</v>
      </c>
      <c r="C22" s="78">
        <v>200</v>
      </c>
      <c r="D22" s="30"/>
      <c r="E22" s="69" t="s">
        <v>90</v>
      </c>
      <c r="F22" s="70">
        <v>693</v>
      </c>
      <c r="G22" s="30"/>
      <c r="H22" s="27"/>
      <c r="I22" s="27"/>
    </row>
    <row r="23" ht="13.800000000000001">
      <c r="B23" s="77" t="s">
        <v>91</v>
      </c>
      <c r="C23" s="78">
        <v>150</v>
      </c>
      <c r="D23" s="30"/>
      <c r="E23" s="69" t="s">
        <v>92</v>
      </c>
      <c r="F23" s="70">
        <v>139</v>
      </c>
      <c r="G23" s="30"/>
      <c r="H23" s="82" t="s">
        <v>93</v>
      </c>
      <c r="I23" s="83"/>
      <c r="J23" s="30"/>
      <c r="K23" s="84"/>
      <c r="L23" s="84"/>
    </row>
    <row r="24" ht="13.800000000000001">
      <c r="B24" s="77" t="s">
        <v>94</v>
      </c>
      <c r="C24" s="78">
        <v>42.950000000000003</v>
      </c>
      <c r="D24" s="30"/>
      <c r="E24" s="69" t="s">
        <v>95</v>
      </c>
      <c r="F24" s="70">
        <v>172.5</v>
      </c>
      <c r="G24" s="30"/>
      <c r="H24" s="85"/>
      <c r="I24" s="86"/>
      <c r="J24" s="30"/>
    </row>
    <row r="25" ht="13.800000000000001">
      <c r="B25" s="77" t="s">
        <v>96</v>
      </c>
      <c r="C25" s="78">
        <v>65</v>
      </c>
      <c r="D25" s="30"/>
      <c r="E25" s="69" t="s">
        <v>97</v>
      </c>
      <c r="F25" s="70">
        <v>72.730000000000004</v>
      </c>
      <c r="G25" s="87"/>
      <c r="H25" s="88" t="s">
        <v>52</v>
      </c>
      <c r="I25" s="89">
        <v>102.5</v>
      </c>
      <c r="J25" s="30"/>
      <c r="K25" s="90"/>
      <c r="L25" s="90"/>
    </row>
    <row r="26" ht="13.800000000000001">
      <c r="B26" s="77" t="s">
        <v>98</v>
      </c>
      <c r="C26" s="78">
        <v>30</v>
      </c>
      <c r="D26" s="30"/>
      <c r="E26" s="69" t="s">
        <v>99</v>
      </c>
      <c r="F26" s="70">
        <v>80</v>
      </c>
      <c r="G26" s="44"/>
      <c r="H26" s="88" t="s">
        <v>100</v>
      </c>
      <c r="I26" s="89">
        <f>6+30+106+60+22</f>
        <v>224</v>
      </c>
      <c r="J26" s="30"/>
      <c r="K26" s="66"/>
      <c r="L26" s="66"/>
    </row>
    <row r="27" ht="13.800000000000001">
      <c r="B27" s="77"/>
      <c r="C27" s="78"/>
      <c r="D27" s="30"/>
      <c r="E27" s="69" t="s">
        <v>101</v>
      </c>
      <c r="F27" s="70">
        <v>447</v>
      </c>
      <c r="G27" s="44"/>
      <c r="H27" s="88"/>
      <c r="I27" s="89"/>
      <c r="J27" s="30"/>
    </row>
    <row r="28" ht="13.800000000000001">
      <c r="B28" s="91" t="s">
        <v>64</v>
      </c>
      <c r="C28" s="92">
        <f>SUM(C19:C27)</f>
        <v>1122.95</v>
      </c>
      <c r="D28" s="30"/>
      <c r="E28" s="69" t="s">
        <v>102</v>
      </c>
      <c r="F28" s="70">
        <f>I11</f>
        <v>3628</v>
      </c>
      <c r="G28" s="44"/>
      <c r="H28" s="93" t="s">
        <v>71</v>
      </c>
      <c r="I28" s="94">
        <f>SUM(I25:I27)</f>
        <v>326.5</v>
      </c>
      <c r="J28" s="30"/>
    </row>
    <row r="29" ht="13.800000000000001">
      <c r="B29" s="30"/>
      <c r="C29" s="30"/>
      <c r="D29" s="30"/>
      <c r="E29" s="69" t="s">
        <v>103</v>
      </c>
      <c r="F29" s="70">
        <f>I20</f>
        <v>1849.8499999999999</v>
      </c>
      <c r="G29" s="44"/>
      <c r="H29" s="27"/>
      <c r="I29" s="27"/>
      <c r="J29" s="30"/>
    </row>
    <row r="30" ht="13.800000000000001">
      <c r="B30" s="30"/>
      <c r="C30" s="30"/>
      <c r="D30" s="30"/>
      <c r="E30" s="69" t="s">
        <v>104</v>
      </c>
      <c r="F30" s="70">
        <f>I28</f>
        <v>326.5</v>
      </c>
      <c r="G30" s="44"/>
      <c r="H30" s="27"/>
      <c r="I30" s="27"/>
      <c r="J30" s="30"/>
    </row>
    <row r="31" ht="13.800000000000001">
      <c r="B31" s="30"/>
      <c r="C31" s="30"/>
      <c r="D31" s="30"/>
      <c r="E31" s="95" t="s">
        <v>64</v>
      </c>
      <c r="F31" s="96">
        <f>SUM(F15:F30)</f>
        <v>10733.030000000001</v>
      </c>
      <c r="G31" s="44"/>
      <c r="H31" s="27"/>
      <c r="I31" s="27"/>
      <c r="J31" s="30"/>
      <c r="K31" s="97"/>
    </row>
    <row r="32" ht="13.800000000000001">
      <c r="B32" s="30"/>
      <c r="C32" s="30"/>
      <c r="D32" s="30"/>
      <c r="G32" s="44"/>
      <c r="H32" s="27"/>
      <c r="I32" s="27"/>
      <c r="J32" s="30"/>
    </row>
    <row r="33" s="25" customFormat="1" ht="13.800000000000001">
      <c r="B33" s="30"/>
      <c r="C33" s="30"/>
      <c r="D33" s="30"/>
      <c r="G33" s="44"/>
      <c r="H33" s="27"/>
      <c r="I33" s="27"/>
      <c r="J33" s="30"/>
    </row>
    <row r="34" s="25" customFormat="1" ht="13.800000000000001">
      <c r="B34" s="30"/>
      <c r="C34" s="30"/>
      <c r="D34" s="30"/>
      <c r="G34" s="31"/>
      <c r="H34" s="27"/>
      <c r="I34" s="27"/>
      <c r="J34" s="30"/>
    </row>
    <row r="35" s="25" customFormat="1" ht="13.800000000000001">
      <c r="B35" s="30"/>
      <c r="C35" s="30"/>
      <c r="D35" s="30"/>
      <c r="G35" s="31"/>
      <c r="H35" s="27"/>
      <c r="I35" s="27"/>
      <c r="J35" s="31"/>
    </row>
    <row r="36" s="25" customFormat="1" ht="13.800000000000001">
      <c r="B36" s="30"/>
      <c r="C36" s="30"/>
      <c r="D36" s="30"/>
      <c r="G36" s="44"/>
      <c r="H36" s="27"/>
      <c r="I36" s="27"/>
      <c r="J36" s="31"/>
    </row>
    <row r="37" ht="13.800000000000001">
      <c r="B37" s="30"/>
      <c r="C37" s="30"/>
      <c r="D37" s="30"/>
      <c r="F37" s="25"/>
      <c r="G37" s="44"/>
      <c r="J37" s="30"/>
    </row>
    <row r="38" s="25" customFormat="1" ht="13.800000000000001">
      <c r="B38" s="30"/>
      <c r="C38" s="30"/>
      <c r="D38" s="30"/>
      <c r="G38" s="44"/>
      <c r="J38" s="30"/>
    </row>
    <row r="39" s="25" customFormat="1" ht="13.800000000000001">
      <c r="B39" s="30"/>
      <c r="C39" s="30"/>
      <c r="D39" s="30"/>
      <c r="G39" s="27"/>
      <c r="J39" s="30"/>
    </row>
    <row r="40" s="25" customFormat="1" ht="13.800000000000001">
      <c r="B40" s="30"/>
      <c r="C40" s="30"/>
      <c r="D40" s="30"/>
      <c r="J40" s="30"/>
    </row>
    <row r="41" s="25" customFormat="1" ht="13.800000000000001">
      <c r="F41" s="26"/>
    </row>
  </sheetData>
  <printOptions headings="0" gridLines="0" horizontalCentered="0" verticalCentered="0"/>
  <pageMargins left="0" right="0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differentFirst="1">
    <oddHeader>&amp;C&amp;Kffffff&amp;A</oddHeader>
    <oddFooter>&amp;C&amp;KffffffPage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0" workbookViewId="0">
      <selection activeCell="A1" activeCellId="0" sqref="A1"/>
    </sheetView>
  </sheetViews>
  <sheetFormatPr defaultColWidth="7.43359375" defaultRowHeight="13"/>
  <cols>
    <col customWidth="1" min="1" max="1" style="98" width="3.6499999999999999"/>
    <col customWidth="1" min="2" max="2" style="98" width="20.949999999999999"/>
    <col customWidth="1" min="3" max="3" style="98" width="12.970000000000001"/>
    <col customWidth="0" min="4" max="16384" style="98" width="7.4299999999999997"/>
  </cols>
  <sheetData>
    <row r="1" ht="13.800000000000001">
      <c r="A1" s="27"/>
      <c r="B1" s="27"/>
      <c r="C1" s="27"/>
    </row>
    <row r="2" ht="13.800000000000001">
      <c r="A2" s="27"/>
      <c r="B2" s="99" t="s">
        <v>105</v>
      </c>
      <c r="C2" s="100"/>
    </row>
    <row r="3" ht="13.800000000000001">
      <c r="A3" s="27"/>
      <c r="B3" s="101" t="s">
        <v>106</v>
      </c>
      <c r="C3" s="102">
        <f>112.6+107.45</f>
        <v>220.05000000000001</v>
      </c>
    </row>
    <row r="4" ht="13.800000000000001">
      <c r="A4" s="27"/>
      <c r="B4" s="101" t="s">
        <v>107</v>
      </c>
      <c r="C4" s="102">
        <f>107.45+107.44</f>
        <v>214.88999999999999</v>
      </c>
    </row>
    <row r="5" ht="13.800000000000001">
      <c r="A5" s="27"/>
      <c r="B5" s="101" t="s">
        <v>108</v>
      </c>
      <c r="C5" s="102">
        <v>213.06</v>
      </c>
    </row>
    <row r="6" ht="13.800000000000001">
      <c r="A6" s="27"/>
      <c r="B6" s="101" t="s">
        <v>109</v>
      </c>
      <c r="C6" s="102">
        <v>107.44</v>
      </c>
    </row>
    <row r="7" ht="13.800000000000001">
      <c r="A7" s="27"/>
      <c r="B7" s="101" t="s">
        <v>110</v>
      </c>
      <c r="C7" s="102">
        <v>239.75</v>
      </c>
    </row>
    <row r="8" ht="13.800000000000001">
      <c r="A8" s="27"/>
      <c r="B8" s="101" t="s">
        <v>111</v>
      </c>
      <c r="C8" s="102">
        <v>130</v>
      </c>
    </row>
    <row r="9" ht="13.800000000000001">
      <c r="A9" s="27"/>
      <c r="B9" s="101" t="s">
        <v>112</v>
      </c>
      <c r="C9" s="102">
        <f>17.24+55.6+37.61+29.58+14.81+21.21+29.96+53.95</f>
        <v>259.95999999999998</v>
      </c>
    </row>
    <row r="10" ht="13.800000000000001">
      <c r="A10" s="27"/>
      <c r="B10" s="103" t="s">
        <v>53</v>
      </c>
      <c r="C10" s="104">
        <f>SUM(C3:C9)</f>
        <v>1385.1500000000001</v>
      </c>
    </row>
  </sheetData>
  <printOptions headings="0" gridLines="0" horizontalCentered="0" verticalCentered="0"/>
  <pageMargins left="0" right="0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differentFirst="1">
    <oddHeader>&amp;C&amp;Kffffff&amp;A</oddHeader>
    <oddFooter>&amp;C&amp;KffffffPage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en-MY</dc:language>
  <cp:revision>365</cp:revision>
  <dcterms:created xsi:type="dcterms:W3CDTF">2023-03-19T13:22:55Z</dcterms:created>
  <dcterms:modified xsi:type="dcterms:W3CDTF">2025-01-01T10:12:53Z</dcterms:modified>
</cp:coreProperties>
</file>