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1. PROPOSTAS\01. ORÇAMENTOS VEKS\40. KABOD CABANAS\Baia\Propostas\"/>
    </mc:Choice>
  </mc:AlternateContent>
  <xr:revisionPtr revIDLastSave="0" documentId="13_ncr:1_{4FAAF89D-3916-4DD3-A2EB-0F7538C70267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'!$B$2:$O$40</definedName>
  </definedNames>
  <calcPr calcId="181029"/>
</workbook>
</file>

<file path=xl/calcChain.xml><?xml version="1.0" encoding="utf-8"?>
<calcChain xmlns="http://schemas.openxmlformats.org/spreadsheetml/2006/main">
  <c r="J27" i="33" l="1"/>
  <c r="I27" i="33"/>
  <c r="H27" i="33"/>
  <c r="J25" i="33"/>
  <c r="H25" i="33"/>
  <c r="I24" i="33"/>
  <c r="I26" i="33"/>
  <c r="F26" i="33"/>
  <c r="H26" i="33" s="1"/>
  <c r="J26" i="33" s="1"/>
  <c r="I17" i="33"/>
  <c r="I15" i="33"/>
  <c r="I14" i="33"/>
  <c r="G19" i="33" l="1"/>
  <c r="I19" i="33" s="1"/>
  <c r="F19" i="33" l="1"/>
  <c r="F10" i="33"/>
  <c r="H10" i="33" s="1"/>
  <c r="H23" i="33"/>
  <c r="H24" i="33"/>
  <c r="J24" i="33" s="1"/>
  <c r="H17" i="33"/>
  <c r="J17" i="33" s="1"/>
  <c r="T26" i="33"/>
  <c r="U26" i="33" s="1"/>
  <c r="H12" i="33"/>
  <c r="H13" i="33"/>
  <c r="H14" i="33"/>
  <c r="H15" i="33"/>
  <c r="T24" i="33"/>
  <c r="U24" i="33" s="1"/>
  <c r="F21" i="33"/>
  <c r="H21" i="33" s="1"/>
  <c r="AB24" i="33"/>
  <c r="AC24" i="33" s="1"/>
  <c r="AB23" i="33"/>
  <c r="AC23" i="33" s="1"/>
  <c r="L23" i="33" s="1"/>
  <c r="T23" i="33"/>
  <c r="U23" i="33" s="1"/>
  <c r="J23" i="33"/>
  <c r="I23" i="33"/>
  <c r="AB25" i="33"/>
  <c r="AC25" i="33" s="1"/>
  <c r="L25" i="33" s="1"/>
  <c r="T25" i="33"/>
  <c r="U25" i="33" s="1"/>
  <c r="I25" i="33"/>
  <c r="AB26" i="33"/>
  <c r="AC26" i="33" s="1"/>
  <c r="E13" i="33"/>
  <c r="I13" i="33" s="1"/>
  <c r="AB22" i="33"/>
  <c r="AC22" i="33" s="1"/>
  <c r="T22" i="33"/>
  <c r="U22" i="33" s="1"/>
  <c r="E22" i="33"/>
  <c r="G18" i="33"/>
  <c r="I18" i="33" s="1"/>
  <c r="AB17" i="33"/>
  <c r="AC17" i="33" s="1"/>
  <c r="T17" i="33"/>
  <c r="U17" i="33" s="1"/>
  <c r="K17" i="33" s="1"/>
  <c r="M17" i="33" s="1"/>
  <c r="E16" i="33"/>
  <c r="I16" i="33" s="1"/>
  <c r="AB15" i="33"/>
  <c r="AC15" i="33" s="1"/>
  <c r="T15" i="33"/>
  <c r="U15" i="33" s="1"/>
  <c r="J15" i="33"/>
  <c r="J18" i="33" l="1"/>
  <c r="J21" i="33"/>
  <c r="J22" i="33"/>
  <c r="I22" i="33"/>
  <c r="H19" i="33"/>
  <c r="J19" i="33"/>
  <c r="K24" i="33"/>
  <c r="V24" i="33"/>
  <c r="W24" i="33" s="1"/>
  <c r="L24" i="33"/>
  <c r="AD24" i="33"/>
  <c r="AE24" i="33" s="1"/>
  <c r="V23" i="33"/>
  <c r="W23" i="33" s="1"/>
  <c r="K23" i="33"/>
  <c r="N23" i="33"/>
  <c r="Y23" i="33"/>
  <c r="AD23" i="33"/>
  <c r="AE23" i="33" s="1"/>
  <c r="K25" i="33"/>
  <c r="M25" i="33" s="1"/>
  <c r="V25" i="33"/>
  <c r="W25" i="33" s="1"/>
  <c r="AD25" i="33"/>
  <c r="AE25" i="33" s="1"/>
  <c r="K26" i="33"/>
  <c r="M26" i="33" s="1"/>
  <c r="V26" i="33"/>
  <c r="W26" i="33" s="1"/>
  <c r="AD26" i="33"/>
  <c r="AE26" i="33" s="1"/>
  <c r="L26" i="33"/>
  <c r="N26" i="33" s="1"/>
  <c r="O26" i="33" s="1"/>
  <c r="V22" i="33"/>
  <c r="W22" i="33" s="1"/>
  <c r="K22" i="33"/>
  <c r="L22" i="33"/>
  <c r="AD22" i="33"/>
  <c r="AE22" i="33" s="1"/>
  <c r="H22" i="33"/>
  <c r="L17" i="33"/>
  <c r="N17" i="33" s="1"/>
  <c r="O17" i="33" s="1"/>
  <c r="AD17" i="33"/>
  <c r="AE17" i="33" s="1"/>
  <c r="Q17" i="33"/>
  <c r="AD15" i="33"/>
  <c r="AE15" i="33" s="1"/>
  <c r="L15" i="33"/>
  <c r="K15" i="33"/>
  <c r="V15" i="33"/>
  <c r="W15" i="33" s="1"/>
  <c r="H16" i="33"/>
  <c r="T16" i="33"/>
  <c r="U16" i="33" s="1"/>
  <c r="AB16" i="33"/>
  <c r="AC16" i="33" s="1"/>
  <c r="AB12" i="33"/>
  <c r="AC12" i="33" s="1"/>
  <c r="T12" i="33"/>
  <c r="U12" i="33" s="1"/>
  <c r="E12" i="33"/>
  <c r="J12" i="33" s="1"/>
  <c r="G10" i="33"/>
  <c r="O24" i="33" l="1"/>
  <c r="M24" i="33"/>
  <c r="Q24" i="33"/>
  <c r="N24" i="33"/>
  <c r="Y24" i="33"/>
  <c r="O23" i="33"/>
  <c r="M23" i="33"/>
  <c r="Q23" i="33"/>
  <c r="Q25" i="33"/>
  <c r="N25" i="33"/>
  <c r="O25" i="33" s="1"/>
  <c r="Y25" i="33"/>
  <c r="O15" i="33"/>
  <c r="Q26" i="33"/>
  <c r="Y26" i="33"/>
  <c r="Y22" i="33"/>
  <c r="N22" i="33"/>
  <c r="M22" i="33"/>
  <c r="Q22" i="33"/>
  <c r="O22" i="33"/>
  <c r="Y17" i="33"/>
  <c r="N15" i="33"/>
  <c r="Y15" i="33"/>
  <c r="Q15" i="33"/>
  <c r="M15" i="33"/>
  <c r="L16" i="33"/>
  <c r="AD16" i="33"/>
  <c r="AE16" i="33" s="1"/>
  <c r="V16" i="33"/>
  <c r="W16" i="33" s="1"/>
  <c r="K16" i="33"/>
  <c r="J16" i="33"/>
  <c r="V12" i="33"/>
  <c r="W12" i="33" s="1"/>
  <c r="K12" i="33"/>
  <c r="L12" i="33"/>
  <c r="AD12" i="33"/>
  <c r="AE12" i="33" s="1"/>
  <c r="I12" i="33"/>
  <c r="J10" i="33"/>
  <c r="N16" i="33" l="1"/>
  <c r="Y16" i="33"/>
  <c r="M16" i="33"/>
  <c r="Q16" i="33"/>
  <c r="O16" i="33"/>
  <c r="M12" i="33"/>
  <c r="Q12" i="33"/>
  <c r="O12" i="33"/>
  <c r="Y12" i="33"/>
  <c r="N12" i="33"/>
  <c r="T10" i="33" l="1"/>
  <c r="U10" i="33" s="1"/>
  <c r="AB21" i="33"/>
  <c r="AC21" i="33" s="1"/>
  <c r="E20" i="33"/>
  <c r="AB19" i="33"/>
  <c r="AC19" i="33" s="1"/>
  <c r="T19" i="33"/>
  <c r="U19" i="33" s="1"/>
  <c r="K19" i="33" s="1"/>
  <c r="AB18" i="33"/>
  <c r="AC18" i="33" s="1"/>
  <c r="J13" i="33"/>
  <c r="E11" i="33"/>
  <c r="T21" i="33"/>
  <c r="U21" i="33" s="1"/>
  <c r="K21" i="33" s="1"/>
  <c r="AB13" i="33"/>
  <c r="AC13" i="33" s="1"/>
  <c r="T13" i="33"/>
  <c r="U13" i="33" s="1"/>
  <c r="AB11" i="33"/>
  <c r="AC11" i="33" s="1"/>
  <c r="T11" i="33"/>
  <c r="U11" i="33" s="1"/>
  <c r="AB10" i="33"/>
  <c r="AC10" i="33" s="1"/>
  <c r="AB20" i="33"/>
  <c r="AC20" i="33" s="1"/>
  <c r="T20" i="33"/>
  <c r="U20" i="33" s="1"/>
  <c r="AB27" i="33"/>
  <c r="AC27" i="33" s="1"/>
  <c r="AD27" i="33" s="1"/>
  <c r="AE27" i="33" s="1"/>
  <c r="T27" i="33"/>
  <c r="U27" i="33" s="1"/>
  <c r="T18" i="33"/>
  <c r="U18" i="33" s="1"/>
  <c r="H18" i="33"/>
  <c r="AB14" i="33"/>
  <c r="AC14" i="33" s="1"/>
  <c r="T14" i="33"/>
  <c r="U14" i="33" s="1"/>
  <c r="I11" i="33" l="1"/>
  <c r="H11" i="33"/>
  <c r="H20" i="33"/>
  <c r="I20" i="33"/>
  <c r="J11" i="33"/>
  <c r="J14" i="33"/>
  <c r="Q21" i="33"/>
  <c r="M21" i="33"/>
  <c r="V21" i="33"/>
  <c r="W21" i="33" s="1"/>
  <c r="L21" i="33"/>
  <c r="Y21" i="33" s="1"/>
  <c r="AD21" i="33"/>
  <c r="AE21" i="33" s="1"/>
  <c r="I21" i="33"/>
  <c r="J20" i="33"/>
  <c r="K13" i="33"/>
  <c r="V13" i="33"/>
  <c r="W13" i="33" s="1"/>
  <c r="AD13" i="33"/>
  <c r="AE13" i="33" s="1"/>
  <c r="L13" i="33"/>
  <c r="V11" i="33"/>
  <c r="W11" i="33" s="1"/>
  <c r="K11" i="33"/>
  <c r="L11" i="33"/>
  <c r="AD11" i="33"/>
  <c r="AE11" i="33" s="1"/>
  <c r="I10" i="33"/>
  <c r="K20" i="33"/>
  <c r="V20" i="33"/>
  <c r="W20" i="33" s="1"/>
  <c r="AD20" i="33"/>
  <c r="AE20" i="33" s="1"/>
  <c r="L20" i="33"/>
  <c r="K27" i="33"/>
  <c r="M27" i="33" s="1"/>
  <c r="V27" i="33"/>
  <c r="W27" i="33" s="1"/>
  <c r="L27" i="33"/>
  <c r="AD14" i="33"/>
  <c r="AE14" i="33" s="1"/>
  <c r="L14" i="33"/>
  <c r="K10" i="33"/>
  <c r="V10" i="33"/>
  <c r="W10" i="33" s="1"/>
  <c r="AD10" i="33"/>
  <c r="AE10" i="33" s="1"/>
  <c r="L10" i="33"/>
  <c r="K18" i="33"/>
  <c r="V18" i="33"/>
  <c r="W18" i="33" s="1"/>
  <c r="AD18" i="33"/>
  <c r="AE18" i="33" s="1"/>
  <c r="L18" i="33"/>
  <c r="K14" i="33"/>
  <c r="O14" i="33" s="1"/>
  <c r="V14" i="33"/>
  <c r="W14" i="33" s="1"/>
  <c r="V19" i="33"/>
  <c r="W19" i="33" s="1"/>
  <c r="AD19" i="33"/>
  <c r="AE19" i="33" s="1"/>
  <c r="L19" i="33"/>
  <c r="O11" i="33" l="1"/>
  <c r="O10" i="33"/>
  <c r="O13" i="33"/>
  <c r="O27" i="33"/>
  <c r="N27" i="33"/>
  <c r="M10" i="33"/>
  <c r="I28" i="33"/>
  <c r="I32" i="33" s="1"/>
  <c r="O21" i="33"/>
  <c r="N21" i="33"/>
  <c r="Y13" i="33"/>
  <c r="N13" i="33"/>
  <c r="H28" i="33"/>
  <c r="H32" i="33" s="1"/>
  <c r="M13" i="33"/>
  <c r="Q13" i="33"/>
  <c r="Y11" i="33"/>
  <c r="N11" i="33"/>
  <c r="J28" i="33"/>
  <c r="J32" i="33" s="1"/>
  <c r="M11" i="33"/>
  <c r="Q11" i="33"/>
  <c r="Y20" i="33"/>
  <c r="N20" i="33"/>
  <c r="Q20" i="33"/>
  <c r="O20" i="33"/>
  <c r="M20" i="33"/>
  <c r="Q27" i="33"/>
  <c r="N18" i="33"/>
  <c r="Y18" i="33"/>
  <c r="N10" i="33"/>
  <c r="Y10" i="33"/>
  <c r="Y19" i="33"/>
  <c r="N19" i="33"/>
  <c r="O18" i="33"/>
  <c r="M18" i="33"/>
  <c r="Q18" i="33"/>
  <c r="N14" i="33"/>
  <c r="Y14" i="33"/>
  <c r="Q19" i="33"/>
  <c r="O19" i="33"/>
  <c r="M19" i="33"/>
  <c r="Q10" i="33"/>
  <c r="M14" i="33"/>
  <c r="Q14" i="33"/>
  <c r="N28" i="33" l="1"/>
  <c r="M28" i="33"/>
  <c r="O28" i="33"/>
  <c r="O32" i="33" s="1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J46" i="46" s="1"/>
  <c r="I47" i="46"/>
  <c r="I48" i="46"/>
  <c r="I49" i="46"/>
  <c r="I50" i="46"/>
  <c r="I51" i="46"/>
  <c r="J51" i="46" s="1"/>
  <c r="I52" i="46"/>
  <c r="J52" i="46" s="1"/>
  <c r="I53" i="46"/>
  <c r="J53" i="46" s="1"/>
  <c r="I54" i="46"/>
  <c r="J54" i="46" s="1"/>
  <c r="I55" i="46"/>
  <c r="I44" i="46"/>
  <c r="F45" i="46"/>
  <c r="F46" i="46"/>
  <c r="F47" i="46"/>
  <c r="J47" i="46" s="1"/>
  <c r="F48" i="46"/>
  <c r="J48" i="46" s="1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s="1"/>
  <c r="K75" i="46" l="1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32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30" i="33" l="1"/>
  <c r="N32" i="33" l="1"/>
  <c r="Q32" i="33" s="1"/>
  <c r="M32" i="33"/>
  <c r="V31" i="33" l="1"/>
  <c r="H2" i="29" l="1"/>
  <c r="H3" i="29" s="1"/>
  <c r="D60" i="39"/>
  <c r="D59" i="39"/>
  <c r="D61" i="39" s="1"/>
  <c r="D68" i="39" s="1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F79" i="39" l="1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60" i="43"/>
  <c r="H60" i="43" s="1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D46" i="37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S32" i="33"/>
  <c r="E24" i="36"/>
  <c r="C34" i="36" l="1"/>
  <c r="C35" i="36" s="1"/>
  <c r="T32" i="33"/>
  <c r="W31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F9" i="25"/>
  <c r="B40" i="25" s="1"/>
  <c r="H8" i="25"/>
  <c r="H9" i="25" s="1"/>
  <c r="G8" i="25"/>
  <c r="G9" i="25" s="1"/>
  <c r="F8" i="25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32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<sst xmlns="http://schemas.openxmlformats.org/spreadsheetml/2006/main" count="1158" uniqueCount="422">
  <si>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</si>
  <si>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</si>
  <si>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</si>
  <si>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</si>
  <si>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</si>
  <si>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</si>
  <si>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</si>
  <si>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</si>
  <si>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</si>
  <si>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</si>
  <si>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</si>
  <si>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</si>
  <si>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</si>
  <si>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</si>
  <si>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</si>
  <si>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</si>
  <si>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</si>
  <si>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</si>
  <si>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</si>
  <si>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</si>
  <si>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</si>
  <si>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</si>
  <si>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</si>
  <si>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</si>
  <si>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</si>
  <si>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</si>
  <si>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</si>
  <si>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</si>
  <si>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</si>
  <si>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</si>
  <si>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</si>
  <si>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</si>
  <si>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</si>
  <si>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</si>
  <si>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</si>
  <si>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</si>
  <si>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</si>
  <si>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</si>
  <si>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</si>
  <si>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</si>
  <si>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</si>
  <si>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</si>
  <si>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</si>
  <si>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</si>
  <si>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</si>
  <si>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</si>
  <si>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</si>
  <si>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</si>
  <si>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</si>
  <si>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</si>
  <si>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</si>
  <si>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</si>
  <si>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</si>
  <si>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</si>
  <si>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</si>
  <si>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</si>
  <si>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</si>
  <si>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</si>
  <si>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</si>
  <si>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</si>
  <si>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</si>
  <si>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</si>
  <si>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</si>
  <si>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</si>
  <si>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</si>
  <si>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</si>
  <si>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</si>
  <si>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</si>
  <si>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</si>
  <si>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</si>
  <si>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</si>
  <si>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</si>
  <si>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</si>
  <si>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</si>
  <si>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</si>
  <si>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</si>
  <si>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</si>
  <si>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</si>
  <si>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</si>
  <si>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</si>
  <si>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</si>
  <si>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</si>
  <si>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</si>
  <si>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</si>
  <si>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</si>
  <si>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</si>
  <si>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</si>
  <si>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</si>
  <si>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</si>
  <si>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</si>
  <si>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</si>
  <si>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</si>
  <si>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</si>
  <si>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</si>
  <si>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</si>
  <si>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</si>
  <si>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</si>
  <si>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</si>
  <si>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</si>
  <si>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</si>
  <si>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</si>
  <si>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</si>
  <si>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</si>
  <si>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</si>
  <si>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</si>
  <si>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</si>
  <si>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</si>
  <si>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</si>
  <si>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</si>
  <si>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</si>
  <si>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</si>
  <si>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</si>
  <si>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</si>
  <si>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</si>
  <si>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</si>
  <si>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</si>
  <si>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</si>
  <si>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</si>
  <si>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</si>
  <si>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</si>
  <si>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</si>
  <si>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</si>
  <si>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</si>
  <si>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</si>
  <si>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</si>
  <si>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</si>
  <si>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</si>
  <si>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</si>
  <si>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</si>
  <si>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</si>
  <si>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</si>
  <si>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</si>
  <si>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</si>
  <si>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</si>
  <si>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</si>
  <si>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</si>
  <si>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</si>
  <si>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</si>
  <si>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</si>
  <si>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</si>
  <si>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</si>
  <si>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</si>
  <si>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</si>
  <si>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</si>
  <si>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</si>
  <si>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</si>
  <si>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</si>
  <si>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</si>
  <si>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</si>
  <si>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</si>
  <si>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</si>
  <si>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</si>
  <si>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</si>
  <si>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</si>
  <si>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</si>
  <si>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</si>
  <si>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</si>
  <si>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</si>
  <si>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</si>
  <si>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</si>
  <si>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</si>
  <si>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</si>
  <si>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</si>
  <si>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</si>
  <si>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</si>
  <si>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</si>
  <si>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</si>
  <si>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</si>
  <si>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</si>
  <si>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</si>
  <si>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</si>
  <si>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</si>
  <si>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</si>
  <si>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</si>
  <si>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</si>
  <si>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</si>
  <si>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</si>
  <si>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</si>
  <si>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</si>
  <si>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</si>
  <si>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</si>
  <si>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</si>
  <si>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</si>
  <si>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</si>
  <si>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</si>
  <si>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</si>
  <si>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</si>
  <si>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</si>
  <si>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</si>
  <si>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</si>
  <si>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</si>
  <si>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</si>
  <si>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</si>
  <si>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</si>
  <si>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</si>
  <si>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</si>
  <si>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</si>
  <si>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</si>
  <si>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</si>
  <si>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</si>
  <si>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</si>
  <si>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</si>
  <si>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</si>
  <si>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</si>
  <si>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</si>
  <si>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</si>
  <si>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</si>
  <si>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</si>
  <si>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</si>
  <si>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</si>
  <si>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</si>
  <si>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</si>
  <si>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</si>
  <si>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</si>
  <si>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</si>
  <si>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</si>
  <si>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</si>
  <si>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</si>
  <si>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</si>
  <si>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</si>
  <si>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</si>
  <si>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</si>
  <si>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</si>
  <si>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</si>
  <si>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</si>
  <si>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</si>
  <si>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</si>
  <si>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</si>
  <si>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</si>
  <si>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</si>
  <si>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</si>
  <si>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</si>
  <si>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</si>
  <si>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</si>
  <si>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</si>
  <si>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</si>
  <si>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</si>
  <si>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</si>
  <si>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</si>
  <si>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</si>
  <si>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</si>
  <si>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</si>
  <si>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</si>
  <si>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</si>
  <si>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</si>
  <si>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</si>
  <si>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</si>
  <si>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</si>
  <si>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</si>
  <si>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</si>
  <si>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</si>
  <si>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</si>
  <si>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</si>
  <si>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</si>
  <si>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</si>
  <si>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</si>
  <si>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</si>
  <si>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</si>
  <si>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</si>
  <si>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</si>
  <si>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</si>
  <si>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</si>
  <si>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</si>
  <si>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</si>
  <si>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</si>
  <si>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</si>
  <si>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</si>
  <si>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</si>
  <si>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</si>
  <si>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</si>
  <si>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</si>
  <si>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</si>
  <si>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</si>
  <si>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</si>
  <si>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</si>
  <si>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</si>
  <si>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</si>
  <si>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</si>
  <si>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</si>
  <si>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</si>
  <si>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</si>
  <si>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</si>
  <si>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</si>
  <si>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</si>
  <si>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</si>
  <si>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</si>
  <si>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</si>
  <si>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</si>
  <si>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</si>
  <si>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</si>
  <si>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</si>
  <si>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</si>
  <si>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</si>
  <si>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</si>
  <si>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</si>
  <si>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</si>
  <si>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</si>
  <si>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</si>
  <si>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</si>
  <si>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</si>
  <si>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</si>
  <si>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</si>
  <si>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</si>
  <si>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</si>
  <si>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</si>
  <si>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</si>
  <si>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</si>
  <si>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</si>
  <si>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</si>
  <si>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</si>
  <si>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</si>
  <si>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</si>
  <si>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</si>
  <si>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</si>
  <si>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</si>
  <si>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</si>
  <si>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</si>
  <si>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</si>
  <si>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</si>
  <si>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</si>
  <si>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</si>
  <si>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</si>
  <si>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</si>
  <si>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</si>
  <si>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</si>
  <si>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</si>
  <si>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</si>
  <si>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</si>
  <si>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</si>
  <si>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</si>
  <si>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</si>
  <si>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</si>
  <si>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</si>
  <si>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</si>
  <si>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</si>
  <si>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</si>
  <si>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</si>
  <si>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</si>
  <si>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</si>
  <si>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</si>
  <si>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</si>
  <si>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</si>
  <si>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</si>
  <si>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</si>
  <si>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</si>
  <si>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</si>
  <si>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</si>
  <si>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</si>
  <si>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</si>
  <si>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</si>
  <si>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</si>
  <si>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</si>
  <si>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</si>
  <si>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</si>
  <si>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</si>
  <si>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</si>
  <si>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</si>
  <si>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</si>
  <si>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</si>
  <si>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</si>
  <si>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</si>
  <si>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</si>
  <si>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</si>
  <si>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</si>
  <si>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</si>
  <si>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</si>
  <si>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</si>
  <si>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</si>
  <si>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</si>
  <si>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</si>
  <si>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</si>
  <si>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</si>
  <si>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</si>
  <si>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</si>
  <si>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</si>
  <si>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</si>
  <si>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</si>
  <si>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</si>
  <si>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</si>
  <si>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</si>
  <si>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</si>
  <si>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vb</t>
  </si>
  <si>
    <t>1.1</t>
  </si>
  <si>
    <t>1.2</t>
  </si>
  <si>
    <t>1.3</t>
  </si>
  <si>
    <t>1.4</t>
  </si>
  <si>
    <t>1.5</t>
  </si>
  <si>
    <t>1.6</t>
  </si>
  <si>
    <t>Execução de baias</t>
  </si>
  <si>
    <t>1.0 - SERVIÇOS -</t>
  </si>
  <si>
    <t>1.7</t>
  </si>
  <si>
    <t>Estruturação e verticalização de Pilares roliços de tronco de eucalipto para apoio da estrutura LSF incluindo sapatas e concreto armado</t>
  </si>
  <si>
    <t>1.8</t>
  </si>
  <si>
    <t>1.9</t>
  </si>
  <si>
    <t>1.10</t>
  </si>
  <si>
    <t>Instalação de telha Shingle</t>
  </si>
  <si>
    <t>1.11</t>
  </si>
  <si>
    <t>1.12</t>
  </si>
  <si>
    <t>1.13</t>
  </si>
  <si>
    <t>Pintura em Stain das paredes externas em reguas de pinus.</t>
  </si>
  <si>
    <t>1.14</t>
  </si>
  <si>
    <t>Execução de drenagem das baias</t>
  </si>
  <si>
    <t>Instalação de um ponto de luz em cada baia e um ponto de luz em cada pilar de eucalipto. (O fornecimento das luminárias pelo cliente)</t>
  </si>
  <si>
    <t xml:space="preserve">Execução de cama de areia de 10cm </t>
  </si>
  <si>
    <t>1.15</t>
  </si>
  <si>
    <t>1.16</t>
  </si>
  <si>
    <t>1.17</t>
  </si>
  <si>
    <t>Pintura em Stain do cercado das baias.</t>
  </si>
  <si>
    <t>1.18</t>
  </si>
  <si>
    <t>Execução de cercado em todas a baias com 2 réguas de tábua e pilares de 12x12cm - fornecimento das réguas de tábua e pilares pelo cliente e fixadores pela VEKS Engenharia.</t>
  </si>
  <si>
    <t xml:space="preserve">Execução de um ponto hidraulico por baia para bebedouro </t>
  </si>
  <si>
    <t xml:space="preserve">Estrutura em Aço Galvanizado a frio (LSF) Z275 para área de cobertura e muretas.
Incluso todos os insumos como fixações, parafusos, etc. </t>
  </si>
  <si>
    <t>Pintura do aço estrutural LSF do telhado.</t>
  </si>
  <si>
    <t xml:space="preserve">Pintura e fornecimento de material Stain em portão de Pinus fornecido pelo cliente. </t>
  </si>
  <si>
    <t>Execução de Portão em Pinus - Sendo 2 por baia e fornecimento das madeiras pelo cliente.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</si>
  <si>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</si>
  <si>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</si>
  <si>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</si>
  <si>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t>Corredor de passagem com 2 metros de largura em concreto desempenado camurçado, incluso concreto.</t>
  </si>
  <si>
    <r>
      <t xml:space="preserve">Cliente: KABOCABANA
Obra: Baia (Sorocaba)
Proprietária: 
Projetos base orçamento:  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</si>
  <si>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 xml:space="preserve">Garantia sobre o serviço de 5 anos.
PRAZO de 110 dias trabalhados
Material faturamento direto em nome do cliente </t>
  </si>
  <si>
    <t>FORMA DE PAGAMENTO: entrada 15%, e demais pagamentos poderão ser realizados conforme medições da evolução dos serviços. Para isso, será elaborado um cronograma físico-financeiro, com previsão do fluxo de caixa.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</si>
</sst>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67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43" fontId="45" fillId="0" borderId="4" xfId="17" applyFont="1" applyBorder="1" applyAlignment="1" applyProtection="1">
      <alignment horizontal="center" vertical="center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44" fontId="10" fillId="0" borderId="0" xfId="6" applyNumberFormat="1" applyFont="1" applyBorder="1" applyAlignment="1" applyProtection="1">
      <alignment horizontal="left" vertical="center" wrapText="1" indent="1"/>
      <protection locked="0"/>
    </xf>
    <xf numFmtId="0" fontId="45" fillId="2" borderId="4" xfId="0" applyNumberFormat="1" applyFont="1" applyFill="1" applyBorder="1" applyAlignment="1">
      <alignment horizontal="left" vertical="center" wrapText="1"/>
    </xf>
    <xf numFmtId="44" fontId="45" fillId="2" borderId="4" xfId="10" applyFont="1" applyFill="1" applyBorder="1" applyAlignment="1" applyProtection="1">
      <alignment horizontal="center" vertical="center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  <xf numFmtId="167" fontId="59" fillId="19" borderId="20" xfId="0" applyFont="1" applyFill="1" applyBorder="1" applyAlignment="1" applyProtection="1">
      <alignment horizontal="center" vertical="center" wrapText="1"/>
      <protection locked="0"/>
    </xf>
    <xf numFmtId="167" fontId="59" fillId="19" borderId="10" xfId="0" applyFont="1" applyFill="1" applyBorder="1" applyAlignment="1" applyProtection="1">
      <alignment horizontal="center" vertical="center" wrapText="1"/>
      <protection locked="0"/>
    </xf>
    <xf numFmtId="167" fontId="59" fillId="19" borderId="21" xfId="0" applyFont="1" applyFill="1" applyBorder="1" applyAlignment="1" applyProtection="1">
      <alignment horizontal="center" vertical="center" wrapText="1"/>
      <protection locked="0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e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16</xdr:col>
      <xdr:colOff>76200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8615" y="195943"/>
          <a:ext cx="13687128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38</xdr:row>
      <xdr:rowOff>216380</xdr:rowOff>
    </xdr:from>
    <xdr:to>
      <xdr:col>14</xdr:col>
      <xdr:colOff>228921</xdr:colOff>
      <xdr:row>38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2800752</xdr:colOff>
      <xdr:row>3</xdr:row>
      <xdr:rowOff>1341824</xdr:rowOff>
    </xdr:from>
    <xdr:to>
      <xdr:col>2</xdr:col>
      <xdr:colOff>3009401</xdr:colOff>
      <xdr:row>3</xdr:row>
      <xdr:rowOff>1548770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723" y="3214167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137160</xdr:rowOff>
    </xdr:to>
    <xdr:sp macro="" textlink="">
      <xdr:nvSpPr>
        <xdr:cNvPr id="29697" name="AutoShape 1" descr="Sistema de drenagem da baia de leite">
          <a:extLst>
            <a:ext uri="{FF2B5EF4-FFF2-40B4-BE49-F238E27FC236}">
              <a16:creationId xmlns:a16="http://schemas.microsoft.com/office/drawing/2014/main" id="{20D65DE0-3829-849E-18D7-E05B028A52F9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23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39</xdr:row>
      <xdr:rowOff>45720</xdr:rowOff>
    </xdr:from>
    <xdr:to>
      <xdr:col>7</xdr:col>
      <xdr:colOff>1104900</xdr:colOff>
      <xdr:row>55</xdr:row>
      <xdr:rowOff>48160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C3E7-CD96-C324-48AF-027581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05600"/>
          <a:ext cx="7002780" cy="5199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3"/>
  <sheetViews>
    <sheetView showGridLines="0" tabSelected="1" view="pageBreakPreview" zoomScale="70" zoomScaleNormal="70" zoomScaleSheetLayoutView="70" zoomScalePageLayoutView="70" workbookViewId="0">
      <selection activeCell="M35" sqref="M35"/>
    </sheetView>
  </sheetViews>
  <sheetFormatPr defaultColWidth="9.109375" defaultRowHeight="13.2"/>
  <cols>
    <col min="1" max="1" width="2" style="171" customWidth="1"/>
    <col min="2" max="2" width="10.44140625" style="171" customWidth="1"/>
    <col min="3" max="3" width="99.77734375" style="171" customWidth="1"/>
    <col min="4" max="4" width="9.44140625" style="171" customWidth="1"/>
    <col min="5" max="5" width="9" style="229" customWidth="1"/>
    <col min="6" max="6" width="24" style="171" hidden="1" customWidth="1"/>
    <col min="7" max="7" width="24.5546875" style="171" hidden="1" customWidth="1"/>
    <col min="8" max="9" width="33.33203125" style="171" hidden="1" customWidth="1"/>
    <col min="10" max="10" width="24.5546875" style="171" hidden="1" customWidth="1"/>
    <col min="11" max="11" width="21.5546875" style="171" hidden="1" customWidth="1"/>
    <col min="12" max="12" width="17.109375" style="171" hidden="1" customWidth="1"/>
    <col min="13" max="13" width="21" style="171" customWidth="1"/>
    <col min="14" max="14" width="20.21875" style="171" customWidth="1"/>
    <col min="15" max="15" width="26" style="171" customWidth="1"/>
    <col min="16" max="16" width="2.5546875" style="171" customWidth="1"/>
    <col min="17" max="18" width="27.33203125" style="171" bestFit="1" customWidth="1"/>
    <col min="19" max="19" width="26.44140625" style="171" bestFit="1" customWidth="1"/>
    <col min="20" max="20" width="21.109375" style="171" bestFit="1" customWidth="1"/>
    <col min="21" max="21" width="18.33203125" style="171" customWidth="1"/>
    <col min="22" max="22" width="23" style="171" hidden="1" customWidth="1"/>
    <col min="23" max="23" width="17.109375" style="171" hidden="1" customWidth="1"/>
    <col min="24" max="24" width="13" style="171" bestFit="1" customWidth="1"/>
    <col min="25" max="31" width="18.6640625" style="171" customWidth="1"/>
    <col min="32" max="33" width="9.109375" style="171"/>
    <col min="34" max="34" width="12" style="171" bestFit="1" customWidth="1"/>
    <col min="35" max="35" width="12.6640625" style="171" bestFit="1" customWidth="1"/>
    <col min="36" max="36" width="12.33203125" style="171" bestFit="1" customWidth="1"/>
    <col min="37" max="37" width="15.33203125" style="171" bestFit="1" customWidth="1"/>
    <col min="38" max="16384" width="9.109375" style="171"/>
  </cols>
  <sheetData>
    <row r="1" spans="1:37" ht="13.8" thickBot="1">
      <c r="A1" s="170"/>
      <c r="B1" s="390"/>
      <c r="C1" s="390"/>
      <c r="D1" s="390"/>
      <c r="E1" s="390"/>
      <c r="Q1" s="170"/>
    </row>
    <row r="2" spans="1:37" ht="115.5" customHeight="1" thickBot="1">
      <c r="B2" s="391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3"/>
      <c r="P2" s="172"/>
      <c r="Q2" s="173"/>
    </row>
    <row r="3" spans="1:37" s="174" customFormat="1" ht="18.75" customHeight="1" thickBot="1">
      <c r="A3" s="171"/>
      <c r="B3" s="394" t="s">
        <v>108</v>
      </c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6"/>
      <c r="P3" s="237"/>
      <c r="Q3" s="379" t="s">
        <v>91</v>
      </c>
      <c r="R3" s="379"/>
      <c r="S3" s="379"/>
      <c r="T3" s="379"/>
      <c r="U3" s="379"/>
      <c r="V3" s="379"/>
      <c r="W3" s="379"/>
      <c r="Y3" s="379" t="s">
        <v>92</v>
      </c>
      <c r="Z3" s="379"/>
      <c r="AA3" s="379"/>
      <c r="AB3" s="379"/>
      <c r="AC3" s="379"/>
      <c r="AD3" s="379"/>
      <c r="AE3" s="379"/>
    </row>
    <row r="4" spans="1:37" ht="132" customHeight="1" thickBot="1">
      <c r="B4" s="380" t="s">
        <v>419</v>
      </c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2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2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" thickBot="1">
      <c r="B6" s="387" t="s">
        <v>389</v>
      </c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9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7.399999999999999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83" t="s">
        <v>3</v>
      </c>
      <c r="R7" s="384"/>
      <c r="S7" s="384"/>
      <c r="T7" s="384"/>
      <c r="U7" s="384"/>
      <c r="V7" s="384"/>
      <c r="W7" s="385"/>
      <c r="Y7" s="184"/>
      <c r="Z7" s="386" t="s">
        <v>3</v>
      </c>
      <c r="AA7" s="386"/>
      <c r="AB7" s="386"/>
      <c r="AC7" s="386"/>
      <c r="AD7" s="386"/>
      <c r="AE7" s="386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1.8" thickBot="1">
      <c r="B8" s="356" t="s">
        <v>0</v>
      </c>
      <c r="C8" s="343" t="s">
        <v>114</v>
      </c>
      <c r="D8" s="343" t="s">
        <v>72</v>
      </c>
      <c r="E8" s="344" t="s">
        <v>73</v>
      </c>
      <c r="F8" s="345" t="s">
        <v>110</v>
      </c>
      <c r="G8" s="345" t="s">
        <v>109</v>
      </c>
      <c r="H8" s="345" t="s">
        <v>95</v>
      </c>
      <c r="I8" s="345" t="s">
        <v>111</v>
      </c>
      <c r="J8" s="345" t="s">
        <v>74</v>
      </c>
      <c r="K8" s="345" t="s">
        <v>112</v>
      </c>
      <c r="L8" s="345" t="s">
        <v>113</v>
      </c>
      <c r="M8" s="346" t="s">
        <v>275</v>
      </c>
      <c r="N8" s="346" t="s">
        <v>276</v>
      </c>
      <c r="O8" s="357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7">
        <v>1</v>
      </c>
      <c r="C9" s="348" t="s">
        <v>388</v>
      </c>
      <c r="D9" s="348"/>
      <c r="E9" s="349"/>
      <c r="F9" s="350"/>
      <c r="G9" s="350"/>
      <c r="H9" s="350"/>
      <c r="I9" s="350"/>
      <c r="J9" s="350"/>
      <c r="K9" s="351"/>
      <c r="L9" s="351"/>
      <c r="M9" s="351"/>
      <c r="N9" s="351"/>
      <c r="O9" s="352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9.4" customHeight="1">
      <c r="B10" s="361" t="s">
        <v>382</v>
      </c>
      <c r="C10" s="365" t="s">
        <v>411</v>
      </c>
      <c r="D10" s="240" t="s">
        <v>381</v>
      </c>
      <c r="E10" s="241">
        <v>1</v>
      </c>
      <c r="F10" s="239">
        <f>((19250*13.5)*1.07)+15000</f>
        <v>293066.25</v>
      </c>
      <c r="G10" s="358">
        <f>7*19250</f>
        <v>134750</v>
      </c>
      <c r="H10" s="358">
        <f>ROUND(F10*E10,2)</f>
        <v>293066.25</v>
      </c>
      <c r="I10" s="358">
        <f t="shared" ref="I10" si="0">ROUND(G10*E10,2)</f>
        <v>134750</v>
      </c>
      <c r="J10" s="358">
        <f>ROUND((F10+G10)*E10,2)</f>
        <v>427816.25</v>
      </c>
      <c r="K10" s="358">
        <f t="shared" ref="K10:K27" si="1">U10</f>
        <v>390755</v>
      </c>
      <c r="L10" s="358">
        <f t="shared" ref="L10:L27" si="2">AC10</f>
        <v>228389.83050847458</v>
      </c>
      <c r="M10" s="359">
        <f>ROUND(K10*E10,2)</f>
        <v>390755</v>
      </c>
      <c r="N10" s="359">
        <f t="shared" ref="N10:N19" si="3">ROUND(L10*E10,2)</f>
        <v>228389.83</v>
      </c>
      <c r="O10" s="362">
        <f>ROUND((K10+L10)*E10,2)</f>
        <v>619144.82999999996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27" si="4">F10</f>
        <v>293066.25</v>
      </c>
      <c r="U10" s="211">
        <f t="shared" ref="U10:U27" si="5">T10/(1-S10-R10)</f>
        <v>390755</v>
      </c>
      <c r="V10" s="211">
        <f t="shared" ref="V10:V27" si="6">U10*R10</f>
        <v>0</v>
      </c>
      <c r="W10" s="211">
        <f t="shared" ref="W10:W27" si="7">U10-V10-T10</f>
        <v>97688.75</v>
      </c>
      <c r="Y10" s="188">
        <f t="shared" ref="Y10:Y19" si="8">(L10/G10)-1</f>
        <v>0.69491525423728806</v>
      </c>
      <c r="Z10" s="189">
        <v>0.13</v>
      </c>
      <c r="AA10" s="190">
        <v>0.28000000000000003</v>
      </c>
      <c r="AB10" s="191">
        <f t="shared" ref="AB10:AB27" si="9">G10</f>
        <v>134750</v>
      </c>
      <c r="AC10" s="192">
        <f t="shared" ref="AC10:AC27" si="10">AB10/(1-AA10-Z10)</f>
        <v>228389.83050847458</v>
      </c>
      <c r="AD10" s="192">
        <f t="shared" ref="AD10:AD27" si="11">AC10*Z10</f>
        <v>29690.677966101695</v>
      </c>
      <c r="AE10" s="192">
        <f t="shared" ref="AE10:AE27" si="12">AC10-AD10-AB10</f>
        <v>63949.152542372874</v>
      </c>
      <c r="AH10" s="193"/>
      <c r="AI10" s="193"/>
      <c r="AJ10" s="193"/>
      <c r="AK10" s="193"/>
    </row>
    <row r="11" spans="1:37" s="185" customFormat="1" ht="15.6">
      <c r="B11" s="361" t="s">
        <v>383</v>
      </c>
      <c r="C11" s="365" t="s">
        <v>412</v>
      </c>
      <c r="D11" s="240" t="s">
        <v>245</v>
      </c>
      <c r="E11" s="241">
        <f>1700/2</f>
        <v>850</v>
      </c>
      <c r="F11" s="242">
        <v>0</v>
      </c>
      <c r="G11" s="358">
        <v>35</v>
      </c>
      <c r="H11" s="358">
        <f t="shared" ref="H11:H15" si="13">ROUND(F11*E11,2)</f>
        <v>0</v>
      </c>
      <c r="I11" s="358">
        <f>ROUND(G11*E11,2)</f>
        <v>29750</v>
      </c>
      <c r="J11" s="358">
        <f t="shared" ref="J11:J14" si="14">ROUND((F11+G11)*E11,2)</f>
        <v>29750</v>
      </c>
      <c r="K11" s="358">
        <f t="shared" si="1"/>
        <v>0</v>
      </c>
      <c r="L11" s="358">
        <f t="shared" si="2"/>
        <v>59.322033898305087</v>
      </c>
      <c r="M11" s="359">
        <f t="shared" ref="M11:M19" si="15">ROUND(K11*E11,2)</f>
        <v>0</v>
      </c>
      <c r="N11" s="359">
        <f t="shared" si="3"/>
        <v>50423.73</v>
      </c>
      <c r="O11" s="362">
        <f>ROUND((K11+L11)*E11,2)</f>
        <v>50423.73</v>
      </c>
      <c r="P11" s="187"/>
      <c r="Q11" s="188" t="e">
        <f t="shared" ref="Q11" si="16">(K11/F11)-1</f>
        <v>#DIV/0!</v>
      </c>
      <c r="R11" s="189"/>
      <c r="S11" s="190">
        <v>0.2</v>
      </c>
      <c r="T11" s="210">
        <f t="shared" si="4"/>
        <v>0</v>
      </c>
      <c r="U11" s="211">
        <f t="shared" si="5"/>
        <v>0</v>
      </c>
      <c r="V11" s="211">
        <f t="shared" si="6"/>
        <v>0</v>
      </c>
      <c r="W11" s="211">
        <f t="shared" si="7"/>
        <v>0</v>
      </c>
      <c r="Y11" s="188">
        <f t="shared" si="8"/>
        <v>0.69491525423728828</v>
      </c>
      <c r="Z11" s="189">
        <v>0.13</v>
      </c>
      <c r="AA11" s="190">
        <v>0.28000000000000003</v>
      </c>
      <c r="AB11" s="191">
        <f t="shared" si="9"/>
        <v>35</v>
      </c>
      <c r="AC11" s="192">
        <f t="shared" si="10"/>
        <v>59.322033898305087</v>
      </c>
      <c r="AD11" s="192">
        <f t="shared" si="11"/>
        <v>7.7118644067796618</v>
      </c>
      <c r="AE11" s="192">
        <f t="shared" si="12"/>
        <v>16.610169491525426</v>
      </c>
      <c r="AH11" s="193"/>
      <c r="AI11" s="193"/>
      <c r="AJ11" s="193"/>
      <c r="AK11" s="193"/>
    </row>
    <row r="12" spans="1:37" s="185" customFormat="1" ht="15.6">
      <c r="B12" s="361" t="s">
        <v>384</v>
      </c>
      <c r="C12" s="365" t="s">
        <v>413</v>
      </c>
      <c r="D12" s="240" t="s">
        <v>245</v>
      </c>
      <c r="E12" s="241">
        <f>230/2</f>
        <v>115</v>
      </c>
      <c r="F12" s="242">
        <v>800</v>
      </c>
      <c r="G12" s="358">
        <v>35</v>
      </c>
      <c r="H12" s="358">
        <f>ROUND(F12,2)</f>
        <v>800</v>
      </c>
      <c r="I12" s="358">
        <f t="shared" ref="I12" si="17">ROUND(G12*E12,2)</f>
        <v>4025</v>
      </c>
      <c r="J12" s="358">
        <f t="shared" ref="J12:J13" si="18">ROUND((F12+G12)*E12,2)</f>
        <v>96025</v>
      </c>
      <c r="K12" s="358">
        <f t="shared" ref="K12:K13" si="19">U12</f>
        <v>1000</v>
      </c>
      <c r="L12" s="358">
        <f t="shared" ref="L12:L13" si="20">AC12</f>
        <v>59.322033898305087</v>
      </c>
      <c r="M12" s="359">
        <f t="shared" ref="M12:M13" si="21">ROUND(K12*E12,2)</f>
        <v>115000</v>
      </c>
      <c r="N12" s="359">
        <f t="shared" ref="N12:N13" si="22">ROUND(L12*E12,2)</f>
        <v>6822.03</v>
      </c>
      <c r="O12" s="362">
        <f t="shared" ref="O12" si="23">ROUND((K12+L12)*E12,2)</f>
        <v>121822.03</v>
      </c>
      <c r="P12" s="187"/>
      <c r="Q12" s="188">
        <f t="shared" ref="Q12:Q13" si="24">(K12/F12)-1</f>
        <v>0.25</v>
      </c>
      <c r="R12" s="189"/>
      <c r="S12" s="190">
        <v>0.2</v>
      </c>
      <c r="T12" s="210">
        <f t="shared" ref="T12:T13" si="25">F12</f>
        <v>800</v>
      </c>
      <c r="U12" s="211">
        <f t="shared" ref="U12:U13" si="26">T12/(1-S12-R12)</f>
        <v>1000</v>
      </c>
      <c r="V12" s="211">
        <f t="shared" ref="V12:V13" si="27">U12*R12</f>
        <v>0</v>
      </c>
      <c r="W12" s="211">
        <f t="shared" ref="W12:W13" si="28">U12-V12-T12</f>
        <v>200</v>
      </c>
      <c r="Y12" s="188">
        <f t="shared" ref="Y12:Y13" si="29">(L12/G12)-1</f>
        <v>0.69491525423728828</v>
      </c>
      <c r="Z12" s="189">
        <v>0.13</v>
      </c>
      <c r="AA12" s="190">
        <v>0.28000000000000003</v>
      </c>
      <c r="AB12" s="191">
        <f t="shared" ref="AB12:AB13" si="30">G12</f>
        <v>35</v>
      </c>
      <c r="AC12" s="192">
        <f t="shared" ref="AC12:AC13" si="31">AB12/(1-AA12-Z12)</f>
        <v>59.322033898305087</v>
      </c>
      <c r="AD12" s="192">
        <f t="shared" ref="AD12:AD13" si="32">AC12*Z12</f>
        <v>7.7118644067796618</v>
      </c>
      <c r="AE12" s="192">
        <f t="shared" ref="AE12:AE13" si="33">AC12-AD12-AB12</f>
        <v>16.610169491525426</v>
      </c>
      <c r="AH12" s="193"/>
      <c r="AI12" s="193"/>
      <c r="AJ12" s="193"/>
      <c r="AK12" s="193"/>
    </row>
    <row r="13" spans="1:37" s="185" customFormat="1" ht="15.6">
      <c r="B13" s="361" t="s">
        <v>385</v>
      </c>
      <c r="C13" s="365" t="s">
        <v>414</v>
      </c>
      <c r="D13" s="240" t="s">
        <v>380</v>
      </c>
      <c r="E13" s="241">
        <f>22*2</f>
        <v>44</v>
      </c>
      <c r="F13" s="242">
        <v>0</v>
      </c>
      <c r="G13" s="358">
        <v>350</v>
      </c>
      <c r="H13" s="358">
        <f t="shared" si="13"/>
        <v>0</v>
      </c>
      <c r="I13" s="358">
        <f t="shared" ref="I13:I20" si="34">ROUND(G13*E13,2)</f>
        <v>15400</v>
      </c>
      <c r="J13" s="358">
        <f t="shared" si="18"/>
        <v>15400</v>
      </c>
      <c r="K13" s="358">
        <f t="shared" si="19"/>
        <v>0</v>
      </c>
      <c r="L13" s="358">
        <f t="shared" si="20"/>
        <v>593.22033898305085</v>
      </c>
      <c r="M13" s="359">
        <f t="shared" si="21"/>
        <v>0</v>
      </c>
      <c r="N13" s="359">
        <f t="shared" si="22"/>
        <v>26101.69</v>
      </c>
      <c r="O13" s="362">
        <f>ROUND((K13+L13)*E13,2)</f>
        <v>26101.69</v>
      </c>
      <c r="P13" s="187"/>
      <c r="Q13" s="188" t="e">
        <f t="shared" si="24"/>
        <v>#DIV/0!</v>
      </c>
      <c r="R13" s="189"/>
      <c r="S13" s="190">
        <v>0.2</v>
      </c>
      <c r="T13" s="210">
        <f t="shared" si="25"/>
        <v>0</v>
      </c>
      <c r="U13" s="211">
        <f t="shared" si="26"/>
        <v>0</v>
      </c>
      <c r="V13" s="211">
        <f t="shared" si="27"/>
        <v>0</v>
      </c>
      <c r="W13" s="211">
        <f t="shared" si="28"/>
        <v>0</v>
      </c>
      <c r="Y13" s="188">
        <f t="shared" si="29"/>
        <v>0.69491525423728806</v>
      </c>
      <c r="Z13" s="189">
        <v>0.13</v>
      </c>
      <c r="AA13" s="190">
        <v>0.28000000000000003</v>
      </c>
      <c r="AB13" s="191">
        <f t="shared" si="30"/>
        <v>350</v>
      </c>
      <c r="AC13" s="192">
        <f t="shared" si="31"/>
        <v>593.22033898305085</v>
      </c>
      <c r="AD13" s="192">
        <f t="shared" si="32"/>
        <v>77.118644067796609</v>
      </c>
      <c r="AE13" s="192">
        <f t="shared" si="33"/>
        <v>166.10169491525426</v>
      </c>
      <c r="AH13" s="193"/>
      <c r="AI13" s="193"/>
      <c r="AJ13" s="193"/>
      <c r="AK13" s="193"/>
    </row>
    <row r="14" spans="1:37" s="185" customFormat="1" ht="34.799999999999997" customHeight="1">
      <c r="B14" s="361" t="s">
        <v>386</v>
      </c>
      <c r="C14" s="365" t="s">
        <v>415</v>
      </c>
      <c r="D14" s="240" t="s">
        <v>245</v>
      </c>
      <c r="E14" s="241">
        <v>900</v>
      </c>
      <c r="F14" s="242">
        <v>0</v>
      </c>
      <c r="G14" s="358">
        <v>45</v>
      </c>
      <c r="H14" s="358">
        <f t="shared" si="13"/>
        <v>0</v>
      </c>
      <c r="I14" s="358">
        <f t="shared" si="34"/>
        <v>40500</v>
      </c>
      <c r="J14" s="358">
        <f t="shared" si="14"/>
        <v>40500</v>
      </c>
      <c r="K14" s="358">
        <f t="shared" si="1"/>
        <v>0</v>
      </c>
      <c r="L14" s="358">
        <f t="shared" si="2"/>
        <v>76.271186440677965</v>
      </c>
      <c r="M14" s="359">
        <f t="shared" si="15"/>
        <v>0</v>
      </c>
      <c r="N14" s="359">
        <f t="shared" si="3"/>
        <v>68644.070000000007</v>
      </c>
      <c r="O14" s="362">
        <f t="shared" ref="O14:O19" si="35">ROUND((K14+L14)*E14,2)</f>
        <v>68644.070000000007</v>
      </c>
      <c r="P14" s="187"/>
      <c r="Q14" s="188" t="e">
        <f t="shared" ref="Q14:Q27" si="36">(K14/F14)-1</f>
        <v>#DIV/0!</v>
      </c>
      <c r="R14" s="189"/>
      <c r="S14" s="190">
        <v>0.2</v>
      </c>
      <c r="T14" s="210">
        <f t="shared" si="4"/>
        <v>0</v>
      </c>
      <c r="U14" s="211">
        <f t="shared" si="5"/>
        <v>0</v>
      </c>
      <c r="V14" s="211">
        <f t="shared" si="6"/>
        <v>0</v>
      </c>
      <c r="W14" s="211">
        <f t="shared" si="7"/>
        <v>0</v>
      </c>
      <c r="Y14" s="188">
        <f t="shared" si="8"/>
        <v>0.69491525423728806</v>
      </c>
      <c r="Z14" s="189">
        <v>0.13</v>
      </c>
      <c r="AA14" s="190">
        <v>0.28000000000000003</v>
      </c>
      <c r="AB14" s="191">
        <f t="shared" si="9"/>
        <v>45</v>
      </c>
      <c r="AC14" s="192">
        <f>AB14/(1-AA14-Z14)</f>
        <v>76.271186440677965</v>
      </c>
      <c r="AD14" s="192">
        <f t="shared" si="11"/>
        <v>9.9152542372881367</v>
      </c>
      <c r="AE14" s="192">
        <f t="shared" si="12"/>
        <v>21.355932203389827</v>
      </c>
      <c r="AH14" s="193"/>
      <c r="AI14" s="193"/>
      <c r="AJ14" s="193"/>
      <c r="AK14" s="193"/>
    </row>
    <row r="15" spans="1:37" s="185" customFormat="1" ht="25.2">
      <c r="B15" s="361" t="s">
        <v>387</v>
      </c>
      <c r="C15" s="367" t="s">
        <v>416</v>
      </c>
      <c r="D15" s="240" t="s">
        <v>245</v>
      </c>
      <c r="E15" s="241">
        <v>660</v>
      </c>
      <c r="F15" s="242">
        <v>0</v>
      </c>
      <c r="G15" s="358">
        <v>45</v>
      </c>
      <c r="H15" s="358">
        <f t="shared" si="13"/>
        <v>0</v>
      </c>
      <c r="I15" s="358">
        <f t="shared" si="34"/>
        <v>29700</v>
      </c>
      <c r="J15" s="358">
        <f t="shared" ref="J15" si="37">ROUND((F15+G15)*E15,2)</f>
        <v>29700</v>
      </c>
      <c r="K15" s="358">
        <f t="shared" ref="K15" si="38">U15</f>
        <v>0</v>
      </c>
      <c r="L15" s="358">
        <f t="shared" ref="L15" si="39">AC15</f>
        <v>76.271186440677965</v>
      </c>
      <c r="M15" s="359">
        <f t="shared" ref="M15" si="40">ROUND(K15*E15,2)</f>
        <v>0</v>
      </c>
      <c r="N15" s="359">
        <f t="shared" ref="N15" si="41">ROUND(L15*E15,2)</f>
        <v>50338.98</v>
      </c>
      <c r="O15" s="362">
        <f>ROUND((K15+L15)*E15,2)</f>
        <v>50338.98</v>
      </c>
      <c r="P15" s="187"/>
      <c r="Q15" s="188" t="e">
        <f t="shared" ref="Q15" si="42">(K15/F15)-1</f>
        <v>#DIV/0!</v>
      </c>
      <c r="R15" s="189"/>
      <c r="S15" s="190">
        <v>0.2</v>
      </c>
      <c r="T15" s="210">
        <f t="shared" ref="T15" si="43">F15</f>
        <v>0</v>
      </c>
      <c r="U15" s="211">
        <f t="shared" ref="U15" si="44">T15/(1-S15-R15)</f>
        <v>0</v>
      </c>
      <c r="V15" s="211">
        <f t="shared" ref="V15" si="45">U15*R15</f>
        <v>0</v>
      </c>
      <c r="W15" s="211">
        <f t="shared" ref="W15" si="46">U15-V15-T15</f>
        <v>0</v>
      </c>
      <c r="Y15" s="188">
        <f t="shared" ref="Y15" si="47">(L15/G15)-1</f>
        <v>0.69491525423728806</v>
      </c>
      <c r="Z15" s="189">
        <v>0.13</v>
      </c>
      <c r="AA15" s="190">
        <v>0.28000000000000003</v>
      </c>
      <c r="AB15" s="191">
        <f t="shared" ref="AB15" si="48">G15</f>
        <v>45</v>
      </c>
      <c r="AC15" s="192">
        <f>AB15/(1-AA15-Z15)</f>
        <v>76.271186440677965</v>
      </c>
      <c r="AD15" s="192">
        <f t="shared" ref="AD15" si="49">AC15*Z15</f>
        <v>9.9152542372881367</v>
      </c>
      <c r="AE15" s="192">
        <f t="shared" ref="AE15" si="50">AC15-AD15-AB15</f>
        <v>21.355932203389827</v>
      </c>
      <c r="AH15" s="193"/>
      <c r="AI15" s="193"/>
      <c r="AJ15" s="193"/>
      <c r="AK15" s="193"/>
    </row>
    <row r="16" spans="1:37" s="185" customFormat="1" ht="31.2" customHeight="1">
      <c r="B16" s="361" t="s">
        <v>390</v>
      </c>
      <c r="C16" s="365" t="s">
        <v>417</v>
      </c>
      <c r="D16" s="240" t="s">
        <v>381</v>
      </c>
      <c r="E16" s="241">
        <f>E14</f>
        <v>900</v>
      </c>
      <c r="F16" s="242">
        <v>0</v>
      </c>
      <c r="G16" s="358">
        <v>45</v>
      </c>
      <c r="H16" s="358">
        <f t="shared" ref="H16" si="51">ROUND(F16*E16,2)</f>
        <v>0</v>
      </c>
      <c r="I16" s="358">
        <f t="shared" si="34"/>
        <v>40500</v>
      </c>
      <c r="J16" s="358">
        <f t="shared" ref="J16" si="52">ROUND((F16+G16)*E16,2)</f>
        <v>40500</v>
      </c>
      <c r="K16" s="358">
        <f t="shared" ref="K16" si="53">U16</f>
        <v>0</v>
      </c>
      <c r="L16" s="358">
        <f t="shared" ref="L16" si="54">AC16</f>
        <v>76.271186440677965</v>
      </c>
      <c r="M16" s="359">
        <f t="shared" ref="M16" si="55">ROUND(K16*E16,2)</f>
        <v>0</v>
      </c>
      <c r="N16" s="359">
        <f t="shared" ref="N16" si="56">ROUND(L16*E16,2)</f>
        <v>68644.070000000007</v>
      </c>
      <c r="O16" s="362">
        <f t="shared" ref="O16" si="57">ROUND((K16+L16)*E16,2)</f>
        <v>68644.070000000007</v>
      </c>
      <c r="P16" s="187"/>
      <c r="Q16" s="188" t="e">
        <f t="shared" ref="Q16" si="58">(K16/F16)-1</f>
        <v>#DIV/0!</v>
      </c>
      <c r="R16" s="189"/>
      <c r="S16" s="190">
        <v>0.2</v>
      </c>
      <c r="T16" s="210">
        <f t="shared" ref="T16" si="59">F16</f>
        <v>0</v>
      </c>
      <c r="U16" s="211">
        <f t="shared" ref="U16" si="60">T16/(1-S16-R16)</f>
        <v>0</v>
      </c>
      <c r="V16" s="211">
        <f t="shared" ref="V16" si="61">U16*R16</f>
        <v>0</v>
      </c>
      <c r="W16" s="211">
        <f t="shared" ref="W16" si="62">U16-V16-T16</f>
        <v>0</v>
      </c>
      <c r="Y16" s="188">
        <f t="shared" ref="Y16" si="63">(L16/G16)-1</f>
        <v>0.69491525423728806</v>
      </c>
      <c r="Z16" s="189">
        <v>0.13</v>
      </c>
      <c r="AA16" s="190">
        <v>0.28000000000000003</v>
      </c>
      <c r="AB16" s="191">
        <f t="shared" ref="AB16" si="64">G16</f>
        <v>45</v>
      </c>
      <c r="AC16" s="192">
        <f t="shared" ref="AC16" si="65">AB16/(1-AA16-Z16)</f>
        <v>76.271186440677965</v>
      </c>
      <c r="AD16" s="192">
        <f t="shared" ref="AD16" si="66">AC16*Z16</f>
        <v>9.9152542372881367</v>
      </c>
      <c r="AE16" s="192">
        <f t="shared" ref="AE16" si="67">AC16-AD16-AB16</f>
        <v>21.355932203389827</v>
      </c>
      <c r="AH16" s="193"/>
      <c r="AI16" s="193"/>
      <c r="AJ16" s="193"/>
      <c r="AK16" s="193"/>
    </row>
    <row r="17" spans="1:37" s="185" customFormat="1" ht="31.2" customHeight="1">
      <c r="B17" s="361" t="s">
        <v>392</v>
      </c>
      <c r="C17" s="365" t="s">
        <v>399</v>
      </c>
      <c r="D17" s="240" t="s">
        <v>245</v>
      </c>
      <c r="E17" s="241">
        <v>660</v>
      </c>
      <c r="F17" s="242">
        <v>800</v>
      </c>
      <c r="G17" s="358">
        <v>30</v>
      </c>
      <c r="H17" s="358">
        <f>ROUND(F17,2)</f>
        <v>800</v>
      </c>
      <c r="I17" s="358">
        <f t="shared" si="34"/>
        <v>19800</v>
      </c>
      <c r="J17" s="358">
        <f>ROUND((H17+I17),2)</f>
        <v>20600</v>
      </c>
      <c r="K17" s="358">
        <f t="shared" ref="K17" si="68">U17</f>
        <v>1000</v>
      </c>
      <c r="L17" s="358">
        <f t="shared" ref="L17" si="69">AC17</f>
        <v>50.847457627118644</v>
      </c>
      <c r="M17" s="359">
        <f>ROUND(K17,2)</f>
        <v>1000</v>
      </c>
      <c r="N17" s="359">
        <f>ROUND(L17*E17,2)</f>
        <v>33559.32</v>
      </c>
      <c r="O17" s="362">
        <f>ROUND(N17+M17,2)</f>
        <v>34559.32</v>
      </c>
      <c r="P17" s="187"/>
      <c r="Q17" s="188">
        <f t="shared" ref="Q17" si="70">(K17/F17)-1</f>
        <v>0.25</v>
      </c>
      <c r="R17" s="189"/>
      <c r="S17" s="190">
        <v>0.2</v>
      </c>
      <c r="T17" s="210">
        <f t="shared" ref="T17" si="71">F17</f>
        <v>800</v>
      </c>
      <c r="U17" s="211">
        <f t="shared" ref="U17" si="72">T17/(1-S17-R17)</f>
        <v>1000</v>
      </c>
      <c r="V17" s="211"/>
      <c r="W17" s="211"/>
      <c r="Y17" s="188">
        <f t="shared" ref="Y17" si="73">(L17/G17)-1</f>
        <v>0.69491525423728806</v>
      </c>
      <c r="Z17" s="189">
        <v>0.13</v>
      </c>
      <c r="AA17" s="190">
        <v>0.28000000000000003</v>
      </c>
      <c r="AB17" s="191">
        <f t="shared" ref="AB17" si="74">G17</f>
        <v>30</v>
      </c>
      <c r="AC17" s="192">
        <f t="shared" ref="AC17" si="75">AB17/(1-AA17-Z17)</f>
        <v>50.847457627118644</v>
      </c>
      <c r="AD17" s="192">
        <f t="shared" ref="AD17" si="76">AC17*Z17</f>
        <v>6.6101694915254239</v>
      </c>
      <c r="AE17" s="192">
        <f t="shared" ref="AE17" si="77">AC17-AD17-AB17</f>
        <v>14.237288135593218</v>
      </c>
      <c r="AH17" s="193"/>
      <c r="AI17" s="193"/>
      <c r="AJ17" s="193"/>
      <c r="AK17" s="193"/>
    </row>
    <row r="18" spans="1:37" s="185" customFormat="1" ht="31.2" customHeight="1">
      <c r="B18" s="361" t="s">
        <v>393</v>
      </c>
      <c r="C18" s="365" t="s">
        <v>391</v>
      </c>
      <c r="D18" s="240" t="s">
        <v>381</v>
      </c>
      <c r="E18" s="241">
        <v>44</v>
      </c>
      <c r="F18" s="242">
        <v>0</v>
      </c>
      <c r="G18" s="358">
        <f>(50000/2)/44</f>
        <v>568.18181818181813</v>
      </c>
      <c r="H18" s="358">
        <f t="shared" ref="H18" si="78">ROUND(F18*E18,2)</f>
        <v>0</v>
      </c>
      <c r="I18" s="358">
        <f t="shared" si="34"/>
        <v>25000</v>
      </c>
      <c r="J18" s="358">
        <f>ROUND((F18+G18)*E18,2)</f>
        <v>25000</v>
      </c>
      <c r="K18" s="358">
        <f t="shared" si="1"/>
        <v>0</v>
      </c>
      <c r="L18" s="358">
        <f t="shared" si="2"/>
        <v>963.020030816641</v>
      </c>
      <c r="M18" s="359">
        <f t="shared" si="15"/>
        <v>0</v>
      </c>
      <c r="N18" s="359">
        <f t="shared" si="3"/>
        <v>42372.88</v>
      </c>
      <c r="O18" s="362">
        <f t="shared" si="35"/>
        <v>42372.88</v>
      </c>
      <c r="P18" s="187"/>
      <c r="Q18" s="188" t="e">
        <f t="shared" si="36"/>
        <v>#DIV/0!</v>
      </c>
      <c r="R18" s="189"/>
      <c r="S18" s="190">
        <v>0.2</v>
      </c>
      <c r="T18" s="210">
        <f t="shared" si="4"/>
        <v>0</v>
      </c>
      <c r="U18" s="211">
        <f t="shared" si="5"/>
        <v>0</v>
      </c>
      <c r="V18" s="211">
        <f t="shared" si="6"/>
        <v>0</v>
      </c>
      <c r="W18" s="211">
        <f t="shared" si="7"/>
        <v>0</v>
      </c>
      <c r="Y18" s="188">
        <f t="shared" si="8"/>
        <v>0.69491525423728828</v>
      </c>
      <c r="Z18" s="189">
        <v>0.13</v>
      </c>
      <c r="AA18" s="190">
        <v>0.28000000000000003</v>
      </c>
      <c r="AB18" s="191">
        <f t="shared" si="9"/>
        <v>568.18181818181813</v>
      </c>
      <c r="AC18" s="192">
        <f t="shared" si="10"/>
        <v>963.020030816641</v>
      </c>
      <c r="AD18" s="192">
        <f t="shared" si="11"/>
        <v>125.19260400616334</v>
      </c>
      <c r="AE18" s="192">
        <f t="shared" si="12"/>
        <v>269.64560862865949</v>
      </c>
      <c r="AH18" s="193"/>
      <c r="AI18" s="193"/>
      <c r="AJ18" s="193"/>
      <c r="AK18" s="193"/>
    </row>
    <row r="19" spans="1:37" s="185" customFormat="1" ht="31.2" customHeight="1">
      <c r="B19" s="361" t="s">
        <v>394</v>
      </c>
      <c r="C19" s="365" t="s">
        <v>418</v>
      </c>
      <c r="D19" s="240" t="s">
        <v>381</v>
      </c>
      <c r="E19" s="241">
        <v>1</v>
      </c>
      <c r="F19" s="242">
        <f>(220*0.15)*550+1500</f>
        <v>19650</v>
      </c>
      <c r="G19" s="358">
        <f>(220*25)+2500</f>
        <v>8000</v>
      </c>
      <c r="H19" s="358">
        <f>ROUND(F19*E19,2)</f>
        <v>19650</v>
      </c>
      <c r="I19" s="358">
        <f t="shared" si="34"/>
        <v>8000</v>
      </c>
      <c r="J19" s="358">
        <f>ROUND((F19+G19)*E19,2)</f>
        <v>27650</v>
      </c>
      <c r="K19" s="358">
        <f>U19</f>
        <v>24562.5</v>
      </c>
      <c r="L19" s="358">
        <f t="shared" si="2"/>
        <v>13559.322033898306</v>
      </c>
      <c r="M19" s="359">
        <f t="shared" si="15"/>
        <v>24562.5</v>
      </c>
      <c r="N19" s="359">
        <f t="shared" si="3"/>
        <v>13559.32</v>
      </c>
      <c r="O19" s="362">
        <f t="shared" si="35"/>
        <v>38121.82</v>
      </c>
      <c r="P19" s="187"/>
      <c r="Q19" s="188">
        <f t="shared" si="36"/>
        <v>0.25</v>
      </c>
      <c r="R19" s="189"/>
      <c r="S19" s="190">
        <v>0.2</v>
      </c>
      <c r="T19" s="210">
        <f t="shared" si="4"/>
        <v>19650</v>
      </c>
      <c r="U19" s="211">
        <f t="shared" si="5"/>
        <v>24562.5</v>
      </c>
      <c r="V19" s="211">
        <f t="shared" si="6"/>
        <v>0</v>
      </c>
      <c r="W19" s="211">
        <f t="shared" si="7"/>
        <v>4912.5</v>
      </c>
      <c r="Y19" s="188">
        <f t="shared" si="8"/>
        <v>0.69491525423728828</v>
      </c>
      <c r="Z19" s="189">
        <v>0.13</v>
      </c>
      <c r="AA19" s="190">
        <v>0.28000000000000003</v>
      </c>
      <c r="AB19" s="191">
        <f t="shared" si="9"/>
        <v>8000</v>
      </c>
      <c r="AC19" s="192">
        <f t="shared" si="10"/>
        <v>13559.322033898306</v>
      </c>
      <c r="AD19" s="192">
        <f t="shared" si="11"/>
        <v>1762.7118644067798</v>
      </c>
      <c r="AE19" s="192">
        <f t="shared" si="12"/>
        <v>3796.6101694915269</v>
      </c>
      <c r="AH19" s="193"/>
      <c r="AI19" s="193"/>
      <c r="AJ19" s="193"/>
      <c r="AK19" s="193"/>
    </row>
    <row r="20" spans="1:37" s="185" customFormat="1" ht="15.6">
      <c r="B20" s="361" t="s">
        <v>396</v>
      </c>
      <c r="C20" s="365" t="s">
        <v>379</v>
      </c>
      <c r="D20" s="240" t="s">
        <v>245</v>
      </c>
      <c r="E20" s="241">
        <f>80/2</f>
        <v>40</v>
      </c>
      <c r="F20" s="242">
        <v>0</v>
      </c>
      <c r="G20" s="358">
        <v>230</v>
      </c>
      <c r="H20" s="358">
        <f t="shared" ref="H20:H22" si="79">ROUND(F20*E20,2)</f>
        <v>0</v>
      </c>
      <c r="I20" s="358">
        <f t="shared" si="34"/>
        <v>9200</v>
      </c>
      <c r="J20" s="358">
        <f t="shared" ref="J20:J22" si="80">ROUND((F20+G20)*E20,2)</f>
        <v>9200</v>
      </c>
      <c r="K20" s="358">
        <f t="shared" ref="K20:K26" si="81">U20</f>
        <v>0</v>
      </c>
      <c r="L20" s="358">
        <f t="shared" ref="L20:L26" si="82">AC20</f>
        <v>389.83050847457628</v>
      </c>
      <c r="M20" s="359">
        <f t="shared" ref="M20:M22" si="83">ROUND(K20*E20,2)</f>
        <v>0</v>
      </c>
      <c r="N20" s="359">
        <f t="shared" ref="N20:N22" si="84">ROUND(L20*E20,2)</f>
        <v>15593.22</v>
      </c>
      <c r="O20" s="362">
        <f t="shared" ref="O20:O22" si="85">ROUND((K20+L20)*E20,2)</f>
        <v>15593.22</v>
      </c>
      <c r="P20" s="187"/>
      <c r="Q20" s="188" t="e">
        <f t="shared" ref="Q20:Q26" si="86">(K20/F20)-1</f>
        <v>#DIV/0!</v>
      </c>
      <c r="R20" s="189"/>
      <c r="S20" s="190">
        <v>0.2</v>
      </c>
      <c r="T20" s="210">
        <f t="shared" ref="T20:T26" si="87">F20</f>
        <v>0</v>
      </c>
      <c r="U20" s="211">
        <f t="shared" ref="U20:U26" si="88">T20/(1-S20-R20)</f>
        <v>0</v>
      </c>
      <c r="V20" s="211">
        <f t="shared" ref="V20:V26" si="89">U20*R20</f>
        <v>0</v>
      </c>
      <c r="W20" s="211">
        <f t="shared" ref="W20:W26" si="90">U20-V20-T20</f>
        <v>0</v>
      </c>
      <c r="Y20" s="188">
        <f t="shared" ref="Y20:Y26" si="91">(L20/G20)-1</f>
        <v>0.69491525423728806</v>
      </c>
      <c r="Z20" s="189">
        <v>0.13</v>
      </c>
      <c r="AA20" s="190">
        <v>0.28000000000000003</v>
      </c>
      <c r="AB20" s="191">
        <f t="shared" ref="AB20:AB26" si="92">G20</f>
        <v>230</v>
      </c>
      <c r="AC20" s="192">
        <f t="shared" ref="AC20:AC26" si="93">AB20/(1-AA20-Z20)</f>
        <v>389.83050847457628</v>
      </c>
      <c r="AD20" s="192">
        <f t="shared" ref="AD20:AD26" si="94">AC20*Z20</f>
        <v>50.677966101694921</v>
      </c>
      <c r="AE20" s="192">
        <f t="shared" ref="AE20:AE26" si="95">AC20-AD20-AB20</f>
        <v>109.15254237288138</v>
      </c>
      <c r="AH20" s="193"/>
      <c r="AI20" s="193"/>
      <c r="AJ20" s="193"/>
      <c r="AK20" s="193"/>
    </row>
    <row r="21" spans="1:37" s="185" customFormat="1" ht="32.4" customHeight="1">
      <c r="B21" s="361" t="s">
        <v>397</v>
      </c>
      <c r="C21" s="365" t="s">
        <v>402</v>
      </c>
      <c r="D21" s="240" t="s">
        <v>380</v>
      </c>
      <c r="E21" s="241">
        <v>1</v>
      </c>
      <c r="F21" s="242">
        <f>(9*400)+1500+610</f>
        <v>5710</v>
      </c>
      <c r="G21" s="358">
        <v>6500</v>
      </c>
      <c r="H21" s="358">
        <f>ROUND(F21*E21,2)</f>
        <v>5710</v>
      </c>
      <c r="I21" s="358">
        <f t="shared" ref="I21" si="96">ROUND(G21*E21,2)</f>
        <v>6500</v>
      </c>
      <c r="J21" s="358">
        <f>ROUND((F21+G21)*E21,2)</f>
        <v>12210</v>
      </c>
      <c r="K21" s="358">
        <f t="shared" si="81"/>
        <v>7137.5</v>
      </c>
      <c r="L21" s="358">
        <f t="shared" si="82"/>
        <v>11016.949152542373</v>
      </c>
      <c r="M21" s="359">
        <f t="shared" si="83"/>
        <v>7137.5</v>
      </c>
      <c r="N21" s="359">
        <f t="shared" si="84"/>
        <v>11016.95</v>
      </c>
      <c r="O21" s="362">
        <f t="shared" si="85"/>
        <v>18154.45</v>
      </c>
      <c r="P21" s="187"/>
      <c r="Q21" s="188">
        <f t="shared" si="86"/>
        <v>0.25</v>
      </c>
      <c r="R21" s="189"/>
      <c r="S21" s="190">
        <v>0.2</v>
      </c>
      <c r="T21" s="210">
        <f t="shared" si="87"/>
        <v>5710</v>
      </c>
      <c r="U21" s="211">
        <f t="shared" si="88"/>
        <v>7137.5</v>
      </c>
      <c r="V21" s="211">
        <f t="shared" si="89"/>
        <v>0</v>
      </c>
      <c r="W21" s="211">
        <f t="shared" si="90"/>
        <v>1427.5</v>
      </c>
      <c r="Y21" s="188">
        <f t="shared" si="91"/>
        <v>0.69491525423728806</v>
      </c>
      <c r="Z21" s="189">
        <v>0.13</v>
      </c>
      <c r="AA21" s="190">
        <v>0.28000000000000003</v>
      </c>
      <c r="AB21" s="191">
        <f t="shared" si="92"/>
        <v>6500</v>
      </c>
      <c r="AC21" s="192">
        <f t="shared" si="93"/>
        <v>11016.949152542373</v>
      </c>
      <c r="AD21" s="192">
        <f t="shared" si="94"/>
        <v>1432.2033898305085</v>
      </c>
      <c r="AE21" s="192">
        <f t="shared" si="95"/>
        <v>3084.7457627118638</v>
      </c>
      <c r="AH21" s="193"/>
      <c r="AI21" s="193"/>
      <c r="AJ21" s="193"/>
      <c r="AK21" s="193"/>
    </row>
    <row r="22" spans="1:37" s="185" customFormat="1" ht="24.75" customHeight="1">
      <c r="B22" s="361" t="s">
        <v>398</v>
      </c>
      <c r="C22" s="365" t="s">
        <v>395</v>
      </c>
      <c r="D22" s="240" t="s">
        <v>245</v>
      </c>
      <c r="E22" s="241">
        <f>1700/2</f>
        <v>850</v>
      </c>
      <c r="F22" s="242">
        <v>0</v>
      </c>
      <c r="G22" s="358">
        <v>85</v>
      </c>
      <c r="H22" s="358">
        <f t="shared" si="79"/>
        <v>0</v>
      </c>
      <c r="I22" s="358">
        <f>ROUND(G22*E22,2)</f>
        <v>72250</v>
      </c>
      <c r="J22" s="358">
        <f t="shared" si="80"/>
        <v>72250</v>
      </c>
      <c r="K22" s="358">
        <f t="shared" si="81"/>
        <v>0</v>
      </c>
      <c r="L22" s="358">
        <f t="shared" si="82"/>
        <v>144.06779661016949</v>
      </c>
      <c r="M22" s="359">
        <f t="shared" si="83"/>
        <v>0</v>
      </c>
      <c r="N22" s="359">
        <f t="shared" si="84"/>
        <v>122457.63</v>
      </c>
      <c r="O22" s="362">
        <f t="shared" si="85"/>
        <v>122457.63</v>
      </c>
      <c r="P22" s="187"/>
      <c r="Q22" s="188" t="e">
        <f t="shared" si="86"/>
        <v>#DIV/0!</v>
      </c>
      <c r="R22" s="189"/>
      <c r="S22" s="190">
        <v>0.2</v>
      </c>
      <c r="T22" s="210">
        <f t="shared" si="87"/>
        <v>0</v>
      </c>
      <c r="U22" s="211">
        <f t="shared" si="88"/>
        <v>0</v>
      </c>
      <c r="V22" s="211">
        <f t="shared" si="89"/>
        <v>0</v>
      </c>
      <c r="W22" s="211">
        <f t="shared" si="90"/>
        <v>0</v>
      </c>
      <c r="Y22" s="188">
        <f t="shared" si="91"/>
        <v>0.69491525423728828</v>
      </c>
      <c r="Z22" s="189">
        <v>0.13</v>
      </c>
      <c r="AA22" s="190">
        <v>0.28000000000000003</v>
      </c>
      <c r="AB22" s="191">
        <f t="shared" si="92"/>
        <v>85</v>
      </c>
      <c r="AC22" s="192">
        <f t="shared" si="93"/>
        <v>144.06779661016949</v>
      </c>
      <c r="AD22" s="192">
        <f t="shared" si="94"/>
        <v>18.728813559322035</v>
      </c>
      <c r="AE22" s="192">
        <f t="shared" si="95"/>
        <v>40.33898305084746</v>
      </c>
      <c r="AH22" s="193"/>
      <c r="AI22" s="193"/>
      <c r="AJ22" s="193"/>
      <c r="AK22" s="193"/>
    </row>
    <row r="23" spans="1:37" s="185" customFormat="1" ht="31.2" customHeight="1">
      <c r="B23" s="361" t="s">
        <v>400</v>
      </c>
      <c r="C23" s="365" t="s">
        <v>409</v>
      </c>
      <c r="D23" s="240" t="s">
        <v>380</v>
      </c>
      <c r="E23" s="241">
        <v>22</v>
      </c>
      <c r="F23" s="242">
        <v>100</v>
      </c>
      <c r="G23" s="358">
        <v>450</v>
      </c>
      <c r="H23" s="358">
        <f>ROUND(F23*E23,2)</f>
        <v>2200</v>
      </c>
      <c r="I23" s="358">
        <f t="shared" ref="I23" si="97">ROUND(G23*E23,2)</f>
        <v>9900</v>
      </c>
      <c r="J23" s="358">
        <f t="shared" ref="J23" si="98">ROUND((F23+G23)*E23,2)</f>
        <v>12100</v>
      </c>
      <c r="K23" s="358">
        <f t="shared" ref="K23" si="99">U23</f>
        <v>125</v>
      </c>
      <c r="L23" s="358">
        <f t="shared" ref="L23" si="100">AC23</f>
        <v>762.71186440677968</v>
      </c>
      <c r="M23" s="359">
        <f t="shared" ref="M23" si="101">ROUND(K23*E23,2)</f>
        <v>2750</v>
      </c>
      <c r="N23" s="359">
        <f t="shared" ref="N23" si="102">ROUND(L23*E23,2)</f>
        <v>16779.66</v>
      </c>
      <c r="O23" s="362">
        <f t="shared" ref="O23" si="103">ROUND((K23+L23)*E23,2)</f>
        <v>19529.66</v>
      </c>
      <c r="P23" s="187"/>
      <c r="Q23" s="188">
        <f t="shared" ref="Q23" si="104">(K23/F23)-1</f>
        <v>0.25</v>
      </c>
      <c r="R23" s="189"/>
      <c r="S23" s="190">
        <v>0.2</v>
      </c>
      <c r="T23" s="210">
        <f t="shared" ref="T23" si="105">F23</f>
        <v>100</v>
      </c>
      <c r="U23" s="211">
        <f t="shared" ref="U23" si="106">T23/(1-S23-R23)</f>
        <v>125</v>
      </c>
      <c r="V23" s="211">
        <f t="shared" ref="V23" si="107">U23*R23</f>
        <v>0</v>
      </c>
      <c r="W23" s="211">
        <f t="shared" ref="W23" si="108">U23-V23-T23</f>
        <v>25</v>
      </c>
      <c r="Y23" s="188">
        <f t="shared" ref="Y23" si="109">(L23/G23)-1</f>
        <v>0.69491525423728828</v>
      </c>
      <c r="Z23" s="189">
        <v>0.13</v>
      </c>
      <c r="AA23" s="190">
        <v>0.28000000000000003</v>
      </c>
      <c r="AB23" s="191">
        <f t="shared" ref="AB23" si="110">G23</f>
        <v>450</v>
      </c>
      <c r="AC23" s="192">
        <f t="shared" ref="AC23" si="111">AB23/(1-AA23-Z23)</f>
        <v>762.71186440677968</v>
      </c>
      <c r="AD23" s="192">
        <f t="shared" ref="AD23" si="112">AC23*Z23</f>
        <v>99.152542372881356</v>
      </c>
      <c r="AE23" s="192">
        <f t="shared" ref="AE23" si="113">AC23-AD23-AB23</f>
        <v>213.5593220338983</v>
      </c>
      <c r="AH23" s="193"/>
      <c r="AI23" s="193"/>
      <c r="AJ23" s="193"/>
      <c r="AK23" s="193"/>
    </row>
    <row r="24" spans="1:37" s="185" customFormat="1" ht="31.2" customHeight="1">
      <c r="B24" s="361" t="s">
        <v>404</v>
      </c>
      <c r="C24" s="365" t="s">
        <v>407</v>
      </c>
      <c r="D24" s="240" t="s">
        <v>380</v>
      </c>
      <c r="E24" s="241">
        <v>22</v>
      </c>
      <c r="F24" s="242">
        <v>800</v>
      </c>
      <c r="G24" s="358">
        <v>400</v>
      </c>
      <c r="H24" s="358">
        <f>ROUND(F24,2)</f>
        <v>800</v>
      </c>
      <c r="I24" s="358">
        <f>ROUND(G24*E24,2)</f>
        <v>8800</v>
      </c>
      <c r="J24" s="358">
        <f>ROUND(H24+I24,2)</f>
        <v>9600</v>
      </c>
      <c r="K24" s="358">
        <f t="shared" ref="K24" si="114">U24</f>
        <v>1000</v>
      </c>
      <c r="L24" s="358">
        <f t="shared" ref="L24" si="115">AC24</f>
        <v>677.96610169491532</v>
      </c>
      <c r="M24" s="359">
        <f t="shared" ref="M24" si="116">ROUND(K24*E24,2)</f>
        <v>22000</v>
      </c>
      <c r="N24" s="359">
        <f t="shared" ref="N24" si="117">ROUND(L24*E24,2)</f>
        <v>14915.25</v>
      </c>
      <c r="O24" s="362">
        <f t="shared" ref="O24" si="118">ROUND((K24+L24)*E24,2)</f>
        <v>36915.25</v>
      </c>
      <c r="P24" s="187"/>
      <c r="Q24" s="188">
        <f t="shared" ref="Q24" si="119">(K24/F24)-1</f>
        <v>0.25</v>
      </c>
      <c r="R24" s="189"/>
      <c r="S24" s="190">
        <v>0.2</v>
      </c>
      <c r="T24" s="210">
        <f t="shared" ref="T24" si="120">F24</f>
        <v>800</v>
      </c>
      <c r="U24" s="211">
        <f t="shared" ref="U24" si="121">T24/(1-S24-R24)</f>
        <v>1000</v>
      </c>
      <c r="V24" s="211">
        <f t="shared" ref="V24" si="122">U24*R24</f>
        <v>0</v>
      </c>
      <c r="W24" s="211">
        <f t="shared" ref="W24" si="123">U24-V24-T24</f>
        <v>200</v>
      </c>
      <c r="Y24" s="188">
        <f t="shared" ref="Y24" si="124">(L24/G24)-1</f>
        <v>0.69491525423728828</v>
      </c>
      <c r="Z24" s="189">
        <v>0.13</v>
      </c>
      <c r="AA24" s="190">
        <v>0.28000000000000003</v>
      </c>
      <c r="AB24" s="191">
        <f t="shared" ref="AB24" si="125">G24</f>
        <v>400</v>
      </c>
      <c r="AC24" s="192">
        <f t="shared" ref="AC24" si="126">AB24/(1-AA24-Z24)</f>
        <v>677.96610169491532</v>
      </c>
      <c r="AD24" s="192">
        <f t="shared" ref="AD24" si="127">AC24*Z24</f>
        <v>88.13559322033899</v>
      </c>
      <c r="AE24" s="192">
        <f t="shared" ref="AE24" si="128">AC24-AD24-AB24</f>
        <v>189.83050847457639</v>
      </c>
      <c r="AH24" s="193"/>
      <c r="AI24" s="193"/>
      <c r="AJ24" s="193"/>
      <c r="AK24" s="193"/>
    </row>
    <row r="25" spans="1:37" s="185" customFormat="1" ht="24.75" customHeight="1">
      <c r="B25" s="361" t="s">
        <v>405</v>
      </c>
      <c r="C25" s="365" t="s">
        <v>403</v>
      </c>
      <c r="D25" s="240" t="s">
        <v>380</v>
      </c>
      <c r="E25" s="241">
        <v>22</v>
      </c>
      <c r="F25" s="242">
        <v>3000</v>
      </c>
      <c r="G25" s="358">
        <v>120</v>
      </c>
      <c r="H25" s="358">
        <f>ROUND(F25,2)</f>
        <v>3000</v>
      </c>
      <c r="I25" s="358">
        <f t="shared" ref="I25" si="129">ROUND(G25*E25,2)</f>
        <v>2640</v>
      </c>
      <c r="J25" s="358">
        <f>ROUND((F25+(G25*E25)),2)</f>
        <v>5640</v>
      </c>
      <c r="K25" s="358">
        <f t="shared" ref="K25" si="130">U25</f>
        <v>3750</v>
      </c>
      <c r="L25" s="358">
        <f>AC25</f>
        <v>203.38983050847457</v>
      </c>
      <c r="M25" s="359">
        <f>ROUND(K25,2)</f>
        <v>3750</v>
      </c>
      <c r="N25" s="359">
        <f t="shared" ref="N25" si="131">ROUND(L25*E25,2)</f>
        <v>4474.58</v>
      </c>
      <c r="O25" s="362">
        <f>ROUND((M25+N25),2)</f>
        <v>8224.58</v>
      </c>
      <c r="P25" s="187"/>
      <c r="Q25" s="188">
        <f t="shared" ref="Q25" si="132">(K25/F25)-1</f>
        <v>0.25</v>
      </c>
      <c r="R25" s="189"/>
      <c r="S25" s="190">
        <v>0.2</v>
      </c>
      <c r="T25" s="210">
        <f t="shared" ref="T25" si="133">F25</f>
        <v>3000</v>
      </c>
      <c r="U25" s="211">
        <f t="shared" ref="U25" si="134">T25/(1-S25-R25)</f>
        <v>3750</v>
      </c>
      <c r="V25" s="211">
        <f t="shared" ref="V25" si="135">U25*R25</f>
        <v>0</v>
      </c>
      <c r="W25" s="211">
        <f t="shared" ref="W25" si="136">U25-V25-T25</f>
        <v>750</v>
      </c>
      <c r="Y25" s="188">
        <f t="shared" ref="Y25" si="137">(L25/G25)-1</f>
        <v>0.69491525423728806</v>
      </c>
      <c r="Z25" s="189">
        <v>0.13</v>
      </c>
      <c r="AA25" s="190">
        <v>0.28000000000000003</v>
      </c>
      <c r="AB25" s="191">
        <f t="shared" ref="AB25" si="138">G25</f>
        <v>120</v>
      </c>
      <c r="AC25" s="192">
        <f t="shared" ref="AC25" si="139">AB25/(1-AA25-Z25)</f>
        <v>203.38983050847457</v>
      </c>
      <c r="AD25" s="192">
        <f t="shared" ref="AD25" si="140">AC25*Z25</f>
        <v>26.440677966101696</v>
      </c>
      <c r="AE25" s="192">
        <f t="shared" ref="AE25" si="141">AC25-AD25-AB25</f>
        <v>56.949152542372872</v>
      </c>
      <c r="AH25" s="193"/>
      <c r="AI25" s="193"/>
      <c r="AJ25" s="193"/>
      <c r="AK25" s="193"/>
    </row>
    <row r="26" spans="1:37" s="185" customFormat="1" ht="24.75" customHeight="1">
      <c r="B26" s="361" t="s">
        <v>406</v>
      </c>
      <c r="C26" s="365" t="s">
        <v>410</v>
      </c>
      <c r="D26" s="240" t="s">
        <v>380</v>
      </c>
      <c r="E26" s="241">
        <v>22</v>
      </c>
      <c r="F26" s="242">
        <f>(667*1.3)</f>
        <v>867.1</v>
      </c>
      <c r="G26" s="358">
        <v>100</v>
      </c>
      <c r="H26" s="358">
        <f>ROUND(F26,2)</f>
        <v>867.1</v>
      </c>
      <c r="I26" s="358">
        <f>ROUND(G26*E26,2)</f>
        <v>2200</v>
      </c>
      <c r="J26" s="368">
        <f>ROUND((H26+I26),2)</f>
        <v>3067.1</v>
      </c>
      <c r="K26" s="358">
        <f t="shared" si="81"/>
        <v>1083.875</v>
      </c>
      <c r="L26" s="358">
        <f t="shared" si="82"/>
        <v>169.49152542372883</v>
      </c>
      <c r="M26" s="359">
        <f>ROUND(K26,2)</f>
        <v>1083.8800000000001</v>
      </c>
      <c r="N26" s="359">
        <f>ROUND(L26*E26,2)</f>
        <v>3728.81</v>
      </c>
      <c r="O26" s="362">
        <f>ROUND((M26+N26),2)</f>
        <v>4812.6899999999996</v>
      </c>
      <c r="P26" s="187"/>
      <c r="Q26" s="188">
        <f t="shared" si="86"/>
        <v>0.25</v>
      </c>
      <c r="R26" s="189"/>
      <c r="S26" s="190">
        <v>0.2</v>
      </c>
      <c r="T26" s="210">
        <f t="shared" si="87"/>
        <v>867.1</v>
      </c>
      <c r="U26" s="211">
        <f t="shared" si="88"/>
        <v>1083.875</v>
      </c>
      <c r="V26" s="211">
        <f t="shared" si="89"/>
        <v>0</v>
      </c>
      <c r="W26" s="211">
        <f t="shared" si="90"/>
        <v>216.77499999999998</v>
      </c>
      <c r="Y26" s="188">
        <f t="shared" si="91"/>
        <v>0.69491525423728828</v>
      </c>
      <c r="Z26" s="189">
        <v>0.13</v>
      </c>
      <c r="AA26" s="190">
        <v>0.28000000000000003</v>
      </c>
      <c r="AB26" s="191">
        <f t="shared" si="92"/>
        <v>100</v>
      </c>
      <c r="AC26" s="192">
        <f t="shared" si="93"/>
        <v>169.49152542372883</v>
      </c>
      <c r="AD26" s="192">
        <f t="shared" si="94"/>
        <v>22.033898305084747</v>
      </c>
      <c r="AE26" s="192">
        <f t="shared" si="95"/>
        <v>47.457627118644098</v>
      </c>
      <c r="AH26" s="193"/>
      <c r="AI26" s="193"/>
      <c r="AJ26" s="193"/>
      <c r="AK26" s="193"/>
    </row>
    <row r="27" spans="1:37" s="185" customFormat="1" ht="24.75" customHeight="1">
      <c r="B27" s="361" t="s">
        <v>408</v>
      </c>
      <c r="C27" s="367" t="s">
        <v>401</v>
      </c>
      <c r="D27" s="240" t="s">
        <v>380</v>
      </c>
      <c r="E27" s="241">
        <v>22</v>
      </c>
      <c r="F27" s="242">
        <v>300</v>
      </c>
      <c r="G27" s="358">
        <v>150</v>
      </c>
      <c r="H27" s="358">
        <f>ROUND(F27*E27,2)</f>
        <v>6600</v>
      </c>
      <c r="I27" s="358">
        <f>ROUND(G27*E27,2)</f>
        <v>3300</v>
      </c>
      <c r="J27" s="358">
        <f>ROUND((F27+G27)*E27,2)</f>
        <v>9900</v>
      </c>
      <c r="K27" s="358">
        <f t="shared" si="1"/>
        <v>375</v>
      </c>
      <c r="L27" s="358">
        <f t="shared" si="2"/>
        <v>254.23728813559325</v>
      </c>
      <c r="M27" s="359">
        <f>ROUND(K27*E27,2)</f>
        <v>8250</v>
      </c>
      <c r="N27" s="359">
        <f>ROUND(L27*E27,2)</f>
        <v>5593.22</v>
      </c>
      <c r="O27" s="362">
        <f>ROUND((K27+L27)*E27,2)</f>
        <v>13843.22</v>
      </c>
      <c r="P27" s="187"/>
      <c r="Q27" s="188">
        <f t="shared" si="36"/>
        <v>0.25</v>
      </c>
      <c r="R27" s="189"/>
      <c r="S27" s="190">
        <v>0.2</v>
      </c>
      <c r="T27" s="210">
        <f t="shared" si="4"/>
        <v>300</v>
      </c>
      <c r="U27" s="211">
        <f t="shared" si="5"/>
        <v>375</v>
      </c>
      <c r="V27" s="211">
        <f t="shared" si="6"/>
        <v>0</v>
      </c>
      <c r="W27" s="211">
        <f t="shared" si="7"/>
        <v>75</v>
      </c>
      <c r="Y27" s="188">
        <v>0.17499999999999999</v>
      </c>
      <c r="Z27" s="189">
        <v>0.13</v>
      </c>
      <c r="AA27" s="190">
        <v>0.28000000000000003</v>
      </c>
      <c r="AB27" s="191">
        <f t="shared" si="9"/>
        <v>150</v>
      </c>
      <c r="AC27" s="192">
        <f t="shared" si="10"/>
        <v>254.23728813559325</v>
      </c>
      <c r="AD27" s="192">
        <f t="shared" si="11"/>
        <v>33.050847457627121</v>
      </c>
      <c r="AE27" s="192">
        <f t="shared" si="12"/>
        <v>71.186440677966118</v>
      </c>
      <c r="AH27" s="193"/>
      <c r="AI27" s="193"/>
      <c r="AJ27" s="193"/>
      <c r="AK27" s="193"/>
    </row>
    <row r="28" spans="1:37" ht="18" hidden="1" thickBot="1">
      <c r="B28" s="363"/>
      <c r="C28" s="364"/>
      <c r="D28" s="364"/>
      <c r="E28" s="364"/>
      <c r="F28" s="364"/>
      <c r="G28" s="364"/>
      <c r="H28" s="360">
        <f>SUM(H9:H27)</f>
        <v>333493.34999999998</v>
      </c>
      <c r="I28" s="360">
        <f>SUM(I9:I27)</f>
        <v>462215</v>
      </c>
      <c r="J28" s="360">
        <f>SUM(J9:J27)</f>
        <v>886908.35</v>
      </c>
      <c r="K28" s="360"/>
      <c r="L28" s="360"/>
      <c r="M28" s="360">
        <f>SUM(M9:M27)</f>
        <v>576288.88</v>
      </c>
      <c r="N28" s="360">
        <f>SUM(N9:N27)</f>
        <v>783415.23999999987</v>
      </c>
      <c r="O28" s="360">
        <f>SUM(O9:O27)</f>
        <v>1359704.1199999996</v>
      </c>
      <c r="P28" s="187"/>
      <c r="Q28" s="188"/>
      <c r="R28" s="189"/>
      <c r="S28" s="190"/>
      <c r="T28" s="210"/>
      <c r="U28" s="211"/>
      <c r="V28" s="211"/>
      <c r="W28" s="211"/>
      <c r="X28" s="185"/>
      <c r="Y28" s="188"/>
      <c r="Z28" s="189">
        <v>0.13</v>
      </c>
      <c r="AA28" s="190"/>
      <c r="AB28" s="191"/>
      <c r="AC28" s="192"/>
      <c r="AD28" s="192"/>
      <c r="AE28" s="192"/>
      <c r="AH28" s="174"/>
      <c r="AI28" s="174"/>
      <c r="AJ28" s="174"/>
      <c r="AK28" s="174"/>
    </row>
    <row r="29" spans="1:37" ht="9" customHeight="1" thickBot="1">
      <c r="A29" s="353"/>
      <c r="B29" s="354"/>
      <c r="C29" s="230"/>
      <c r="E29" s="231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194"/>
      <c r="Q29" s="2"/>
      <c r="R29" s="195"/>
      <c r="S29" s="190"/>
      <c r="T29" s="196"/>
      <c r="U29" s="197"/>
      <c r="V29" s="197"/>
      <c r="W29" s="197"/>
      <c r="AA29" s="190"/>
      <c r="AH29" s="171" t="s">
        <v>102</v>
      </c>
      <c r="AJ29" s="171">
        <v>1578.8</v>
      </c>
    </row>
    <row r="30" spans="1:37" ht="12.9" customHeight="1">
      <c r="A30" s="353"/>
      <c r="B30" s="354"/>
      <c r="C30" s="230"/>
      <c r="E30" s="231"/>
      <c r="F30" s="232"/>
      <c r="G30" s="232"/>
      <c r="H30" s="397" t="s">
        <v>95</v>
      </c>
      <c r="I30" s="397" t="s">
        <v>96</v>
      </c>
      <c r="J30" s="397" t="s">
        <v>97</v>
      </c>
      <c r="K30" s="232"/>
      <c r="L30" s="232"/>
      <c r="M30" s="397" t="s">
        <v>277</v>
      </c>
      <c r="N30" s="397" t="s">
        <v>278</v>
      </c>
      <c r="O30" s="397" t="s">
        <v>279</v>
      </c>
      <c r="P30" s="194"/>
      <c r="Q30" s="59" t="s">
        <v>103</v>
      </c>
      <c r="R30" s="59" t="s">
        <v>104</v>
      </c>
      <c r="S30" s="59" t="s">
        <v>105</v>
      </c>
      <c r="T30" s="59" t="s">
        <v>106</v>
      </c>
      <c r="U30" s="59" t="s">
        <v>107</v>
      </c>
      <c r="V30" s="197">
        <v>533.16</v>
      </c>
      <c r="W30" s="197">
        <f>V30</f>
        <v>533.16</v>
      </c>
    </row>
    <row r="31" spans="1:37" ht="12.9" customHeight="1" thickBot="1">
      <c r="A31" s="353"/>
      <c r="B31" s="355"/>
      <c r="C31" s="198"/>
      <c r="D31" s="198"/>
      <c r="E31" s="233"/>
      <c r="F31" s="232"/>
      <c r="G31" s="232"/>
      <c r="H31" s="398"/>
      <c r="I31" s="398"/>
      <c r="J31" s="398"/>
      <c r="K31" s="232"/>
      <c r="L31" s="232"/>
      <c r="M31" s="398"/>
      <c r="N31" s="398"/>
      <c r="O31" s="398"/>
      <c r="P31" s="1"/>
      <c r="Q31" s="59"/>
      <c r="R31" s="195"/>
      <c r="S31" s="195"/>
      <c r="T31" s="196"/>
      <c r="U31" s="197"/>
      <c r="V31" s="197">
        <f>O32/V30</f>
        <v>2550.2740640708225</v>
      </c>
      <c r="W31" s="197">
        <f>J32/W30</f>
        <v>1663.493791732313</v>
      </c>
    </row>
    <row r="32" spans="1:37" s="174" customFormat="1" ht="49.5" customHeight="1" thickBot="1">
      <c r="A32" s="171"/>
      <c r="B32" s="464" t="s">
        <v>2</v>
      </c>
      <c r="C32" s="465"/>
      <c r="D32" s="465"/>
      <c r="E32" s="465"/>
      <c r="F32" s="465"/>
      <c r="G32" s="466"/>
      <c r="H32" s="338">
        <f>H28</f>
        <v>333493.34999999998</v>
      </c>
      <c r="I32" s="338">
        <f>I28</f>
        <v>462215</v>
      </c>
      <c r="J32" s="338">
        <f>J28</f>
        <v>886908.35</v>
      </c>
      <c r="K32" s="339"/>
      <c r="L32" s="340"/>
      <c r="M32" s="338">
        <f>M28</f>
        <v>576288.88</v>
      </c>
      <c r="N32" s="340">
        <f>N28</f>
        <v>783415.23999999987</v>
      </c>
      <c r="O32" s="340">
        <f>O28</f>
        <v>1359704.1199999996</v>
      </c>
      <c r="P32" s="238"/>
      <c r="Q32" s="199">
        <f>N32*0.13</f>
        <v>101843.98119999998</v>
      </c>
      <c r="R32" s="199">
        <f>O32*0.1</f>
        <v>135970.41199999998</v>
      </c>
      <c r="S32" s="199">
        <f>O32-J32-Q32-R32-Q36</f>
        <v>234981.37679999971</v>
      </c>
      <c r="T32" s="218">
        <f>S32/O32</f>
        <v>0.17281802220324211</v>
      </c>
      <c r="U32" s="218">
        <f>(O32/J32)-1</f>
        <v>0.53308300682928467</v>
      </c>
    </row>
    <row r="33" spans="1:19" ht="8.25" customHeight="1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4"/>
      <c r="P33" s="173"/>
    </row>
    <row r="34" spans="1:19" ht="15.75" customHeight="1">
      <c r="B34" s="375" t="s">
        <v>90</v>
      </c>
      <c r="C34" s="376"/>
      <c r="D34" s="376"/>
      <c r="E34" s="376"/>
      <c r="F34" s="376"/>
      <c r="G34" s="376"/>
      <c r="H34" s="328"/>
      <c r="I34" s="328"/>
      <c r="J34" s="328"/>
      <c r="K34" s="329"/>
      <c r="L34" s="329"/>
      <c r="M34" s="330"/>
      <c r="N34" s="366"/>
      <c r="O34" s="235"/>
      <c r="P34" s="201"/>
      <c r="Q34" s="202"/>
      <c r="R34" s="198"/>
      <c r="S34" s="198"/>
    </row>
    <row r="35" spans="1:19" ht="40.200000000000003" customHeight="1">
      <c r="B35" s="375" t="s">
        <v>421</v>
      </c>
      <c r="C35" s="376"/>
      <c r="D35" s="376"/>
      <c r="E35" s="376"/>
      <c r="F35" s="376"/>
      <c r="G35" s="376"/>
      <c r="H35" s="331"/>
      <c r="I35" s="331"/>
      <c r="J35" s="331"/>
      <c r="K35" s="331"/>
      <c r="L35" s="331"/>
      <c r="M35" s="331"/>
      <c r="N35" s="331"/>
      <c r="O35" s="341"/>
      <c r="P35" s="204"/>
      <c r="Q35" s="205" t="s">
        <v>281</v>
      </c>
      <c r="R35" s="198"/>
      <c r="S35" s="198"/>
    </row>
    <row r="36" spans="1:19" ht="16.8" customHeight="1">
      <c r="B36" s="377" t="s">
        <v>420</v>
      </c>
      <c r="C36" s="378"/>
      <c r="D36" s="378"/>
      <c r="E36" s="378"/>
      <c r="F36" s="378"/>
      <c r="G36" s="378"/>
      <c r="H36" s="337"/>
      <c r="I36" s="337"/>
      <c r="J36" s="337"/>
      <c r="K36" s="337"/>
      <c r="L36" s="337"/>
      <c r="M36" s="337"/>
      <c r="N36" s="337"/>
      <c r="O36" s="342"/>
      <c r="P36" s="204"/>
      <c r="Q36" s="327">
        <v>0</v>
      </c>
      <c r="R36" s="198"/>
      <c r="S36" s="198"/>
    </row>
    <row r="37" spans="1:19" ht="50.25" customHeight="1">
      <c r="B37" s="377"/>
      <c r="C37" s="378"/>
      <c r="D37" s="378"/>
      <c r="E37" s="378"/>
      <c r="F37" s="378"/>
      <c r="G37" s="378"/>
      <c r="H37" s="329"/>
      <c r="I37" s="329"/>
      <c r="J37" s="329"/>
      <c r="K37" s="329"/>
      <c r="L37" s="329"/>
      <c r="M37" s="329"/>
      <c r="N37" s="332"/>
      <c r="O37" s="234"/>
      <c r="P37" s="204"/>
      <c r="Q37" s="205"/>
      <c r="R37" s="198"/>
      <c r="S37" s="198"/>
    </row>
    <row r="38" spans="1:19" ht="6" customHeight="1">
      <c r="B38" s="168"/>
      <c r="C38" s="333"/>
      <c r="D38" s="334"/>
      <c r="E38" s="335"/>
      <c r="F38" s="334"/>
      <c r="G38" s="334"/>
      <c r="H38" s="334"/>
      <c r="I38" s="334"/>
      <c r="J38" s="334"/>
      <c r="K38" s="334"/>
      <c r="L38" s="334"/>
      <c r="M38" s="334"/>
      <c r="N38" s="336"/>
      <c r="O38" s="203"/>
      <c r="P38" s="204"/>
      <c r="Q38" s="205"/>
      <c r="R38" s="198"/>
      <c r="S38" s="198"/>
    </row>
    <row r="39" spans="1:19" ht="34.5" customHeight="1">
      <c r="B39" s="369" t="s">
        <v>274</v>
      </c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1"/>
      <c r="P39" s="169"/>
      <c r="Q39" s="206"/>
    </row>
    <row r="40" spans="1:19" ht="7.5" customHeight="1" thickBot="1">
      <c r="B40" s="200"/>
      <c r="C40" s="207"/>
      <c r="D40" s="207"/>
      <c r="E40" s="228"/>
      <c r="F40" s="207"/>
      <c r="G40" s="207"/>
      <c r="H40" s="207"/>
      <c r="I40" s="207"/>
      <c r="J40" s="207"/>
      <c r="K40" s="207"/>
      <c r="L40" s="207"/>
      <c r="M40" s="207"/>
      <c r="N40" s="207"/>
      <c r="O40" s="208"/>
    </row>
    <row r="41" spans="1:19">
      <c r="A41" s="170"/>
      <c r="Q41" s="170"/>
    </row>
    <row r="42" spans="1:19">
      <c r="C42" s="198"/>
    </row>
    <row r="43" spans="1:19" ht="15">
      <c r="C43" s="185"/>
    </row>
    <row r="44" spans="1:19" ht="15">
      <c r="C44" s="185"/>
    </row>
    <row r="45" spans="1:19" ht="15">
      <c r="C45" s="185"/>
    </row>
    <row r="46" spans="1:19" ht="15">
      <c r="C46" s="185"/>
    </row>
    <row r="47" spans="1:19" ht="15">
      <c r="C47" s="185"/>
    </row>
    <row r="48" spans="1:19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185"/>
    </row>
    <row r="92" spans="3:3" ht="15">
      <c r="C92" s="185"/>
    </row>
    <row r="93" spans="3:3" ht="15">
      <c r="C93" s="185"/>
    </row>
    <row r="94" spans="3:3" ht="15">
      <c r="C94" s="185"/>
    </row>
    <row r="95" spans="3:3" ht="15">
      <c r="C95" s="185"/>
    </row>
    <row r="96" spans="3:3" ht="15">
      <c r="C96" s="209"/>
    </row>
    <row r="97" spans="3:3" ht="15">
      <c r="C97" s="209"/>
    </row>
    <row r="98" spans="3:3" ht="15">
      <c r="C98" s="209"/>
    </row>
    <row r="99" spans="3:3" ht="15">
      <c r="C99" s="209"/>
    </row>
    <row r="100" spans="3:3" ht="15">
      <c r="C100" s="185"/>
    </row>
    <row r="101" spans="3:3" ht="15">
      <c r="C101" s="185"/>
    </row>
    <row r="102" spans="3:3" ht="15">
      <c r="C102" s="185"/>
    </row>
    <row r="103" spans="3:3" ht="15">
      <c r="C103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30:H31"/>
    <mergeCell ref="I30:I31"/>
    <mergeCell ref="J30:J31"/>
    <mergeCell ref="M30:M31"/>
    <mergeCell ref="N30:N31"/>
    <mergeCell ref="O30:O31"/>
    <mergeCell ref="Y3:AE3"/>
    <mergeCell ref="B4:O4"/>
    <mergeCell ref="Q7:W7"/>
    <mergeCell ref="Z7:AE7"/>
    <mergeCell ref="B6:O6"/>
    <mergeCell ref="B39:O39"/>
    <mergeCell ref="B33:O33"/>
    <mergeCell ref="B35:G35"/>
    <mergeCell ref="B36:G37"/>
    <mergeCell ref="Q3:W3"/>
    <mergeCell ref="B32:G32"/>
    <mergeCell ref="B34:G34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52" fitToHeight="0" orientation="portrait" r:id="rId1"/>
  <ignoredErrors>
    <ignoredError sqref="K32:L3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39" workbookViewId="0">
      <selection activeCell="H55" sqref="H55"/>
    </sheetView>
  </sheetViews>
  <sheetFormatPr defaultColWidth="9.109375" defaultRowHeight="13.2"/>
  <cols>
    <col min="1" max="1" width="5.5546875" style="243" customWidth="1"/>
    <col min="2" max="2" width="27.33203125" style="243" bestFit="1" customWidth="1"/>
    <col min="3" max="3" width="13.33203125" style="243" bestFit="1" customWidth="1"/>
    <col min="4" max="4" width="14.44140625" style="243" bestFit="1" customWidth="1"/>
    <col min="5" max="5" width="12.109375" style="243" bestFit="1" customWidth="1"/>
    <col min="6" max="6" width="13.44140625" style="243" bestFit="1" customWidth="1"/>
    <col min="7" max="7" width="9.5546875" style="243" hidden="1" customWidth="1"/>
    <col min="8" max="8" width="18.5546875" style="243" bestFit="1" customWidth="1"/>
    <col min="9" max="9" width="19.6640625" style="243" bestFit="1" customWidth="1"/>
    <col min="10" max="10" width="14.33203125" style="243" bestFit="1" customWidth="1"/>
    <col min="11" max="11" width="15.44140625" style="243" bestFit="1" customWidth="1"/>
    <col min="12" max="12" width="13.5546875" style="243" bestFit="1" customWidth="1"/>
    <col min="13" max="16384" width="9.109375" style="243"/>
  </cols>
  <sheetData>
    <row r="2" spans="2:12" ht="13.8" thickBot="1"/>
    <row r="3" spans="2:12" ht="14.4" thickBot="1">
      <c r="B3" s="421" t="s">
        <v>341</v>
      </c>
      <c r="C3" s="422"/>
      <c r="D3" s="422"/>
      <c r="E3" s="422"/>
      <c r="F3" s="422"/>
      <c r="G3" s="422"/>
      <c r="H3" s="422"/>
      <c r="I3" s="422"/>
      <c r="J3" s="422"/>
      <c r="K3" s="422"/>
      <c r="L3" s="423"/>
    </row>
    <row r="4" spans="2:12">
      <c r="B4" s="264" t="s">
        <v>282</v>
      </c>
      <c r="C4" s="288">
        <v>1</v>
      </c>
      <c r="D4" s="269">
        <v>0.2</v>
      </c>
      <c r="E4" s="270">
        <f>D4*J6</f>
        <v>34.577999999999996</v>
      </c>
      <c r="F4" s="428" t="s">
        <v>378</v>
      </c>
      <c r="G4" s="428"/>
      <c r="H4" s="428"/>
      <c r="I4" s="428"/>
      <c r="J4" s="428"/>
      <c r="K4" s="428"/>
      <c r="L4" s="429"/>
    </row>
    <row r="5" spans="2:12">
      <c r="B5" s="257" t="s">
        <v>285</v>
      </c>
      <c r="C5" s="265" t="s">
        <v>284</v>
      </c>
      <c r="D5" s="258" t="s">
        <v>289</v>
      </c>
      <c r="E5" s="258" t="s">
        <v>283</v>
      </c>
      <c r="F5" s="266" t="s">
        <v>293</v>
      </c>
      <c r="G5"/>
      <c r="H5" s="124" t="s">
        <v>294</v>
      </c>
      <c r="I5" s="258" t="s">
        <v>291</v>
      </c>
      <c r="J5" s="258" t="s">
        <v>292</v>
      </c>
      <c r="K5" s="258" t="s">
        <v>1</v>
      </c>
      <c r="L5" s="259" t="s">
        <v>295</v>
      </c>
    </row>
    <row r="6" spans="2:12">
      <c r="B6" s="260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24">
        <f>SUM(I6:I8)</f>
        <v>172.89</v>
      </c>
      <c r="K6" s="424">
        <f>J6+E4</f>
        <v>207.46799999999999</v>
      </c>
      <c r="L6" s="426">
        <f>K6/C4</f>
        <v>207.46799999999999</v>
      </c>
    </row>
    <row r="7" spans="2:12">
      <c r="B7" s="260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24"/>
      <c r="K7" s="424"/>
      <c r="L7" s="426"/>
    </row>
    <row r="8" spans="2:12" ht="13.8" thickBot="1">
      <c r="B8" s="262" t="s">
        <v>288</v>
      </c>
      <c r="C8" s="261">
        <v>75</v>
      </c>
      <c r="D8" s="267">
        <v>5</v>
      </c>
      <c r="E8" s="268">
        <v>1</v>
      </c>
      <c r="F8" s="263">
        <f>E8*C4</f>
        <v>1</v>
      </c>
      <c r="G8" s="263">
        <f>F8/D8</f>
        <v>0.2</v>
      </c>
      <c r="H8" s="268">
        <f>CEILING(G8,1)</f>
        <v>1</v>
      </c>
      <c r="I8" s="261">
        <f>H8*C8</f>
        <v>75</v>
      </c>
      <c r="J8" s="425"/>
      <c r="K8" s="425"/>
      <c r="L8" s="427"/>
    </row>
    <row r="9" spans="2:12" ht="13.8" thickBot="1">
      <c r="B9" s="248"/>
    </row>
    <row r="10" spans="2:12" ht="14.4" thickBot="1">
      <c r="B10" s="421" t="s">
        <v>342</v>
      </c>
      <c r="C10" s="422"/>
      <c r="D10" s="422"/>
      <c r="E10" s="422"/>
      <c r="F10" s="422"/>
      <c r="G10" s="422"/>
      <c r="H10" s="422"/>
      <c r="I10" s="422"/>
      <c r="J10" s="422"/>
      <c r="K10" s="422"/>
      <c r="L10" s="423"/>
    </row>
    <row r="11" spans="2:12">
      <c r="B11" s="264" t="s">
        <v>282</v>
      </c>
      <c r="C11" s="288">
        <v>1</v>
      </c>
      <c r="D11" s="269">
        <v>0.2</v>
      </c>
      <c r="E11" s="270">
        <f>D11*J13</f>
        <v>32.098000000000006</v>
      </c>
      <c r="F11" s="428" t="s">
        <v>378</v>
      </c>
      <c r="G11" s="428"/>
      <c r="H11" s="428"/>
      <c r="I11" s="428"/>
      <c r="J11" s="428"/>
      <c r="K11" s="428"/>
      <c r="L11" s="429"/>
    </row>
    <row r="12" spans="2:12">
      <c r="B12" s="257" t="s">
        <v>285</v>
      </c>
      <c r="C12" s="265" t="s">
        <v>284</v>
      </c>
      <c r="D12" s="258" t="s">
        <v>289</v>
      </c>
      <c r="E12" s="258" t="s">
        <v>283</v>
      </c>
      <c r="F12" s="266" t="s">
        <v>293</v>
      </c>
      <c r="G12"/>
      <c r="H12" s="124" t="s">
        <v>294</v>
      </c>
      <c r="I12" s="258" t="s">
        <v>291</v>
      </c>
      <c r="J12" s="258" t="s">
        <v>292</v>
      </c>
      <c r="K12" s="258" t="s">
        <v>1</v>
      </c>
      <c r="L12" s="259" t="s">
        <v>295</v>
      </c>
    </row>
    <row r="13" spans="2:12">
      <c r="B13" s="260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24">
        <f>SUM(I13:I15)</f>
        <v>160.49</v>
      </c>
      <c r="K13" s="424">
        <f>J13+E11</f>
        <v>192.58800000000002</v>
      </c>
      <c r="L13" s="426">
        <f>K13/C11</f>
        <v>192.58800000000002</v>
      </c>
    </row>
    <row r="14" spans="2:12">
      <c r="B14" s="260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24"/>
      <c r="K14" s="424"/>
      <c r="L14" s="426"/>
    </row>
    <row r="15" spans="2:12" ht="13.8" thickBot="1">
      <c r="B15" s="262" t="s">
        <v>288</v>
      </c>
      <c r="C15" s="261">
        <v>75</v>
      </c>
      <c r="D15" s="267">
        <v>5</v>
      </c>
      <c r="E15" s="268">
        <v>1</v>
      </c>
      <c r="F15" s="263">
        <f>E15*C11</f>
        <v>1</v>
      </c>
      <c r="G15" s="263">
        <f>F15/D15</f>
        <v>0.2</v>
      </c>
      <c r="H15" s="268">
        <f>CEILING(G15,1)</f>
        <v>1</v>
      </c>
      <c r="I15" s="261">
        <f>H15*C15</f>
        <v>75</v>
      </c>
      <c r="J15" s="425"/>
      <c r="K15" s="425"/>
      <c r="L15" s="427"/>
    </row>
    <row r="16" spans="2:12">
      <c r="B16" s="248"/>
      <c r="D16" s="245"/>
      <c r="E16" s="246"/>
      <c r="F16" s="247"/>
      <c r="G16" s="247"/>
      <c r="H16" s="246"/>
      <c r="J16" s="249"/>
      <c r="K16" s="249"/>
      <c r="L16" s="249"/>
    </row>
    <row r="17" spans="2:12">
      <c r="B17" s="248"/>
      <c r="D17" s="245"/>
      <c r="E17" s="246"/>
      <c r="F17" s="247"/>
      <c r="G17" s="247"/>
      <c r="H17" s="246"/>
      <c r="J17" s="249"/>
      <c r="K17" s="249"/>
      <c r="L17" s="249"/>
    </row>
    <row r="18" spans="2:12" ht="13.8" thickBot="1">
      <c r="B18" s="248"/>
      <c r="D18" s="245"/>
      <c r="E18" s="246"/>
      <c r="F18" s="247"/>
      <c r="G18" s="247"/>
      <c r="H18" s="246"/>
      <c r="J18" s="249"/>
      <c r="K18" s="249"/>
      <c r="L18" s="249"/>
    </row>
    <row r="19" spans="2:12" ht="14.4" thickBot="1">
      <c r="B19" s="421" t="s">
        <v>315</v>
      </c>
      <c r="C19" s="422"/>
      <c r="D19" s="422"/>
      <c r="E19" s="423"/>
      <c r="F19" s="406"/>
      <c r="G19" s="406"/>
      <c r="H19" s="406"/>
      <c r="I19" s="406"/>
      <c r="J19" s="407"/>
      <c r="K19" s="407"/>
      <c r="L19" s="407"/>
    </row>
    <row r="20" spans="2:12">
      <c r="B20" s="289" t="s">
        <v>296</v>
      </c>
      <c r="C20" s="290" t="s">
        <v>309</v>
      </c>
      <c r="D20" s="291" t="s">
        <v>310</v>
      </c>
      <c r="E20" s="292" t="s">
        <v>311</v>
      </c>
      <c r="I20" s="244"/>
    </row>
    <row r="21" spans="2:12">
      <c r="B21" s="293" t="s">
        <v>306</v>
      </c>
      <c r="C21" s="302">
        <v>20.2</v>
      </c>
      <c r="D21" s="303">
        <v>9.7100000000000009</v>
      </c>
      <c r="E21" s="296">
        <f>C21*D21</f>
        <v>196.14200000000002</v>
      </c>
      <c r="H21" s="251"/>
    </row>
    <row r="22" spans="2:12">
      <c r="B22" s="293" t="s">
        <v>307</v>
      </c>
      <c r="C22" s="302">
        <f>(20.2*2)+(9.71*2)</f>
        <v>59.82</v>
      </c>
      <c r="D22" s="303">
        <v>5.67</v>
      </c>
      <c r="E22" s="296">
        <f t="shared" ref="E22" si="2">C22*D22</f>
        <v>339.17939999999999</v>
      </c>
      <c r="H22" s="251"/>
    </row>
    <row r="23" spans="2:12">
      <c r="B23" s="293" t="s">
        <v>308</v>
      </c>
      <c r="C23" s="302">
        <f>(9.71*8)+(4*2)+(2.4*2)+(20.2*2)+(2.5*4)+(1.5*2)+(2.5*2)+(1.6*2)</f>
        <v>152.07999999999998</v>
      </c>
      <c r="D23" s="303">
        <v>4.09</v>
      </c>
      <c r="E23" s="296">
        <f>C23*D23</f>
        <v>622.0071999999999</v>
      </c>
      <c r="H23" s="251"/>
    </row>
    <row r="24" spans="2:12">
      <c r="B24" s="297" t="s">
        <v>312</v>
      </c>
      <c r="C24" s="304">
        <f>(3*2)+(4.2*2)+(2.5*4)+(1.5*4)</f>
        <v>30.4</v>
      </c>
      <c r="D24" s="304">
        <v>3.92</v>
      </c>
      <c r="E24" s="298">
        <f>C24*D24</f>
        <v>119.16799999999999</v>
      </c>
      <c r="H24" s="251"/>
    </row>
    <row r="25" spans="2:12">
      <c r="B25" s="297" t="s">
        <v>313</v>
      </c>
      <c r="C25" s="304">
        <f>C23-C24</f>
        <v>121.67999999999998</v>
      </c>
      <c r="D25" s="304" t="s">
        <v>290</v>
      </c>
      <c r="E25" s="298">
        <f>E23-E24</f>
        <v>502.83919999999989</v>
      </c>
      <c r="H25" s="251"/>
    </row>
    <row r="26" spans="2:12" ht="13.8" thickBot="1">
      <c r="B26" s="299" t="s">
        <v>314</v>
      </c>
      <c r="C26" s="305">
        <v>20.2</v>
      </c>
      <c r="D26" s="306">
        <v>9.7100000000000009</v>
      </c>
      <c r="E26" s="301">
        <f>C26*D26</f>
        <v>196.14200000000002</v>
      </c>
      <c r="F26" s="251"/>
      <c r="H26" s="251"/>
    </row>
    <row r="27" spans="2:12">
      <c r="B27" s="248"/>
      <c r="C27" s="247"/>
      <c r="D27" s="250"/>
      <c r="E27" s="247"/>
    </row>
    <row r="28" spans="2:12">
      <c r="B28" s="248"/>
      <c r="D28" s="245"/>
      <c r="F28" s="247"/>
      <c r="G28" s="247"/>
      <c r="H28" s="246"/>
      <c r="J28" s="249"/>
      <c r="K28" s="249"/>
      <c r="L28" s="249"/>
    </row>
    <row r="29" spans="2:12" ht="13.8" thickBot="1">
      <c r="B29" s="248"/>
      <c r="D29" s="245"/>
      <c r="E29" s="246"/>
      <c r="F29" s="247"/>
      <c r="G29" s="247"/>
      <c r="H29" s="246"/>
      <c r="J29" s="249"/>
      <c r="K29" s="249"/>
      <c r="L29" s="249"/>
    </row>
    <row r="30" spans="2:12" ht="14.4" thickBot="1">
      <c r="B30" s="421" t="s">
        <v>305</v>
      </c>
      <c r="C30" s="422"/>
      <c r="D30" s="422"/>
      <c r="E30" s="422"/>
      <c r="F30" s="422"/>
      <c r="G30" s="422"/>
      <c r="H30" s="423"/>
    </row>
    <row r="31" spans="2:12">
      <c r="B31" s="289" t="s">
        <v>296</v>
      </c>
      <c r="C31" s="290" t="s">
        <v>297</v>
      </c>
      <c r="D31" s="290" t="s">
        <v>298</v>
      </c>
      <c r="E31" s="290" t="s">
        <v>299</v>
      </c>
      <c r="F31" s="290" t="s">
        <v>300</v>
      </c>
      <c r="G31" s="290"/>
      <c r="H31" s="307" t="s">
        <v>301</v>
      </c>
    </row>
    <row r="32" spans="2:12">
      <c r="B32" s="308" t="s">
        <v>343</v>
      </c>
      <c r="C32" s="295" t="s">
        <v>290</v>
      </c>
      <c r="D32" s="295" t="s">
        <v>290</v>
      </c>
      <c r="E32" s="294">
        <v>15</v>
      </c>
      <c r="F32" s="411">
        <f>SUM(E32:E39)</f>
        <v>88.345533333333321</v>
      </c>
      <c r="G32" s="411">
        <f>F32/22</f>
        <v>4.0157060606060604</v>
      </c>
      <c r="H32" s="413">
        <f>ROUNDUP(G32/1,0)</f>
        <v>5</v>
      </c>
    </row>
    <row r="33" spans="2:11">
      <c r="B33" s="308" t="s">
        <v>302</v>
      </c>
      <c r="C33" s="302">
        <v>5600</v>
      </c>
      <c r="D33" s="294">
        <v>700</v>
      </c>
      <c r="E33" s="294">
        <f>C33/D33</f>
        <v>8</v>
      </c>
      <c r="F33" s="411"/>
      <c r="G33" s="411"/>
      <c r="H33" s="413"/>
    </row>
    <row r="34" spans="2:11">
      <c r="B34" s="308" t="s">
        <v>303</v>
      </c>
      <c r="C34" s="302">
        <f>E22</f>
        <v>339.17939999999999</v>
      </c>
      <c r="D34" s="294">
        <v>15</v>
      </c>
      <c r="E34" s="294">
        <f>C34/D34</f>
        <v>22.61196</v>
      </c>
      <c r="F34" s="411"/>
      <c r="G34" s="411"/>
      <c r="H34" s="413"/>
    </row>
    <row r="35" spans="2:11">
      <c r="B35" s="308" t="s">
        <v>304</v>
      </c>
      <c r="C35" s="302">
        <f>E23</f>
        <v>622.0071999999999</v>
      </c>
      <c r="D35" s="294">
        <v>30</v>
      </c>
      <c r="E35" s="294">
        <f>C35/D35</f>
        <v>20.733573333333329</v>
      </c>
      <c r="F35" s="411"/>
      <c r="G35" s="411"/>
      <c r="H35" s="413"/>
    </row>
    <row r="36" spans="2:11">
      <c r="B36" s="308" t="s">
        <v>316</v>
      </c>
      <c r="C36" s="295" t="s">
        <v>290</v>
      </c>
      <c r="D36" s="295" t="s">
        <v>290</v>
      </c>
      <c r="E36" s="415">
        <v>22</v>
      </c>
      <c r="F36" s="411"/>
      <c r="G36" s="411"/>
      <c r="H36" s="413"/>
    </row>
    <row r="37" spans="2:11">
      <c r="B37" s="308" t="s">
        <v>344</v>
      </c>
      <c r="C37" s="295" t="s">
        <v>290</v>
      </c>
      <c r="D37" s="295" t="s">
        <v>290</v>
      </c>
      <c r="E37" s="415"/>
      <c r="F37" s="411"/>
      <c r="G37" s="411"/>
      <c r="H37" s="413"/>
    </row>
    <row r="38" spans="2:11">
      <c r="B38" s="308" t="s">
        <v>345</v>
      </c>
      <c r="C38" s="295" t="s">
        <v>290</v>
      </c>
      <c r="D38" s="295" t="s">
        <v>290</v>
      </c>
      <c r="E38" s="415"/>
      <c r="F38" s="411"/>
      <c r="G38" s="411"/>
      <c r="H38" s="413"/>
    </row>
    <row r="39" spans="2:11" ht="13.8" thickBot="1">
      <c r="B39" s="299" t="s">
        <v>346</v>
      </c>
      <c r="C39" s="300" t="s">
        <v>290</v>
      </c>
      <c r="D39" s="300" t="s">
        <v>290</v>
      </c>
      <c r="E39" s="416"/>
      <c r="F39" s="412"/>
      <c r="G39" s="412"/>
      <c r="H39" s="414"/>
    </row>
    <row r="40" spans="2:11">
      <c r="G40" s="252"/>
    </row>
    <row r="41" spans="2:11" ht="13.8" thickBot="1">
      <c r="G41" s="252"/>
    </row>
    <row r="42" spans="2:11" ht="13.8" thickBot="1">
      <c r="B42" s="408" t="s">
        <v>317</v>
      </c>
      <c r="C42" s="409"/>
      <c r="D42" s="409"/>
      <c r="E42" s="409"/>
      <c r="F42" s="409"/>
      <c r="G42" s="409"/>
      <c r="H42" s="409"/>
      <c r="I42" s="409"/>
      <c r="J42" s="409"/>
      <c r="K42" s="410"/>
    </row>
    <row r="43" spans="2:11">
      <c r="B43" s="310" t="s">
        <v>296</v>
      </c>
      <c r="C43" s="255" t="s">
        <v>328</v>
      </c>
      <c r="D43" s="255" t="s">
        <v>73</v>
      </c>
      <c r="E43" s="255" t="s">
        <v>370</v>
      </c>
      <c r="F43" s="255" t="s">
        <v>369</v>
      </c>
      <c r="G43" s="144"/>
      <c r="H43" s="255" t="s">
        <v>371</v>
      </c>
      <c r="I43" s="255" t="s">
        <v>372</v>
      </c>
      <c r="J43" s="417" t="s">
        <v>101</v>
      </c>
      <c r="K43" s="418"/>
    </row>
    <row r="44" spans="2:11" ht="26.4">
      <c r="B44" s="311" t="s">
        <v>318</v>
      </c>
      <c r="C44" s="312" t="s">
        <v>327</v>
      </c>
      <c r="D44" s="309">
        <v>8</v>
      </c>
      <c r="E44" s="313">
        <v>610</v>
      </c>
      <c r="F44" s="313">
        <f>E44*D44</f>
        <v>4880</v>
      </c>
      <c r="G44" s="144"/>
      <c r="H44" s="314">
        <v>150</v>
      </c>
      <c r="I44" s="314">
        <f>H44*D44</f>
        <v>1200</v>
      </c>
      <c r="J44" s="419">
        <f>I44+F44</f>
        <v>6080</v>
      </c>
      <c r="K44" s="420"/>
    </row>
    <row r="45" spans="2:11" ht="25.2">
      <c r="B45" s="315" t="s">
        <v>323</v>
      </c>
      <c r="C45" s="312" t="s">
        <v>327</v>
      </c>
      <c r="D45" s="309">
        <v>6</v>
      </c>
      <c r="E45" s="313">
        <v>150</v>
      </c>
      <c r="F45" s="313">
        <f t="shared" ref="F45:F55" si="3">E45*D45</f>
        <v>900</v>
      </c>
      <c r="G45" s="144"/>
      <c r="H45" s="314">
        <v>50</v>
      </c>
      <c r="I45" s="314">
        <f t="shared" ref="I45:I55" si="4">H45*D45</f>
        <v>300</v>
      </c>
      <c r="J45" s="419">
        <f t="shared" ref="J45:J55" si="5">I45+F45</f>
        <v>1200</v>
      </c>
      <c r="K45" s="420"/>
    </row>
    <row r="46" spans="2:11" ht="37.799999999999997">
      <c r="B46" s="316" t="s">
        <v>324</v>
      </c>
      <c r="C46" s="317" t="s">
        <v>311</v>
      </c>
      <c r="D46" s="309">
        <v>4.24</v>
      </c>
      <c r="E46" s="313">
        <v>838.66</v>
      </c>
      <c r="F46" s="313">
        <f t="shared" si="3"/>
        <v>3555.9184</v>
      </c>
      <c r="G46" s="144"/>
      <c r="H46" s="314">
        <v>150</v>
      </c>
      <c r="I46" s="314">
        <f t="shared" si="4"/>
        <v>636</v>
      </c>
      <c r="J46" s="419">
        <f t="shared" si="5"/>
        <v>4191.9184000000005</v>
      </c>
      <c r="K46" s="420"/>
    </row>
    <row r="47" spans="2:11">
      <c r="B47" s="315" t="s">
        <v>329</v>
      </c>
      <c r="C47" s="312" t="s">
        <v>327</v>
      </c>
      <c r="D47" s="309">
        <v>1</v>
      </c>
      <c r="E47" s="313">
        <v>350</v>
      </c>
      <c r="F47" s="313">
        <f t="shared" si="3"/>
        <v>350</v>
      </c>
      <c r="G47" s="144"/>
      <c r="H47" s="314">
        <v>150</v>
      </c>
      <c r="I47" s="314">
        <f t="shared" si="4"/>
        <v>150</v>
      </c>
      <c r="J47" s="419">
        <f t="shared" si="5"/>
        <v>500</v>
      </c>
      <c r="K47" s="420"/>
    </row>
    <row r="48" spans="2:11" ht="25.2">
      <c r="B48" s="315" t="s">
        <v>325</v>
      </c>
      <c r="C48" s="312" t="s">
        <v>327</v>
      </c>
      <c r="D48" s="309">
        <v>7</v>
      </c>
      <c r="E48" s="313">
        <v>200</v>
      </c>
      <c r="F48" s="313">
        <f t="shared" si="3"/>
        <v>1400</v>
      </c>
      <c r="G48" s="144"/>
      <c r="H48" s="314">
        <v>5</v>
      </c>
      <c r="I48" s="314">
        <f t="shared" si="4"/>
        <v>35</v>
      </c>
      <c r="J48" s="419">
        <f t="shared" si="5"/>
        <v>1435</v>
      </c>
      <c r="K48" s="420"/>
    </row>
    <row r="49" spans="2:12" ht="37.799999999999997">
      <c r="B49" s="315" t="s">
        <v>326</v>
      </c>
      <c r="C49" s="312" t="s">
        <v>327</v>
      </c>
      <c r="D49" s="309">
        <v>2</v>
      </c>
      <c r="E49" s="313">
        <v>650</v>
      </c>
      <c r="F49" s="313">
        <f t="shared" si="3"/>
        <v>1300</v>
      </c>
      <c r="G49" s="144"/>
      <c r="H49" s="314">
        <v>150</v>
      </c>
      <c r="I49" s="314">
        <f t="shared" si="4"/>
        <v>300</v>
      </c>
      <c r="J49" s="419">
        <f t="shared" si="5"/>
        <v>1600</v>
      </c>
      <c r="K49" s="420"/>
    </row>
    <row r="50" spans="2:12">
      <c r="B50" s="293" t="s">
        <v>330</v>
      </c>
      <c r="C50" s="312" t="s">
        <v>327</v>
      </c>
      <c r="D50" s="309">
        <v>4</v>
      </c>
      <c r="E50" s="313">
        <v>40</v>
      </c>
      <c r="F50" s="313">
        <f t="shared" si="3"/>
        <v>160</v>
      </c>
      <c r="G50" s="144"/>
      <c r="H50" s="314">
        <v>5</v>
      </c>
      <c r="I50" s="314">
        <f t="shared" si="4"/>
        <v>20</v>
      </c>
      <c r="J50" s="419">
        <f t="shared" si="5"/>
        <v>180</v>
      </c>
      <c r="K50" s="420"/>
    </row>
    <row r="51" spans="2:12" ht="37.799999999999997">
      <c r="B51" s="316" t="s">
        <v>333</v>
      </c>
      <c r="C51" s="318" t="s">
        <v>72</v>
      </c>
      <c r="D51" s="325">
        <v>8</v>
      </c>
      <c r="E51" s="313">
        <v>115</v>
      </c>
      <c r="F51" s="313">
        <f t="shared" si="3"/>
        <v>920</v>
      </c>
      <c r="G51" s="313"/>
      <c r="H51" s="314">
        <v>5</v>
      </c>
      <c r="I51" s="314">
        <f t="shared" si="4"/>
        <v>40</v>
      </c>
      <c r="J51" s="419">
        <f t="shared" si="5"/>
        <v>960</v>
      </c>
      <c r="K51" s="420"/>
    </row>
    <row r="52" spans="2:12" ht="25.2">
      <c r="B52" s="316" t="s">
        <v>334</v>
      </c>
      <c r="C52" s="318" t="s">
        <v>72</v>
      </c>
      <c r="D52" s="325">
        <v>4</v>
      </c>
      <c r="E52" s="313">
        <v>210</v>
      </c>
      <c r="F52" s="313">
        <f t="shared" si="3"/>
        <v>840</v>
      </c>
      <c r="G52" s="313"/>
      <c r="H52" s="314">
        <v>5</v>
      </c>
      <c r="I52" s="314">
        <f t="shared" si="4"/>
        <v>20</v>
      </c>
      <c r="J52" s="419">
        <f t="shared" si="5"/>
        <v>860</v>
      </c>
      <c r="K52" s="420"/>
    </row>
    <row r="53" spans="2:12" ht="37.799999999999997">
      <c r="B53" s="316" t="s">
        <v>335</v>
      </c>
      <c r="C53" s="318" t="s">
        <v>72</v>
      </c>
      <c r="D53" s="325">
        <v>3</v>
      </c>
      <c r="E53" s="313">
        <v>150</v>
      </c>
      <c r="F53" s="313">
        <f t="shared" si="3"/>
        <v>450</v>
      </c>
      <c r="G53" s="313"/>
      <c r="H53" s="314">
        <v>5</v>
      </c>
      <c r="I53" s="314">
        <f t="shared" si="4"/>
        <v>15</v>
      </c>
      <c r="J53" s="419">
        <f t="shared" si="5"/>
        <v>465</v>
      </c>
      <c r="K53" s="420"/>
    </row>
    <row r="54" spans="2:12" ht="37.799999999999997">
      <c r="B54" s="316" t="s">
        <v>336</v>
      </c>
      <c r="C54" s="318" t="s">
        <v>72</v>
      </c>
      <c r="D54" s="325">
        <v>6</v>
      </c>
      <c r="E54" s="313">
        <v>555</v>
      </c>
      <c r="F54" s="313">
        <f t="shared" si="3"/>
        <v>3330</v>
      </c>
      <c r="G54" s="313"/>
      <c r="H54" s="314">
        <v>120</v>
      </c>
      <c r="I54" s="314">
        <f t="shared" si="4"/>
        <v>720</v>
      </c>
      <c r="J54" s="419">
        <f t="shared" si="5"/>
        <v>4050</v>
      </c>
      <c r="K54" s="420"/>
    </row>
    <row r="55" spans="2:12" ht="37.799999999999997">
      <c r="B55" s="316" t="s">
        <v>337</v>
      </c>
      <c r="C55" s="318" t="s">
        <v>280</v>
      </c>
      <c r="D55" s="325">
        <v>35.159999999999997</v>
      </c>
      <c r="E55" s="313">
        <v>650</v>
      </c>
      <c r="F55" s="313">
        <f t="shared" si="3"/>
        <v>22853.999999999996</v>
      </c>
      <c r="G55" s="313"/>
      <c r="H55" s="314">
        <v>0</v>
      </c>
      <c r="I55" s="314">
        <f t="shared" si="4"/>
        <v>0</v>
      </c>
      <c r="J55" s="419">
        <f t="shared" si="5"/>
        <v>22853.999999999996</v>
      </c>
      <c r="K55" s="420"/>
    </row>
    <row r="56" spans="2:12" ht="13.8" thickBot="1">
      <c r="B56" s="319" t="s">
        <v>101</v>
      </c>
      <c r="C56" s="320"/>
      <c r="D56" s="321"/>
      <c r="E56" s="322"/>
      <c r="F56" s="323">
        <f>SUM(F44:F55)</f>
        <v>40939.918399999995</v>
      </c>
      <c r="G56" s="322"/>
      <c r="H56" s="322"/>
      <c r="I56" s="323">
        <f>SUM(I44:I55)</f>
        <v>3436</v>
      </c>
      <c r="J56" s="434">
        <f>SUM(J44:K55)</f>
        <v>44375.918399999995</v>
      </c>
      <c r="K56" s="435"/>
    </row>
    <row r="57" spans="2:12" ht="13.8" thickBot="1">
      <c r="B57" s="408" t="s">
        <v>339</v>
      </c>
      <c r="C57" s="409"/>
      <c r="D57" s="409"/>
      <c r="E57" s="409"/>
      <c r="F57" s="409"/>
      <c r="G57" s="409"/>
      <c r="H57" s="409"/>
      <c r="I57" s="409"/>
      <c r="J57" s="409" t="s">
        <v>340</v>
      </c>
      <c r="K57" s="410"/>
    </row>
    <row r="58" spans="2:12">
      <c r="B58" s="310" t="s">
        <v>296</v>
      </c>
      <c r="C58" s="255" t="s">
        <v>328</v>
      </c>
      <c r="D58" s="255" t="s">
        <v>73</v>
      </c>
      <c r="E58" s="255" t="s">
        <v>319</v>
      </c>
      <c r="F58" s="255" t="s">
        <v>320</v>
      </c>
      <c r="G58" s="144"/>
      <c r="H58" s="255" t="s">
        <v>321</v>
      </c>
      <c r="I58" s="255" t="s">
        <v>322</v>
      </c>
      <c r="J58" s="255" t="s">
        <v>319</v>
      </c>
      <c r="K58" s="326" t="s">
        <v>322</v>
      </c>
    </row>
    <row r="59" spans="2:12">
      <c r="B59" s="308" t="s">
        <v>331</v>
      </c>
      <c r="C59" s="312" t="s">
        <v>327</v>
      </c>
      <c r="D59" s="309">
        <v>7</v>
      </c>
      <c r="E59" s="313">
        <v>391.96</v>
      </c>
      <c r="F59" s="313">
        <f>E59*D59</f>
        <v>2743.72</v>
      </c>
      <c r="G59" s="144"/>
      <c r="H59" s="313"/>
      <c r="I59" s="313">
        <f>F59+H59</f>
        <v>2743.72</v>
      </c>
      <c r="J59" s="144">
        <v>150</v>
      </c>
      <c r="K59" s="253">
        <f>J59*D59</f>
        <v>1050</v>
      </c>
      <c r="L59"/>
    </row>
    <row r="60" spans="2:12">
      <c r="B60" s="308" t="s">
        <v>332</v>
      </c>
      <c r="C60" s="312" t="s">
        <v>327</v>
      </c>
      <c r="D60" s="309">
        <v>1</v>
      </c>
      <c r="E60" s="313">
        <v>1390</v>
      </c>
      <c r="F60" s="313">
        <f>E60*D60</f>
        <v>1390</v>
      </c>
      <c r="G60" s="144"/>
      <c r="H60" s="313"/>
      <c r="I60" s="313">
        <f>F60+H60</f>
        <v>1390</v>
      </c>
      <c r="J60" s="144">
        <v>150</v>
      </c>
      <c r="K60" s="253">
        <f t="shared" ref="K60:K61" si="6">J60*D60</f>
        <v>150</v>
      </c>
    </row>
    <row r="61" spans="2:12">
      <c r="B61" s="308" t="s">
        <v>338</v>
      </c>
      <c r="C61" s="312" t="s">
        <v>327</v>
      </c>
      <c r="D61" s="309">
        <v>3</v>
      </c>
      <c r="E61" s="144">
        <v>2000</v>
      </c>
      <c r="F61" s="313">
        <f>E61*D61</f>
        <v>6000</v>
      </c>
      <c r="G61" s="144"/>
      <c r="H61" s="313"/>
      <c r="I61" s="313">
        <f>F61+H61</f>
        <v>6000</v>
      </c>
      <c r="J61" s="144">
        <v>200</v>
      </c>
      <c r="K61" s="253">
        <f t="shared" si="6"/>
        <v>600</v>
      </c>
    </row>
    <row r="62" spans="2:12" ht="13.8" thickBot="1">
      <c r="B62" s="319" t="s">
        <v>101</v>
      </c>
      <c r="C62" s="320"/>
      <c r="D62" s="321"/>
      <c r="E62" s="322"/>
      <c r="F62" s="322"/>
      <c r="G62" s="322"/>
      <c r="H62" s="322"/>
      <c r="I62" s="322">
        <f>SUM(I59:I61)</f>
        <v>10133.719999999999</v>
      </c>
      <c r="J62" s="254"/>
      <c r="K62" s="324">
        <f>SUM(K59:K61)</f>
        <v>1800</v>
      </c>
    </row>
    <row r="65" spans="2:11" ht="13.8" thickBot="1"/>
    <row r="66" spans="2:11" ht="13.8" thickBot="1">
      <c r="B66" s="408" t="s">
        <v>365</v>
      </c>
      <c r="C66" s="409"/>
      <c r="D66" s="409"/>
      <c r="E66" s="409"/>
      <c r="F66" s="409"/>
      <c r="G66" s="409"/>
      <c r="H66" s="409"/>
      <c r="I66" s="409"/>
      <c r="J66" s="409"/>
      <c r="K66" s="410"/>
    </row>
    <row r="67" spans="2:11" ht="13.8" thickBot="1">
      <c r="B67" s="432" t="s">
        <v>363</v>
      </c>
      <c r="C67" s="433"/>
      <c r="D67" s="433"/>
      <c r="E67" s="430" t="s">
        <v>364</v>
      </c>
      <c r="F67" s="430"/>
      <c r="G67" s="430"/>
      <c r="H67" s="430"/>
      <c r="I67" s="403" t="s">
        <v>368</v>
      </c>
      <c r="J67" s="404"/>
      <c r="K67" s="405"/>
    </row>
    <row r="68" spans="2:11">
      <c r="B68" s="272" t="s">
        <v>347</v>
      </c>
      <c r="C68" s="273">
        <v>116.54</v>
      </c>
      <c r="D68" s="256" t="s">
        <v>311</v>
      </c>
      <c r="E68" s="274" t="s">
        <v>351</v>
      </c>
      <c r="F68" s="275">
        <v>3.4119999999999999</v>
      </c>
      <c r="G68" s="256"/>
      <c r="H68" s="256" t="s">
        <v>352</v>
      </c>
      <c r="I68" s="272" t="s">
        <v>367</v>
      </c>
      <c r="J68" s="255" t="s">
        <v>366</v>
      </c>
      <c r="K68" s="282" t="s">
        <v>322</v>
      </c>
    </row>
    <row r="69" spans="2:11">
      <c r="B69" s="272" t="s">
        <v>348</v>
      </c>
      <c r="C69" s="273">
        <v>200</v>
      </c>
      <c r="D69" s="256" t="s">
        <v>359</v>
      </c>
      <c r="E69" s="274" t="s">
        <v>353</v>
      </c>
      <c r="F69" s="275">
        <v>12000</v>
      </c>
      <c r="G69" s="256"/>
      <c r="H69" s="256" t="s">
        <v>352</v>
      </c>
      <c r="I69" s="283">
        <v>30000</v>
      </c>
      <c r="J69" s="144">
        <v>6000</v>
      </c>
      <c r="K69" s="253">
        <f>J69*H74</f>
        <v>24000</v>
      </c>
    </row>
    <row r="70" spans="2:11">
      <c r="B70" s="272" t="s">
        <v>349</v>
      </c>
      <c r="C70" s="273">
        <v>90</v>
      </c>
      <c r="D70" s="256"/>
      <c r="E70" s="144"/>
      <c r="F70" s="144"/>
      <c r="G70" s="144"/>
      <c r="H70" s="144"/>
      <c r="I70" s="272" t="s">
        <v>373</v>
      </c>
      <c r="J70" s="144">
        <v>3966</v>
      </c>
      <c r="K70" s="253">
        <f>(J70*0.2)+J70</f>
        <v>4759.2</v>
      </c>
    </row>
    <row r="71" spans="2:11" ht="13.8" thickBot="1">
      <c r="B71" s="272" t="s">
        <v>350</v>
      </c>
      <c r="C71" s="273">
        <v>100</v>
      </c>
      <c r="D71" s="256" t="s">
        <v>360</v>
      </c>
      <c r="E71" s="144"/>
      <c r="F71" s="144"/>
      <c r="G71" s="144"/>
      <c r="H71" s="256"/>
      <c r="I71" s="401" t="s">
        <v>376</v>
      </c>
      <c r="J71" s="402"/>
      <c r="K71" s="282">
        <f>SUM(K69:K70)</f>
        <v>28759.200000000001</v>
      </c>
    </row>
    <row r="72" spans="2:11" ht="13.8" thickBot="1">
      <c r="B72" s="431" t="s">
        <v>362</v>
      </c>
      <c r="C72" s="430"/>
      <c r="D72" s="430"/>
      <c r="E72" s="430" t="s">
        <v>361</v>
      </c>
      <c r="F72" s="430"/>
      <c r="G72" s="144"/>
      <c r="H72" s="284"/>
      <c r="I72" s="403" t="s">
        <v>377</v>
      </c>
      <c r="J72" s="404"/>
      <c r="K72" s="405"/>
    </row>
    <row r="73" spans="2:11">
      <c r="B73" s="272" t="s">
        <v>355</v>
      </c>
      <c r="C73" s="276">
        <f>C68*C69</f>
        <v>23308</v>
      </c>
      <c r="D73" s="256" t="s">
        <v>358</v>
      </c>
      <c r="E73" s="277">
        <f>C75*F68</f>
        <v>110234.89599999999</v>
      </c>
      <c r="F73" s="256" t="s">
        <v>352</v>
      </c>
      <c r="G73" s="144"/>
      <c r="H73" s="285">
        <f>E73/I69</f>
        <v>3.674496533333333</v>
      </c>
      <c r="I73" s="272" t="s">
        <v>374</v>
      </c>
      <c r="J73" s="144">
        <v>2800</v>
      </c>
      <c r="K73" s="253">
        <f>J73</f>
        <v>2800</v>
      </c>
    </row>
    <row r="74" spans="2:11">
      <c r="B74" s="272" t="s">
        <v>356</v>
      </c>
      <c r="C74" s="276">
        <f>C70*C71</f>
        <v>9000</v>
      </c>
      <c r="D74" s="256" t="s">
        <v>358</v>
      </c>
      <c r="E74" s="278"/>
      <c r="F74" s="144"/>
      <c r="G74" s="144"/>
      <c r="H74" s="285">
        <f>ROUNDUP(H73/1,0)</f>
        <v>4</v>
      </c>
      <c r="I74" s="272" t="s">
        <v>375</v>
      </c>
      <c r="J74" s="144">
        <f>2000*4</f>
        <v>8000</v>
      </c>
      <c r="K74" s="253">
        <f>J74</f>
        <v>8000</v>
      </c>
    </row>
    <row r="75" spans="2:11" ht="13.8" thickBot="1">
      <c r="B75" s="279" t="s">
        <v>357</v>
      </c>
      <c r="C75" s="280">
        <f>C73+C74</f>
        <v>32308</v>
      </c>
      <c r="D75" s="281" t="s">
        <v>358</v>
      </c>
      <c r="E75" s="280">
        <f>E73/F69</f>
        <v>9.1862413333333333</v>
      </c>
      <c r="F75" s="281" t="s">
        <v>354</v>
      </c>
      <c r="G75" s="254"/>
      <c r="H75" s="286"/>
      <c r="I75" s="399" t="s">
        <v>376</v>
      </c>
      <c r="J75" s="400"/>
      <c r="K75" s="287">
        <f>SUM(K73:K74)</f>
        <v>10800</v>
      </c>
    </row>
    <row r="76" spans="2:11">
      <c r="C76" s="271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3.2"/>
  <cols>
    <col min="1" max="1" width="2.6640625" customWidth="1"/>
    <col min="2" max="2" width="28" bestFit="1" customWidth="1"/>
    <col min="3" max="3" width="17.6640625" bestFit="1" customWidth="1"/>
    <col min="4" max="4" width="18.33203125" bestFit="1" customWidth="1"/>
    <col min="5" max="5" width="13.33203125" bestFit="1" customWidth="1"/>
    <col min="6" max="6" width="10.5546875" bestFit="1" customWidth="1"/>
    <col min="7" max="7" width="17.5546875" bestFit="1" customWidth="1"/>
    <col min="8" max="8" width="7" bestFit="1" customWidth="1"/>
    <col min="9" max="9" width="10.5546875" bestFit="1" customWidth="1"/>
  </cols>
  <sheetData>
    <row r="1" spans="2:8" ht="13.8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8" thickBot="1">
      <c r="B6" s="132" t="s">
        <v>1</v>
      </c>
      <c r="C6" s="236">
        <v>0</v>
      </c>
      <c r="D6" s="133" t="s">
        <v>122</v>
      </c>
    </row>
    <row r="7" spans="2:8" ht="13.8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8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9.6">
      <c r="B16" s="43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3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20.6640625" bestFit="1" customWidth="1"/>
    <col min="6" max="6" width="22.33203125" bestFit="1" customWidth="1"/>
    <col min="7" max="7" width="27.109375" bestFit="1" customWidth="1"/>
    <col min="8" max="8" width="13.332031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3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37"/>
      <c r="B4" s="67" t="s">
        <v>133</v>
      </c>
      <c r="C4" s="147">
        <v>0.8</v>
      </c>
      <c r="D4" s="71"/>
      <c r="G4" s="60"/>
      <c r="H4" s="62"/>
      <c r="I4" s="60"/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147">
        <f>'RESUMO CUSTOS '!D13</f>
        <v>14</v>
      </c>
      <c r="D7" s="71"/>
    </row>
    <row r="8" spans="1:9">
      <c r="A8" s="43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3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3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3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3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0.554687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3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3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37"/>
      <c r="B5" s="67" t="s">
        <v>134</v>
      </c>
      <c r="C5" s="72">
        <f>C4*C3</f>
        <v>24</v>
      </c>
      <c r="D5" s="71"/>
    </row>
    <row r="6" spans="1:9">
      <c r="A6" s="437"/>
      <c r="B6" s="67" t="s">
        <v>135</v>
      </c>
      <c r="C6" s="72">
        <f>C4*C3</f>
        <v>24</v>
      </c>
      <c r="D6" s="71"/>
    </row>
    <row r="7" spans="1:9">
      <c r="A7" s="437"/>
      <c r="B7" s="67" t="s">
        <v>136</v>
      </c>
      <c r="C7" s="150">
        <v>0</v>
      </c>
      <c r="D7" s="71"/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3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3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3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37"/>
      <c r="B3" s="67" t="s">
        <v>258</v>
      </c>
      <c r="C3" s="146">
        <f>'RESUMO CUSTOS '!D9</f>
        <v>30</v>
      </c>
      <c r="D3" s="69" t="s">
        <v>132</v>
      </c>
    </row>
    <row r="4" spans="1:8">
      <c r="A4" s="437"/>
      <c r="B4" s="67" t="s">
        <v>133</v>
      </c>
      <c r="C4" s="147">
        <v>0.8</v>
      </c>
      <c r="D4" s="71"/>
    </row>
    <row r="5" spans="1:8">
      <c r="A5" s="437"/>
      <c r="B5" s="67" t="s">
        <v>134</v>
      </c>
      <c r="C5" s="72">
        <f>C4*C3</f>
        <v>24</v>
      </c>
      <c r="D5" s="71"/>
    </row>
    <row r="6" spans="1:8">
      <c r="A6" s="437"/>
      <c r="B6" s="67" t="s">
        <v>135</v>
      </c>
      <c r="C6" s="72">
        <f>C4*C3</f>
        <v>24</v>
      </c>
      <c r="D6" s="71"/>
    </row>
    <row r="7" spans="1:8">
      <c r="A7" s="437"/>
      <c r="B7" s="67" t="s">
        <v>136</v>
      </c>
      <c r="C7" s="147">
        <v>14</v>
      </c>
      <c r="D7" s="71"/>
    </row>
    <row r="8" spans="1:8">
      <c r="A8" s="43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</v>
      </c>
      <c r="E11" s="71">
        <f>C11*D11</f>
        <v>0</v>
      </c>
    </row>
    <row r="12" spans="1:8">
      <c r="A12" s="43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3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3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3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3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3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2.109375" bestFit="1" customWidth="1"/>
    <col min="9" max="9" width="13.88671875" bestFit="1" customWidth="1"/>
    <col min="10" max="10" width="10.5546875" bestFit="1" customWidth="1"/>
    <col min="11" max="11" width="14.109375" bestFit="1" customWidth="1"/>
    <col min="13" max="13" width="9.5546875" bestFit="1" customWidth="1"/>
    <col min="14" max="14" width="12.109375" bestFit="1" customWidth="1"/>
  </cols>
  <sheetData>
    <row r="2" spans="1:15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37"/>
      <c r="B3" s="67" t="s">
        <v>258</v>
      </c>
      <c r="C3" s="68">
        <v>30</v>
      </c>
      <c r="D3" s="69" t="s">
        <v>132</v>
      </c>
    </row>
    <row r="4" spans="1:15">
      <c r="A4" s="43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3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3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3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/>
      <c r="E71" s="440"/>
      <c r="F71" s="440"/>
      <c r="G71" s="440"/>
      <c r="H71" s="440"/>
    </row>
    <row r="72" spans="4:8">
      <c r="D72" s="440" t="s">
        <v>228</v>
      </c>
      <c r="E72" s="441"/>
      <c r="F72" s="441"/>
      <c r="G72" s="441"/>
      <c r="H72" s="441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40" t="s">
        <v>229</v>
      </c>
      <c r="E85" s="440"/>
      <c r="F85" s="440"/>
      <c r="G85" s="440"/>
      <c r="H85" s="440"/>
    </row>
    <row r="86" spans="3:11" ht="26.4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40" t="s">
        <v>210</v>
      </c>
      <c r="E138" s="440"/>
      <c r="F138" s="440"/>
      <c r="G138" s="440"/>
      <c r="H138" s="440"/>
    </row>
    <row r="139" spans="4:10">
      <c r="D139" s="62"/>
    </row>
    <row r="140" spans="4:10" ht="26.4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40" t="s">
        <v>212</v>
      </c>
      <c r="E180" s="440"/>
      <c r="F180" s="440"/>
      <c r="G180" s="440"/>
      <c r="H180" s="440"/>
    </row>
    <row r="181" spans="4:8">
      <c r="D181" s="62"/>
    </row>
    <row r="182" spans="4:8" ht="26.4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40" t="s">
        <v>215</v>
      </c>
      <c r="E222" s="440"/>
      <c r="F222" s="440"/>
      <c r="G222" s="440"/>
      <c r="H222" s="440"/>
    </row>
    <row r="223" spans="4:8">
      <c r="D223" s="62"/>
    </row>
    <row r="224" spans="4:8" ht="26.4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4.33203125" bestFit="1" customWidth="1"/>
  </cols>
  <sheetData>
    <row r="2" spans="1:9">
      <c r="A2" s="43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3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3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3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3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3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3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37"/>
      <c r="B11" s="43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3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3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3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3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3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3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3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3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3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3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3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3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40" t="s">
        <v>179</v>
      </c>
      <c r="E53" s="440"/>
      <c r="F53" s="440"/>
      <c r="G53" s="440"/>
      <c r="H53" s="44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40" t="s">
        <v>185</v>
      </c>
      <c r="E62" s="440"/>
      <c r="F62" s="440"/>
      <c r="G62" s="440"/>
      <c r="H62" s="44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40" t="s">
        <v>186</v>
      </c>
      <c r="E71" s="440"/>
      <c r="F71" s="440"/>
      <c r="G71" s="440"/>
      <c r="H71" s="440"/>
    </row>
    <row r="72" spans="4:8">
      <c r="D72" s="62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40" t="s">
        <v>191</v>
      </c>
      <c r="E107" s="440"/>
      <c r="F107" s="440"/>
      <c r="G107" s="440"/>
      <c r="H107" s="440"/>
    </row>
    <row r="108" spans="3:8">
      <c r="D108" s="62"/>
    </row>
    <row r="109" spans="3:8" ht="26.4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40" t="s">
        <v>192</v>
      </c>
      <c r="E170" s="440"/>
      <c r="F170" s="440"/>
      <c r="G170" s="440"/>
      <c r="H170" s="440"/>
    </row>
    <row r="171" spans="4:8">
      <c r="D171" s="62"/>
    </row>
    <row r="172" spans="4:8" ht="26.4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3.2"/>
  <cols>
    <col min="1" max="1" width="2.6640625" customWidth="1"/>
    <col min="2" max="2" width="36.6640625" bestFit="1" customWidth="1"/>
    <col min="3" max="3" width="21.109375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0.5</v>
      </c>
      <c r="E11" s="71">
        <f>C11*D11</f>
        <v>1750</v>
      </c>
    </row>
    <row r="12" spans="1:8">
      <c r="A12" s="43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3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3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3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37"/>
      <c r="B25" s="67" t="s">
        <v>124</v>
      </c>
      <c r="C25" s="82"/>
      <c r="D25" s="82"/>
      <c r="E25" s="86"/>
      <c r="F25" s="72"/>
      <c r="G25" s="87"/>
    </row>
    <row r="26" spans="1:7">
      <c r="A26" s="437"/>
      <c r="B26" s="67" t="s">
        <v>125</v>
      </c>
      <c r="C26" s="82"/>
      <c r="D26" s="82"/>
      <c r="E26" s="86"/>
      <c r="F26" s="72"/>
      <c r="G26" s="87"/>
    </row>
    <row r="27" spans="1:7">
      <c r="A27" s="437"/>
      <c r="B27" s="67" t="s">
        <v>126</v>
      </c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9" width="13.33203125" bestFit="1" customWidth="1"/>
  </cols>
  <sheetData>
    <row r="2" spans="1:9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3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3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37"/>
      <c r="B5" s="67" t="s">
        <v>134</v>
      </c>
      <c r="C5" s="72">
        <f>C4*C3</f>
        <v>0</v>
      </c>
      <c r="D5" s="71"/>
    </row>
    <row r="6" spans="1:9">
      <c r="A6" s="437"/>
      <c r="B6" s="67" t="s">
        <v>135</v>
      </c>
      <c r="C6" s="72">
        <f>C4*C3</f>
        <v>0</v>
      </c>
      <c r="D6" s="71"/>
    </row>
    <row r="7" spans="1:9">
      <c r="A7" s="437"/>
      <c r="B7" s="67" t="s">
        <v>136</v>
      </c>
      <c r="C7" s="70">
        <f>91.6*2</f>
        <v>183.2</v>
      </c>
      <c r="D7" s="71"/>
    </row>
    <row r="8" spans="1:9">
      <c r="A8" s="43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37"/>
      <c r="B11" s="439"/>
      <c r="C11" s="70">
        <v>0</v>
      </c>
      <c r="D11" s="78">
        <v>1</v>
      </c>
      <c r="E11" s="71">
        <f>C11*D11</f>
        <v>0</v>
      </c>
    </row>
    <row r="12" spans="1:9">
      <c r="A12" s="43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3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3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3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3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3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3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3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3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3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3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3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6.4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37"/>
      <c r="B4" s="67" t="s">
        <v>133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0.4</v>
      </c>
      <c r="E11" s="71">
        <f>C11*D11</f>
        <v>1400</v>
      </c>
    </row>
    <row r="12" spans="1:8">
      <c r="A12" s="43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3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3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37"/>
      <c r="B4" s="67" t="s">
        <v>259</v>
      </c>
      <c r="C4" s="70">
        <v>0.8</v>
      </c>
      <c r="D4" s="71"/>
    </row>
    <row r="5" spans="1:8">
      <c r="A5" s="437"/>
      <c r="B5" s="67" t="s">
        <v>134</v>
      </c>
      <c r="C5" s="72">
        <f>C4*C3</f>
        <v>0</v>
      </c>
      <c r="D5" s="71"/>
    </row>
    <row r="6" spans="1:8">
      <c r="A6" s="437"/>
      <c r="B6" s="67" t="s">
        <v>135</v>
      </c>
      <c r="C6" s="72">
        <f>C4*C3</f>
        <v>0</v>
      </c>
      <c r="D6" s="71"/>
    </row>
    <row r="7" spans="1:8">
      <c r="A7" s="437"/>
      <c r="B7" s="67" t="s">
        <v>136</v>
      </c>
      <c r="C7" s="70">
        <f>91.6*2</f>
        <v>183.2</v>
      </c>
      <c r="D7" s="71"/>
    </row>
    <row r="8" spans="1:8">
      <c r="A8" s="43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37"/>
      <c r="B10" s="43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37"/>
      <c r="B11" s="439"/>
      <c r="C11" s="70">
        <v>3500</v>
      </c>
      <c r="D11" s="78">
        <v>1</v>
      </c>
      <c r="E11" s="71">
        <f>C11*D11</f>
        <v>3500</v>
      </c>
    </row>
    <row r="12" spans="1:8">
      <c r="A12" s="43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3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3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3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3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37"/>
      <c r="B19" s="67"/>
      <c r="C19" s="82"/>
      <c r="D19" s="83"/>
      <c r="E19" s="72"/>
      <c r="F19" s="72"/>
      <c r="G19" s="71"/>
    </row>
    <row r="20" spans="1:7">
      <c r="A20" s="437"/>
      <c r="B20" s="67" t="s">
        <v>126</v>
      </c>
      <c r="C20" s="82"/>
      <c r="D20" s="83"/>
      <c r="E20" s="72"/>
      <c r="F20" s="72"/>
      <c r="G20" s="71"/>
    </row>
    <row r="21" spans="1:7">
      <c r="A21" s="437"/>
      <c r="B21" s="67"/>
      <c r="C21" s="82"/>
      <c r="D21" s="82"/>
      <c r="E21" s="72"/>
      <c r="F21" s="72"/>
      <c r="G21" s="71"/>
    </row>
    <row r="22" spans="1:7">
      <c r="A22" s="437"/>
      <c r="B22" s="84" t="s">
        <v>118</v>
      </c>
      <c r="C22" s="85"/>
      <c r="D22" s="85"/>
      <c r="E22" s="72"/>
      <c r="F22" s="72"/>
      <c r="G22" s="71"/>
    </row>
    <row r="23" spans="1:7">
      <c r="A23" s="43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3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37"/>
      <c r="B25" s="67"/>
      <c r="C25" s="82"/>
      <c r="D25" s="82"/>
      <c r="E25" s="86"/>
      <c r="F25" s="72"/>
      <c r="G25" s="87"/>
    </row>
    <row r="26" spans="1:7">
      <c r="A26" s="437"/>
      <c r="B26" s="67"/>
      <c r="C26" s="82"/>
      <c r="D26" s="82"/>
      <c r="E26" s="86"/>
      <c r="F26" s="72"/>
      <c r="G26" s="87"/>
    </row>
    <row r="27" spans="1:7">
      <c r="A27" s="437"/>
      <c r="B27" s="67"/>
      <c r="C27" s="82"/>
      <c r="D27" s="82"/>
      <c r="E27" s="86"/>
      <c r="F27" s="72"/>
      <c r="G27" s="87"/>
    </row>
    <row r="28" spans="1:7">
      <c r="A28" s="437"/>
      <c r="B28" s="67"/>
      <c r="C28" s="82"/>
      <c r="D28" s="82"/>
      <c r="E28" s="86"/>
      <c r="F28" s="72"/>
      <c r="G28" s="71"/>
    </row>
    <row r="29" spans="1:7">
      <c r="A29" s="437"/>
      <c r="B29" s="67"/>
      <c r="C29" s="82"/>
      <c r="D29" s="82"/>
      <c r="E29" s="86"/>
      <c r="F29" s="72"/>
      <c r="G29" s="71"/>
    </row>
    <row r="30" spans="1:7">
      <c r="A30" s="43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3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3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3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3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3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3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3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3.2"/>
  <cols>
    <col min="1" max="1" width="2.88671875" customWidth="1"/>
    <col min="2" max="2" width="25.109375" style="62" bestFit="1" customWidth="1"/>
    <col min="3" max="3" width="9.109375" style="212"/>
    <col min="4" max="4" width="13.33203125" bestFit="1" customWidth="1"/>
    <col min="6" max="6" width="28.33203125" customWidth="1"/>
    <col min="7" max="7" width="13.33203125" bestFit="1" customWidth="1"/>
  </cols>
  <sheetData>
    <row r="2" spans="2:13">
      <c r="B2" s="153" t="s">
        <v>251</v>
      </c>
      <c r="D2" s="442" t="s">
        <v>252</v>
      </c>
      <c r="E2" s="442"/>
      <c r="F2">
        <f>G14+D17</f>
        <v>2500</v>
      </c>
      <c r="J2" s="60"/>
      <c r="M2" s="60"/>
    </row>
    <row r="3" spans="2:13">
      <c r="B3" s="153"/>
      <c r="D3" s="442" t="s">
        <v>253</v>
      </c>
      <c r="E3" s="44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42" t="s">
        <v>252</v>
      </c>
      <c r="E22" s="442"/>
      <c r="F22">
        <f>D35</f>
        <v>0</v>
      </c>
    </row>
    <row r="23" spans="2:6">
      <c r="D23" s="442" t="s">
        <v>253</v>
      </c>
      <c r="E23" s="44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8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45"/>
      <c r="B1" s="445"/>
      <c r="C1" s="447" t="s">
        <v>18</v>
      </c>
      <c r="D1" s="447"/>
      <c r="E1" s="447"/>
      <c r="F1" s="447"/>
      <c r="G1" s="447"/>
      <c r="H1" s="447"/>
      <c r="I1" s="447"/>
      <c r="J1" s="447"/>
      <c r="K1" s="447"/>
      <c r="L1" s="447"/>
    </row>
    <row r="2" spans="1:26" ht="20.100000000000001" customHeight="1">
      <c r="A2" s="445"/>
      <c r="B2" s="445"/>
      <c r="C2" s="447"/>
      <c r="D2" s="447"/>
      <c r="E2" s="447"/>
      <c r="F2" s="447"/>
      <c r="G2" s="447"/>
      <c r="H2" s="447"/>
      <c r="I2" s="447"/>
      <c r="J2" s="447"/>
      <c r="K2" s="447"/>
      <c r="L2" s="447"/>
    </row>
    <row r="3" spans="1:26" ht="20.100000000000001" customHeight="1">
      <c r="A3" s="445"/>
      <c r="B3" s="445"/>
      <c r="C3" s="447"/>
      <c r="D3" s="447"/>
      <c r="E3" s="447"/>
      <c r="F3" s="447"/>
      <c r="G3" s="447"/>
      <c r="H3" s="447"/>
      <c r="I3" s="447"/>
      <c r="J3" s="447"/>
      <c r="K3" s="447"/>
      <c r="L3" s="447"/>
    </row>
    <row r="4" spans="1:26" ht="20.100000000000001" customHeight="1">
      <c r="A4" s="446"/>
      <c r="B4" s="445"/>
      <c r="C4" s="447"/>
      <c r="D4" s="447"/>
      <c r="E4" s="447"/>
      <c r="F4" s="447"/>
      <c r="G4" s="447"/>
      <c r="H4" s="447"/>
      <c r="I4" s="447"/>
      <c r="J4" s="447"/>
      <c r="K4" s="447"/>
      <c r="L4" s="447"/>
    </row>
    <row r="5" spans="1:26" ht="20.100000000000001" customHeight="1">
      <c r="A5" s="10"/>
      <c r="B5" s="456" t="s">
        <v>19</v>
      </c>
      <c r="C5" s="457"/>
      <c r="D5" s="457"/>
      <c r="E5" s="457"/>
      <c r="F5" s="457"/>
      <c r="G5" s="457"/>
      <c r="H5" s="457"/>
      <c r="I5" s="457"/>
      <c r="J5" s="458"/>
      <c r="K5" s="12"/>
      <c r="L5" s="12"/>
    </row>
    <row r="6" spans="1:26" ht="27.6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43" t="s">
        <v>24</v>
      </c>
      <c r="B11" s="443"/>
      <c r="C11" s="443"/>
      <c r="D11" s="22"/>
      <c r="E11" s="443" t="s">
        <v>25</v>
      </c>
      <c r="F11" s="448" t="s">
        <v>64</v>
      </c>
      <c r="G11" s="448" t="s">
        <v>26</v>
      </c>
      <c r="H11" s="443" t="s">
        <v>16</v>
      </c>
      <c r="I11" s="24"/>
      <c r="J11" s="444"/>
      <c r="K11" s="444"/>
      <c r="L11" s="44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43"/>
      <c r="F12" s="448"/>
      <c r="G12" s="448"/>
      <c r="H12" s="44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43" t="s">
        <v>10</v>
      </c>
      <c r="B15" s="443"/>
      <c r="C15" s="443"/>
      <c r="D15" s="24"/>
      <c r="E15" s="460" t="s">
        <v>70</v>
      </c>
      <c r="F15" s="462" t="s">
        <v>71</v>
      </c>
      <c r="G15" s="458" t="s">
        <v>29</v>
      </c>
      <c r="H15" s="443"/>
      <c r="I15" s="443"/>
      <c r="J15" s="443"/>
      <c r="K15" s="443"/>
      <c r="L15" s="44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61"/>
      <c r="F16" s="46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43" t="s">
        <v>35</v>
      </c>
      <c r="B19" s="443"/>
      <c r="C19" s="443"/>
      <c r="D19" s="443"/>
      <c r="E19" s="443"/>
      <c r="F19" s="24"/>
      <c r="G19" s="444"/>
      <c r="H19" s="444"/>
      <c r="I19" s="444"/>
      <c r="J19" s="444"/>
      <c r="K19" s="444"/>
      <c r="L19" s="444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4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43" t="s">
        <v>36</v>
      </c>
      <c r="H25" s="443"/>
      <c r="I25" s="443"/>
      <c r="J25" s="443"/>
      <c r="K25" s="443"/>
      <c r="L25" s="44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7.6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59"/>
      <c r="J28" s="45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48" t="s">
        <v>42</v>
      </c>
      <c r="K29" s="448" t="s">
        <v>43</v>
      </c>
      <c r="L29" s="44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48" t="s">
        <v>40</v>
      </c>
      <c r="H30" s="448" t="s">
        <v>41</v>
      </c>
      <c r="I30" s="448" t="s">
        <v>44</v>
      </c>
      <c r="J30" s="448"/>
      <c r="K30" s="448"/>
      <c r="L30" s="44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48"/>
      <c r="H31" s="448"/>
      <c r="I31" s="44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43" t="s">
        <v>46</v>
      </c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7.6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49" t="s">
        <v>61</v>
      </c>
      <c r="I44" s="449"/>
      <c r="J44" s="449"/>
      <c r="K44" s="449"/>
      <c r="L44" s="44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50"/>
      <c r="I45" s="451"/>
      <c r="J45" s="451"/>
      <c r="K45" s="451"/>
      <c r="L45" s="45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53"/>
      <c r="I46" s="454"/>
      <c r="J46" s="454"/>
      <c r="K46" s="454"/>
      <c r="L46" s="45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2026-04-27T19:44:11Z</cp:lastPrinted>
  <dcterms:created xsi:type="dcterms:W3CDTF">2009-11-06T14:29:30Z</dcterms:created>
  <dcterms:modified xsi:type="dcterms:W3CDTF">2026-04-28T13:55:53Z</dcterms:modified>
</cp:coreProperties>
</file>