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stlenthesky\repositories\excellent_at_excel\"/>
    </mc:Choice>
  </mc:AlternateContent>
  <xr:revisionPtr revIDLastSave="0" documentId="13_ncr:1_{C859E8D5-3E47-4DE1-B02F-C712982A9E2E}" xr6:coauthVersionLast="47" xr6:coauthVersionMax="47" xr10:uidLastSave="{00000000-0000-0000-0000-000000000000}"/>
  <bookViews>
    <workbookView xWindow="-120" yWindow="-120" windowWidth="51840" windowHeight="21120" activeTab="4" xr2:uid="{00000000-000D-0000-FFFF-FFFF00000000}"/>
  </bookViews>
  <sheets>
    <sheet name="Variance Reporting" sheetId="4" r:id="rId1"/>
    <sheet name="Bullet Chart" sheetId="3" r:id="rId2"/>
    <sheet name="Bridge Chart" sheetId="2" r:id="rId3"/>
    <sheet name="Ridge Chart" sheetId="5" r:id="rId4"/>
    <sheet name="Churn Report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B10" i="6"/>
  <c r="C10" i="6" s="1"/>
  <c r="D10" i="6" s="1"/>
  <c r="E10" i="6" s="1"/>
  <c r="F10" i="6" s="1"/>
  <c r="G10" i="6" s="1"/>
  <c r="H10" i="6" s="1"/>
  <c r="I10" i="6" s="1"/>
  <c r="J10" i="6" s="1"/>
  <c r="K10" i="6" s="1"/>
  <c r="B11" i="6"/>
  <c r="C11" i="6" s="1"/>
  <c r="D11" i="6" s="1"/>
  <c r="E11" i="6" s="1"/>
  <c r="F11" i="6" s="1"/>
  <c r="G11" i="6" s="1"/>
  <c r="H11" i="6" s="1"/>
  <c r="I11" i="6" s="1"/>
  <c r="J11" i="6" s="1"/>
  <c r="B12" i="6"/>
  <c r="C12" i="6" s="1"/>
  <c r="D12" i="6" s="1"/>
  <c r="E12" i="6" s="1"/>
  <c r="F12" i="6" s="1"/>
  <c r="G12" i="6" s="1"/>
  <c r="H12" i="6" s="1"/>
  <c r="I12" i="6" s="1"/>
  <c r="B13" i="6"/>
  <c r="C13" i="6" s="1"/>
  <c r="D13" i="6" s="1"/>
  <c r="E13" i="6" s="1"/>
  <c r="F13" i="6" s="1"/>
  <c r="G13" i="6" s="1"/>
  <c r="H13" i="6" s="1"/>
  <c r="B14" i="6"/>
  <c r="C14" i="6" s="1"/>
  <c r="D14" i="6" s="1"/>
  <c r="E14" i="6" s="1"/>
  <c r="F14" i="6" s="1"/>
  <c r="G14" i="6" s="1"/>
  <c r="B15" i="6"/>
  <c r="C15" i="6" s="1"/>
  <c r="D15" i="6" s="1"/>
  <c r="E15" i="6" s="1"/>
  <c r="F15" i="6" s="1"/>
  <c r="B16" i="6"/>
  <c r="C16" i="6" s="1"/>
  <c r="D16" i="6" s="1"/>
  <c r="E16" i="6" s="1"/>
  <c r="B17" i="6"/>
  <c r="C17" i="6" s="1"/>
  <c r="D17" i="6" s="1"/>
  <c r="B18" i="6"/>
  <c r="C18" i="6" s="1"/>
  <c r="B19" i="6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C31" i="4"/>
  <c r="F4" i="4"/>
  <c r="G6" i="4"/>
  <c r="J6" i="4" s="1"/>
  <c r="H7" i="4"/>
  <c r="K7" i="4" s="1"/>
  <c r="H8" i="4"/>
  <c r="K8" i="4" s="1"/>
  <c r="G9" i="4"/>
  <c r="J9" i="4" s="1"/>
  <c r="H11" i="4"/>
  <c r="K11" i="4" s="1"/>
  <c r="F12" i="4"/>
  <c r="G13" i="4"/>
  <c r="J13" i="4" s="1"/>
  <c r="G14" i="4"/>
  <c r="J14" i="4" s="1"/>
  <c r="F15" i="4"/>
  <c r="F16" i="4"/>
  <c r="F17" i="4"/>
  <c r="G18" i="4"/>
  <c r="J18" i="4" s="1"/>
  <c r="G19" i="4"/>
  <c r="J19" i="4" s="1"/>
  <c r="G20" i="4"/>
  <c r="J20" i="4" s="1"/>
  <c r="H21" i="4"/>
  <c r="K21" i="4" s="1"/>
  <c r="F22" i="4"/>
  <c r="H23" i="4"/>
  <c r="K23" i="4" s="1"/>
  <c r="F24" i="4"/>
  <c r="H25" i="4"/>
  <c r="K25" i="4" s="1"/>
  <c r="F26" i="4"/>
  <c r="F27" i="4"/>
  <c r="H28" i="4"/>
  <c r="K28" i="4" s="1"/>
  <c r="H29" i="4"/>
  <c r="K29" i="4" s="1"/>
  <c r="G30" i="4"/>
  <c r="J30" i="4" s="1"/>
  <c r="A1" i="3"/>
  <c r="D6" i="3"/>
  <c r="D7" i="3"/>
  <c r="D8" i="3"/>
  <c r="D9" i="3"/>
  <c r="D10" i="3"/>
  <c r="E7" i="3"/>
  <c r="E8" i="3" s="1"/>
  <c r="E9" i="3" s="1"/>
  <c r="E10" i="3" s="1"/>
  <c r="C3" i="3"/>
  <c r="C6" i="3" s="1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B2" i="2"/>
  <c r="I4" i="2"/>
  <c r="J4" i="2" s="1"/>
  <c r="G5" i="2"/>
  <c r="I5" i="2"/>
  <c r="J5" i="2" s="1"/>
  <c r="L5" i="2" s="1"/>
  <c r="G6" i="2"/>
  <c r="I6" i="2"/>
  <c r="J6" i="2"/>
  <c r="G7" i="2"/>
  <c r="I7" i="2"/>
  <c r="J7" i="2" s="1"/>
  <c r="G8" i="2"/>
  <c r="I8" i="2"/>
  <c r="J8" i="2" s="1"/>
  <c r="G9" i="2"/>
  <c r="I9" i="2"/>
  <c r="J9" i="2" s="1"/>
  <c r="G10" i="2"/>
  <c r="I10" i="2"/>
  <c r="J10" i="2" s="1"/>
  <c r="K10" i="2" s="1"/>
  <c r="G11" i="2"/>
  <c r="I11" i="2"/>
  <c r="J11" i="2" s="1"/>
  <c r="G12" i="2"/>
  <c r="I12" i="2"/>
  <c r="J12" i="2" s="1"/>
  <c r="M12" i="2" s="1"/>
  <c r="I13" i="2"/>
  <c r="J13" i="2" s="1"/>
  <c r="G14" i="2"/>
  <c r="I14" i="2"/>
  <c r="G15" i="2"/>
  <c r="I15" i="2"/>
  <c r="J15" i="2" s="1"/>
  <c r="G16" i="2"/>
  <c r="I16" i="2"/>
  <c r="J16" i="2" s="1"/>
  <c r="G17" i="2"/>
  <c r="I17" i="2"/>
  <c r="J17" i="2" s="1"/>
  <c r="G18" i="2"/>
  <c r="I18" i="2"/>
  <c r="J18" i="2" s="1"/>
  <c r="G19" i="2"/>
  <c r="I19" i="2"/>
  <c r="J19" i="2" s="1"/>
  <c r="G20" i="2"/>
  <c r="I20" i="2"/>
  <c r="J20" i="2" s="1"/>
  <c r="G21" i="2"/>
  <c r="I21" i="2"/>
  <c r="J21" i="2" s="1"/>
  <c r="G22" i="2"/>
  <c r="I22" i="2"/>
  <c r="G23" i="2"/>
  <c r="I23" i="2"/>
  <c r="J23" i="2" s="1"/>
  <c r="G24" i="2"/>
  <c r="I24" i="2"/>
  <c r="R24" i="2" s="1"/>
  <c r="I25" i="2"/>
  <c r="H25" i="2" s="1"/>
  <c r="R6" i="2" l="1"/>
  <c r="R22" i="2"/>
  <c r="R23" i="2"/>
  <c r="R19" i="2"/>
  <c r="R18" i="2"/>
  <c r="R15" i="2"/>
  <c r="R10" i="2"/>
  <c r="R17" i="2"/>
  <c r="R9" i="2"/>
  <c r="R25" i="2"/>
  <c r="R21" i="2"/>
  <c r="R14" i="2"/>
  <c r="R12" i="2"/>
  <c r="J25" i="2"/>
  <c r="R8" i="2"/>
  <c r="R7" i="2"/>
  <c r="R20" i="2"/>
  <c r="R16" i="2"/>
  <c r="R13" i="2"/>
  <c r="R5" i="2"/>
  <c r="R11" i="2"/>
  <c r="R4" i="2"/>
  <c r="K6" i="2"/>
  <c r="N6" i="2" s="1"/>
  <c r="G4" i="2"/>
  <c r="M3" i="6"/>
  <c r="M4" i="6" s="1"/>
  <c r="C33" i="6"/>
  <c r="E31" i="6"/>
  <c r="G29" i="6"/>
  <c r="I27" i="6"/>
  <c r="J26" i="6"/>
  <c r="L24" i="6"/>
  <c r="D32" i="6"/>
  <c r="F30" i="6"/>
  <c r="H28" i="6"/>
  <c r="K25" i="6"/>
  <c r="M23" i="6"/>
  <c r="M35" i="6" s="1"/>
  <c r="D3" i="6"/>
  <c r="D4" i="6" s="1"/>
  <c r="D30" i="6"/>
  <c r="C30" i="6"/>
  <c r="C29" i="6"/>
  <c r="L23" i="6"/>
  <c r="H23" i="6"/>
  <c r="D23" i="6"/>
  <c r="D27" i="6"/>
  <c r="D31" i="6"/>
  <c r="H25" i="6"/>
  <c r="H27" i="6"/>
  <c r="G25" i="6"/>
  <c r="H26" i="6"/>
  <c r="D25" i="6"/>
  <c r="D29" i="6"/>
  <c r="G26" i="6"/>
  <c r="C25" i="6"/>
  <c r="D26" i="6"/>
  <c r="C26" i="6"/>
  <c r="G28" i="6"/>
  <c r="G24" i="6"/>
  <c r="K23" i="6"/>
  <c r="E30" i="6"/>
  <c r="E28" i="6"/>
  <c r="E26" i="6"/>
  <c r="I25" i="6"/>
  <c r="E24" i="6"/>
  <c r="I23" i="6"/>
  <c r="D24" i="6"/>
  <c r="C28" i="6"/>
  <c r="G27" i="6"/>
  <c r="G23" i="6"/>
  <c r="B34" i="6"/>
  <c r="B32" i="6"/>
  <c r="B30" i="6"/>
  <c r="F29" i="6"/>
  <c r="B28" i="6"/>
  <c r="F27" i="6"/>
  <c r="B26" i="6"/>
  <c r="F25" i="6"/>
  <c r="J24" i="6"/>
  <c r="B24" i="6"/>
  <c r="F23" i="6"/>
  <c r="D28" i="6"/>
  <c r="C32" i="6"/>
  <c r="K24" i="6"/>
  <c r="C24" i="6"/>
  <c r="E29" i="6"/>
  <c r="E27" i="6"/>
  <c r="I26" i="6"/>
  <c r="E25" i="6"/>
  <c r="I24" i="6"/>
  <c r="E23" i="6"/>
  <c r="H24" i="6"/>
  <c r="C31" i="6"/>
  <c r="C27" i="6"/>
  <c r="C23" i="6"/>
  <c r="B33" i="6"/>
  <c r="B31" i="6"/>
  <c r="B29" i="6"/>
  <c r="F28" i="6"/>
  <c r="B27" i="6"/>
  <c r="F26" i="6"/>
  <c r="J25" i="6"/>
  <c r="B25" i="6"/>
  <c r="F24" i="6"/>
  <c r="J23" i="6"/>
  <c r="B23" i="6"/>
  <c r="C3" i="6"/>
  <c r="C4" i="6" s="1"/>
  <c r="L3" i="6"/>
  <c r="L4" i="6" s="1"/>
  <c r="K3" i="6"/>
  <c r="K4" i="6" s="1"/>
  <c r="J3" i="6"/>
  <c r="J4" i="6" s="1"/>
  <c r="I3" i="6"/>
  <c r="I4" i="6" s="1"/>
  <c r="H3" i="6"/>
  <c r="H4" i="6" s="1"/>
  <c r="G3" i="6"/>
  <c r="G4" i="6" s="1"/>
  <c r="F3" i="6"/>
  <c r="F4" i="6" s="1"/>
  <c r="E3" i="6"/>
  <c r="E4" i="6" s="1"/>
  <c r="L12" i="2"/>
  <c r="K18" i="2"/>
  <c r="Q18" i="2" s="1"/>
  <c r="M21" i="2"/>
  <c r="H22" i="4"/>
  <c r="K22" i="4" s="1"/>
  <c r="F6" i="4"/>
  <c r="F23" i="4"/>
  <c r="H15" i="4"/>
  <c r="K15" i="4" s="1"/>
  <c r="G23" i="4"/>
  <c r="J23" i="4" s="1"/>
  <c r="D31" i="4"/>
  <c r="F10" i="4"/>
  <c r="F14" i="4"/>
  <c r="G22" i="4"/>
  <c r="J22" i="4" s="1"/>
  <c r="H6" i="4"/>
  <c r="K6" i="4" s="1"/>
  <c r="H30" i="4"/>
  <c r="K30" i="4" s="1"/>
  <c r="H24" i="4"/>
  <c r="K24" i="4" s="1"/>
  <c r="H10" i="4"/>
  <c r="K10" i="4" s="1"/>
  <c r="G10" i="4"/>
  <c r="J10" i="4" s="1"/>
  <c r="G16" i="4"/>
  <c r="J16" i="4" s="1"/>
  <c r="G28" i="4"/>
  <c r="J28" i="4" s="1"/>
  <c r="H20" i="4"/>
  <c r="K20" i="4" s="1"/>
  <c r="H4" i="4"/>
  <c r="K4" i="4" s="1"/>
  <c r="F20" i="4"/>
  <c r="G12" i="4"/>
  <c r="J12" i="4" s="1"/>
  <c r="F19" i="4"/>
  <c r="F11" i="4"/>
  <c r="H19" i="4"/>
  <c r="K19" i="4" s="1"/>
  <c r="H27" i="4"/>
  <c r="K27" i="4" s="1"/>
  <c r="G11" i="4"/>
  <c r="J11" i="4" s="1"/>
  <c r="F29" i="4"/>
  <c r="F7" i="4"/>
  <c r="G15" i="4"/>
  <c r="J15" i="4" s="1"/>
  <c r="H18" i="4"/>
  <c r="K18" i="4" s="1"/>
  <c r="F18" i="4"/>
  <c r="H14" i="4"/>
  <c r="K14" i="4" s="1"/>
  <c r="H12" i="4"/>
  <c r="K12" i="4" s="1"/>
  <c r="G4" i="4"/>
  <c r="J4" i="4" s="1"/>
  <c r="F30" i="4"/>
  <c r="G24" i="4"/>
  <c r="J24" i="4" s="1"/>
  <c r="G7" i="4"/>
  <c r="J7" i="4" s="1"/>
  <c r="H26" i="4"/>
  <c r="K26" i="4" s="1"/>
  <c r="H16" i="4"/>
  <c r="K16" i="4" s="1"/>
  <c r="F8" i="4"/>
  <c r="G8" i="4"/>
  <c r="J8" i="4" s="1"/>
  <c r="G21" i="4"/>
  <c r="J21" i="4" s="1"/>
  <c r="H5" i="4"/>
  <c r="K5" i="4" s="1"/>
  <c r="G5" i="4"/>
  <c r="J5" i="4" s="1"/>
  <c r="F28" i="4"/>
  <c r="G29" i="4"/>
  <c r="J29" i="4" s="1"/>
  <c r="H13" i="4"/>
  <c r="K13" i="4" s="1"/>
  <c r="G17" i="4"/>
  <c r="J17" i="4" s="1"/>
  <c r="F21" i="4"/>
  <c r="F13" i="4"/>
  <c r="F5" i="4"/>
  <c r="H17" i="4"/>
  <c r="K17" i="4" s="1"/>
  <c r="H9" i="4"/>
  <c r="K9" i="4" s="1"/>
  <c r="F25" i="4"/>
  <c r="F9" i="4"/>
  <c r="G27" i="4"/>
  <c r="J27" i="4" s="1"/>
  <c r="G26" i="4"/>
  <c r="J26" i="4" s="1"/>
  <c r="G25" i="4"/>
  <c r="J25" i="4" s="1"/>
  <c r="C10" i="3"/>
  <c r="C9" i="3"/>
  <c r="C8" i="3"/>
  <c r="C7" i="3"/>
  <c r="L21" i="2"/>
  <c r="L9" i="2"/>
  <c r="M5" i="2"/>
  <c r="L8" i="2"/>
  <c r="K5" i="2"/>
  <c r="Q5" i="2" s="1"/>
  <c r="P12" i="2"/>
  <c r="O12" i="2"/>
  <c r="H13" i="2"/>
  <c r="K9" i="2"/>
  <c r="Q9" i="2" s="1"/>
  <c r="K25" i="2"/>
  <c r="N25" i="2" s="1"/>
  <c r="K17" i="2"/>
  <c r="N17" i="2" s="1"/>
  <c r="M17" i="2"/>
  <c r="L17" i="2"/>
  <c r="M13" i="2"/>
  <c r="L10" i="2"/>
  <c r="L13" i="2"/>
  <c r="O8" i="2"/>
  <c r="K21" i="2"/>
  <c r="Q21" i="2" s="1"/>
  <c r="L18" i="2"/>
  <c r="K13" i="2"/>
  <c r="N13" i="2" s="1"/>
  <c r="M9" i="2"/>
  <c r="M8" i="2"/>
  <c r="P8" i="2"/>
  <c r="M25" i="2"/>
  <c r="L25" i="2"/>
  <c r="J22" i="2"/>
  <c r="K22" i="2" s="1"/>
  <c r="L6" i="2"/>
  <c r="Q10" i="2"/>
  <c r="P16" i="2"/>
  <c r="L16" i="2"/>
  <c r="M16" i="2"/>
  <c r="O16" i="2"/>
  <c r="K16" i="2"/>
  <c r="Q16" i="2" s="1"/>
  <c r="P4" i="2"/>
  <c r="M4" i="2"/>
  <c r="L4" i="2"/>
  <c r="K4" i="2"/>
  <c r="Q4" i="2" s="1"/>
  <c r="O4" i="2"/>
  <c r="P20" i="2"/>
  <c r="M20" i="2"/>
  <c r="L20" i="2"/>
  <c r="O20" i="2"/>
  <c r="K20" i="2"/>
  <c r="Q20" i="2" s="1"/>
  <c r="O19" i="2"/>
  <c r="O15" i="2"/>
  <c r="P6" i="2"/>
  <c r="M23" i="2"/>
  <c r="O18" i="2"/>
  <c r="M15" i="2"/>
  <c r="K12" i="2"/>
  <c r="N12" i="2" s="1"/>
  <c r="M11" i="2"/>
  <c r="O10" i="2"/>
  <c r="K8" i="2"/>
  <c r="N8" i="2" s="1"/>
  <c r="M7" i="2"/>
  <c r="O6" i="2"/>
  <c r="P23" i="2"/>
  <c r="O23" i="2"/>
  <c r="P18" i="2"/>
  <c r="P10" i="2"/>
  <c r="M19" i="2"/>
  <c r="P25" i="2"/>
  <c r="G25" i="2"/>
  <c r="J24" i="2"/>
  <c r="L23" i="2"/>
  <c r="P21" i="2"/>
  <c r="L19" i="2"/>
  <c r="P17" i="2"/>
  <c r="L15" i="2"/>
  <c r="P13" i="2"/>
  <c r="G13" i="2"/>
  <c r="L11" i="2"/>
  <c r="N10" i="2"/>
  <c r="P9" i="2"/>
  <c r="L7" i="2"/>
  <c r="P5" i="2"/>
  <c r="P15" i="2"/>
  <c r="J14" i="2"/>
  <c r="L14" i="2" s="1"/>
  <c r="P11" i="2"/>
  <c r="O11" i="2"/>
  <c r="K23" i="2"/>
  <c r="Q23" i="2" s="1"/>
  <c r="O21" i="2"/>
  <c r="K19" i="2"/>
  <c r="N19" i="2" s="1"/>
  <c r="M18" i="2"/>
  <c r="O17" i="2"/>
  <c r="K15" i="2"/>
  <c r="N15" i="2" s="1"/>
  <c r="O13" i="2"/>
  <c r="K11" i="2"/>
  <c r="N11" i="2" s="1"/>
  <c r="M10" i="2"/>
  <c r="O9" i="2"/>
  <c r="K7" i="2"/>
  <c r="Q7" i="2" s="1"/>
  <c r="M6" i="2"/>
  <c r="O5" i="2"/>
  <c r="P19" i="2"/>
  <c r="P7" i="2"/>
  <c r="O7" i="2"/>
  <c r="O25" i="2"/>
  <c r="Q6" i="2" l="1"/>
  <c r="L35" i="6"/>
  <c r="J35" i="6"/>
  <c r="K35" i="6"/>
  <c r="F35" i="6"/>
  <c r="B35" i="6"/>
  <c r="C35" i="6"/>
  <c r="G35" i="6"/>
  <c r="D35" i="6"/>
  <c r="H35" i="6"/>
  <c r="E35" i="6"/>
  <c r="I35" i="6"/>
  <c r="M22" i="2"/>
  <c r="P22" i="2"/>
  <c r="O22" i="2"/>
  <c r="N18" i="2"/>
  <c r="G31" i="4"/>
  <c r="J31" i="4" s="1"/>
  <c r="H31" i="4"/>
  <c r="K31" i="4" s="1"/>
  <c r="N5" i="2"/>
  <c r="N9" i="2"/>
  <c r="L22" i="2"/>
  <c r="Q17" i="2"/>
  <c r="Q25" i="2"/>
  <c r="Q13" i="2"/>
  <c r="N22" i="2"/>
  <c r="Q22" i="2"/>
  <c r="N21" i="2"/>
  <c r="O14" i="2"/>
  <c r="M14" i="2"/>
  <c r="K14" i="2"/>
  <c r="Q14" i="2" s="1"/>
  <c r="N7" i="2"/>
  <c r="N20" i="2"/>
  <c r="Q19" i="2"/>
  <c r="Q11" i="2"/>
  <c r="Q15" i="2"/>
  <c r="N23" i="2"/>
  <c r="P14" i="2"/>
  <c r="N4" i="2"/>
  <c r="N16" i="2"/>
  <c r="K24" i="2"/>
  <c r="Q24" i="2" s="1"/>
  <c r="M24" i="2"/>
  <c r="O24" i="2"/>
  <c r="L24" i="2"/>
  <c r="Q12" i="2"/>
  <c r="Q8" i="2"/>
  <c r="P24" i="2"/>
  <c r="N14" i="2" l="1"/>
  <c r="N24" i="2"/>
</calcChain>
</file>

<file path=xl/sharedStrings.xml><?xml version="1.0" encoding="utf-8"?>
<sst xmlns="http://schemas.openxmlformats.org/spreadsheetml/2006/main" count="126" uniqueCount="122">
  <si>
    <t>Bridge End</t>
  </si>
  <si>
    <t>…</t>
  </si>
  <si>
    <t>Oct</t>
  </si>
  <si>
    <t>general guidelines.</t>
  </si>
  <si>
    <t>Sep</t>
  </si>
  <si>
    <t>sense to break these</t>
  </si>
  <si>
    <t>Aug</t>
  </si>
  <si>
    <t>variances, it will make</t>
  </si>
  <si>
    <t>Jul</t>
  </si>
  <si>
    <t xml:space="preserve"> highlighting related</t>
  </si>
  <si>
    <t>Jun</t>
  </si>
  <si>
    <t>Sometimes, in order to</t>
  </si>
  <si>
    <t>May</t>
  </si>
  <si>
    <t>Apr</t>
  </si>
  <si>
    <t>to their dollar values.</t>
  </si>
  <si>
    <t>Mar</t>
  </si>
  <si>
    <t>not be ordered according</t>
  </si>
  <si>
    <t>Feb</t>
  </si>
  <si>
    <t>Time-series data should</t>
  </si>
  <si>
    <t>Jan</t>
  </si>
  <si>
    <t>Intermediary Point</t>
  </si>
  <si>
    <t>Variance 08</t>
  </si>
  <si>
    <t>Variance 07</t>
  </si>
  <si>
    <t>Variance 04</t>
  </si>
  <si>
    <t>Variance 03</t>
  </si>
  <si>
    <t>Variance 02</t>
  </si>
  <si>
    <t>When you have categorical</t>
  </si>
  <si>
    <t>Variance 01</t>
  </si>
  <si>
    <t>Some bridge chart tips:</t>
  </si>
  <si>
    <t>Bridge Start</t>
  </si>
  <si>
    <t>Decrease (Negative)</t>
  </si>
  <si>
    <t>Decrease</t>
  </si>
  <si>
    <t>Increase (Negative)</t>
  </si>
  <si>
    <t>Increase</t>
  </si>
  <si>
    <t>Spacer (Negative)</t>
  </si>
  <si>
    <t>Spacer (Positive)</t>
  </si>
  <si>
    <t>Abutment</t>
  </si>
  <si>
    <t>Previous Blance</t>
  </si>
  <si>
    <t>Cumulative Blance</t>
  </si>
  <si>
    <t>Check Variance</t>
  </si>
  <si>
    <t>Check Values</t>
  </si>
  <si>
    <t>Notes</t>
  </si>
  <si>
    <t>Source</t>
  </si>
  <si>
    <t>Amount</t>
  </si>
  <si>
    <t>Graph Label</t>
  </si>
  <si>
    <t>If the categories are related</t>
  </si>
  <si>
    <t>to financial statements like</t>
  </si>
  <si>
    <t>a P&amp;L, or budget, it make make</t>
  </si>
  <si>
    <t>sense to follow the report's order.</t>
  </si>
  <si>
    <t>variances, it is best to order them</t>
  </si>
  <si>
    <t>from largest to smallest.</t>
  </si>
  <si>
    <t>Display</t>
  </si>
  <si>
    <t>Progress:</t>
  </si>
  <si>
    <t>Target</t>
  </si>
  <si>
    <t>Progress</t>
  </si>
  <si>
    <t>Revenue</t>
  </si>
  <si>
    <t>Opex</t>
  </si>
  <si>
    <t>G&amp;A</t>
  </si>
  <si>
    <t>Depreciation</t>
  </si>
  <si>
    <t>Medical Costs</t>
  </si>
  <si>
    <t>Category</t>
  </si>
  <si>
    <t>Target Offset</t>
  </si>
  <si>
    <t>Budget</t>
  </si>
  <si>
    <t>Actual</t>
  </si>
  <si>
    <t>Advertising Expense</t>
  </si>
  <si>
    <t>Amortization Expense</t>
  </si>
  <si>
    <t>Auto Expense</t>
  </si>
  <si>
    <t>Bad Debt Expense</t>
  </si>
  <si>
    <t>Bank Charges</t>
  </si>
  <si>
    <t>Cash Over and Short</t>
  </si>
  <si>
    <t>Commission Expense</t>
  </si>
  <si>
    <t>Depreciation Expense</t>
  </si>
  <si>
    <t>Employee Benefit Program</t>
  </si>
  <si>
    <t>Freight Expense</t>
  </si>
  <si>
    <t>Gain/Loss on Sale of Assets</t>
  </si>
  <si>
    <t>Gifts Expense</t>
  </si>
  <si>
    <t>Insurance - General</t>
  </si>
  <si>
    <t>Interest Expense</t>
  </si>
  <si>
    <t>License Expense</t>
  </si>
  <si>
    <t>Maintenance Expense</t>
  </si>
  <si>
    <t>Meals &amp; Entertainment</t>
  </si>
  <si>
    <t>Office Expense</t>
  </si>
  <si>
    <t>Payroll Taxes</t>
  </si>
  <si>
    <t>Postage</t>
  </si>
  <si>
    <t>Printing</t>
  </si>
  <si>
    <t>Professional Fees</t>
  </si>
  <si>
    <t>Rent</t>
  </si>
  <si>
    <t>Repairs Expense</t>
  </si>
  <si>
    <t>Salaries Expense</t>
  </si>
  <si>
    <t>Supplies Expense</t>
  </si>
  <si>
    <t>Utilities Expense</t>
  </si>
  <si>
    <t>Total Expenses</t>
  </si>
  <si>
    <t>Favorable</t>
  </si>
  <si>
    <t>Unfavorable</t>
  </si>
  <si>
    <t>Variance ($) vs Budget</t>
  </si>
  <si>
    <t>Expense</t>
  </si>
  <si>
    <t>Variance (%) vs Budget</t>
  </si>
  <si>
    <t>Std Dev</t>
  </si>
  <si>
    <t>Median</t>
  </si>
  <si>
    <t>Date</t>
  </si>
  <si>
    <t>Distribution of Sales Reps by Sales Volume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</si>
  <si>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</si>
  <si>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</si>
  <si>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</si>
  <si>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</si>
  <si>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</si>
  <si>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</si>
  <si>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</si>
  <si>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</si>
  <si>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</si>
  <si>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</si>
  <si>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</si>
  <si>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Monthly Distribution of Sales Reps by Sales Volume</t>
  </si>
  <si>
    <t>New Subscriptions</t>
  </si>
  <si>
    <t>Cancellations</t>
  </si>
  <si>
    <t>Net Subscribers</t>
  </si>
  <si>
    <t>Cohort Retention by Month</t>
  </si>
  <si>
    <t>Retention Trends</t>
  </si>
  <si>
    <t>Average</t>
  </si>
  <si>
    <t>Label Holder</t>
  </si>
  <si>
    <t>Variance 05</t>
  </si>
  <si>
    <t>Variance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</si>
</sst>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,&quot;K&quot;_);_(&quot;$&quot;* \(#,##0,&quot;K&quot;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7F7F7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4" fillId="0" borderId="0" xfId="1" applyNumberFormat="1" applyFont="1" applyBorder="1"/>
    <xf numFmtId="164" fontId="4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4" fontId="5" fillId="2" borderId="4" xfId="1" applyNumberFormat="1" applyFont="1" applyFill="1" applyBorder="1"/>
    <xf numFmtId="164" fontId="5" fillId="2" borderId="5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3" fillId="0" borderId="7" xfId="0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0" fillId="0" borderId="8" xfId="1" applyNumberFormat="1" applyFont="1" applyBorder="1"/>
    <xf numFmtId="164" fontId="7" fillId="2" borderId="0" xfId="1" applyNumberFormat="1" applyFont="1" applyFill="1" applyBorder="1"/>
    <xf numFmtId="0" fontId="0" fillId="0" borderId="3" xfId="0" applyBorder="1" applyAlignment="1">
      <alignment horizontal="left" indent="2"/>
    </xf>
    <xf numFmtId="164" fontId="7" fillId="2" borderId="2" xfId="1" applyNumberFormat="1" applyFont="1" applyFill="1" applyBorder="1"/>
    <xf numFmtId="164" fontId="5" fillId="2" borderId="8" xfId="1" applyNumberFormat="1" applyFont="1" applyFill="1" applyBorder="1"/>
    <xf numFmtId="164" fontId="5" fillId="2" borderId="9" xfId="1" applyNumberFormat="1" applyFont="1" applyFill="1" applyBorder="1"/>
    <xf numFmtId="164" fontId="0" fillId="0" borderId="0" xfId="1" applyNumberFormat="1" applyFont="1" applyBorder="1"/>
    <xf numFmtId="0" fontId="3" fillId="0" borderId="3" xfId="0" applyFont="1" applyBorder="1"/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164" fontId="6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8" xfId="0" applyBorder="1"/>
    <xf numFmtId="164" fontId="5" fillId="2" borderId="10" xfId="1" applyNumberFormat="1" applyFont="1" applyFill="1" applyBorder="1"/>
    <xf numFmtId="0" fontId="3" fillId="0" borderId="8" xfId="0" applyFont="1" applyBorder="1"/>
    <xf numFmtId="164" fontId="3" fillId="0" borderId="0" xfId="1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2" applyBorder="1"/>
    <xf numFmtId="164" fontId="3" fillId="0" borderId="8" xfId="1" applyNumberFormat="1" applyFont="1" applyBorder="1"/>
    <xf numFmtId="9" fontId="0" fillId="0" borderId="0" xfId="3" applyFont="1" applyAlignment="1">
      <alignment horizontal="center"/>
    </xf>
    <xf numFmtId="9" fontId="8" fillId="2" borderId="2" xfId="4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5" applyNumberFormat="1" applyFont="1" applyBorder="1"/>
    <xf numFmtId="165" fontId="0" fillId="0" borderId="0" xfId="0" applyNumberFormat="1"/>
    <xf numFmtId="9" fontId="0" fillId="0" borderId="0" xfId="3" applyFon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3" fillId="0" borderId="13" xfId="0" applyFont="1" applyBorder="1"/>
    <xf numFmtId="0" fontId="3" fillId="0" borderId="13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65" fontId="3" fillId="0" borderId="12" xfId="5" applyNumberFormat="1" applyFont="1" applyBorder="1"/>
    <xf numFmtId="165" fontId="0" fillId="0" borderId="12" xfId="0" applyNumberFormat="1" applyBorder="1"/>
    <xf numFmtId="9" fontId="0" fillId="0" borderId="12" xfId="3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0" borderId="0" xfId="0" applyNumberFormat="1"/>
    <xf numFmtId="0" fontId="2" fillId="0" borderId="1" xfId="2"/>
    <xf numFmtId="164" fontId="0" fillId="0" borderId="0" xfId="1" applyNumberFormat="1" applyFont="1"/>
    <xf numFmtId="0" fontId="10" fillId="0" borderId="0" xfId="0" applyFont="1" applyAlignment="1">
      <alignment horizontal="right"/>
    </xf>
    <xf numFmtId="0" fontId="3" fillId="0" borderId="14" xfId="0" applyFont="1" applyBorder="1"/>
    <xf numFmtId="166" fontId="3" fillId="0" borderId="0" xfId="5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11" fillId="0" borderId="0" xfId="1" applyNumberFormat="1" applyFont="1" applyBorder="1"/>
    <xf numFmtId="164" fontId="11" fillId="0" borderId="0" xfId="1" applyNumberFormat="1" applyFont="1" applyFill="1" applyBorder="1"/>
    <xf numFmtId="0" fontId="3" fillId="0" borderId="6" xfId="0" applyFont="1" applyBorder="1" applyAlignment="1">
      <alignment horizontal="center" wrapText="1"/>
    </xf>
    <xf numFmtId="37" fontId="5" fillId="2" borderId="0" xfId="1" applyNumberFormat="1" applyFont="1" applyFill="1" applyBorder="1"/>
    <xf numFmtId="37" fontId="0" fillId="0" borderId="0" xfId="1" applyNumberFormat="1" applyFont="1" applyFill="1" applyBorder="1"/>
    <xf numFmtId="37" fontId="0" fillId="0" borderId="0" xfId="1" applyNumberFormat="1" applyFont="1" applyBorder="1"/>
    <xf numFmtId="9" fontId="3" fillId="0" borderId="0" xfId="0" applyNumberFormat="1" applyFont="1"/>
    <xf numFmtId="14" fontId="0" fillId="0" borderId="0" xfId="0" applyNumberFormat="1" applyBorder="1" applyAlignment="1">
      <alignment horizontal="center"/>
    </xf>
    <xf numFmtId="9" fontId="0" fillId="0" borderId="0" xfId="3" applyFont="1" applyBorder="1"/>
    <xf numFmtId="14" fontId="0" fillId="0" borderId="14" xfId="0" applyNumberFormat="1" applyBorder="1" applyAlignment="1">
      <alignment horizontal="center"/>
    </xf>
    <xf numFmtId="9" fontId="0" fillId="0" borderId="14" xfId="3" applyFont="1" applyBorder="1"/>
  </cellXfs>
  <cellStyles count="6">
    <cellStyle name="Comma" xfId="1" builtinId="3"/>
    <cellStyle name="Currency" xfId="5" builtinId="4"/>
    <cellStyle name="Heading 1" xfId="2" builtinId="16"/>
    <cellStyle name="Input" xfId="4" builtinId="20"/>
    <cellStyle name="Normal" xfId="0" builtinId="0"/>
    <cellStyle name="Percent" xfId="3" builtinId="5"/>
  </cellStyles>
  <dxfs count="19"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</border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CC99"/>
        </patternFill>
      </fill>
    </dxf>
    <dxf>
      <alignment horizontal="left" vertical="bottom" textRotation="0" wrapText="0" indent="2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52317331145958E-2"/>
          <c:y val="2.5396823088311864E-2"/>
          <c:w val="0.90396371689633281"/>
          <c:h val="0.932086188843392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'Variance Reporting'!$F$3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Reporting'!$F$4:$F$31</c:f>
              <c:numCache>
                <c:formatCode>_("$"* #,##0_);_("$"* \(#,##0\);_("$"* "-"??_);_(@_)</c:formatCode>
                <c:ptCount val="28"/>
                <c:pt idx="0">
                  <c:v>385.91999999999996</c:v>
                </c:pt>
                <c:pt idx="1">
                  <c:v>520</c:v>
                </c:pt>
                <c:pt idx="2">
                  <c:v>1253.75</c:v>
                </c:pt>
                <c:pt idx="3">
                  <c:v>681.54</c:v>
                </c:pt>
                <c:pt idx="4">
                  <c:v>519.81999999999994</c:v>
                </c:pt>
                <c:pt idx="5">
                  <c:v>1248</c:v>
                </c:pt>
                <c:pt idx="6">
                  <c:v>169</c:v>
                </c:pt>
                <c:pt idx="7">
                  <c:v>439</c:v>
                </c:pt>
                <c:pt idx="8">
                  <c:v>33.599999999999994</c:v>
                </c:pt>
                <c:pt idx="9">
                  <c:v>22.800000000000004</c:v>
                </c:pt>
                <c:pt idx="10">
                  <c:v>1228</c:v>
                </c:pt>
                <c:pt idx="11">
                  <c:v>111</c:v>
                </c:pt>
                <c:pt idx="12">
                  <c:v>411.11999999999989</c:v>
                </c:pt>
                <c:pt idx="13">
                  <c:v>584</c:v>
                </c:pt>
                <c:pt idx="14">
                  <c:v>1434</c:v>
                </c:pt>
                <c:pt idx="15">
                  <c:v>921.76</c:v>
                </c:pt>
                <c:pt idx="16">
                  <c:v>1171.26</c:v>
                </c:pt>
                <c:pt idx="17">
                  <c:v>1700</c:v>
                </c:pt>
                <c:pt idx="18">
                  <c:v>1435.07</c:v>
                </c:pt>
                <c:pt idx="19">
                  <c:v>1157.0999999999999</c:v>
                </c:pt>
                <c:pt idx="20">
                  <c:v>1779</c:v>
                </c:pt>
                <c:pt idx="21">
                  <c:v>142.5</c:v>
                </c:pt>
                <c:pt idx="22">
                  <c:v>1299.6500000000001</c:v>
                </c:pt>
                <c:pt idx="23">
                  <c:v>105.25</c:v>
                </c:pt>
                <c:pt idx="24">
                  <c:v>160.19</c:v>
                </c:pt>
                <c:pt idx="25">
                  <c:v>414.36</c:v>
                </c:pt>
                <c:pt idx="26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2E7-B05F-30C069826FB5}"/>
            </c:ext>
          </c:extLst>
        </c:ser>
        <c:ser>
          <c:idx val="1"/>
          <c:order val="1"/>
          <c:tx>
            <c:strRef>
              <c:f>'Variance Reporting'!$G$3</c:f>
              <c:strCache>
                <c:ptCount val="1"/>
                <c:pt idx="0">
                  <c:v>Unfavorable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Reporting'!$G$4:$G$31</c:f>
              <c:numCache>
                <c:formatCode>_("$"* #,##0_);_("$"* \(#,##0\);_("$"* "-"??_);_(@_)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461.76</c:v>
                </c:pt>
                <c:pt idx="6">
                  <c:v>69.289999999999992</c:v>
                </c:pt>
                <c:pt idx="7">
                  <c:v>439</c:v>
                </c:pt>
                <c:pt idx="8">
                  <c:v>0</c:v>
                </c:pt>
                <c:pt idx="9">
                  <c:v>0</c:v>
                </c:pt>
                <c:pt idx="10">
                  <c:v>356.11999999999989</c:v>
                </c:pt>
                <c:pt idx="11">
                  <c:v>133.19999999999999</c:v>
                </c:pt>
                <c:pt idx="12">
                  <c:v>0</c:v>
                </c:pt>
                <c:pt idx="13">
                  <c:v>391.28</c:v>
                </c:pt>
                <c:pt idx="14">
                  <c:v>1118.52</c:v>
                </c:pt>
                <c:pt idx="15">
                  <c:v>0</c:v>
                </c:pt>
                <c:pt idx="16">
                  <c:v>0</c:v>
                </c:pt>
                <c:pt idx="17">
                  <c:v>1751</c:v>
                </c:pt>
                <c:pt idx="18">
                  <c:v>0</c:v>
                </c:pt>
                <c:pt idx="19">
                  <c:v>0</c:v>
                </c:pt>
                <c:pt idx="20">
                  <c:v>693.81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547.19999999999982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9-42E7-B05F-30C069826FB5}"/>
            </c:ext>
          </c:extLst>
        </c:ser>
        <c:ser>
          <c:idx val="2"/>
          <c:order val="2"/>
          <c:tx>
            <c:strRef>
              <c:f>'Variance Reporting'!$H$3</c:f>
              <c:strCache>
                <c:ptCount val="1"/>
                <c:pt idx="0">
                  <c:v>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Reporting'!$H$4:$H$31</c:f>
              <c:numCache>
                <c:formatCode>General</c:formatCode>
                <c:ptCount val="28"/>
                <c:pt idx="0">
                  <c:v>150.08000000000004</c:v>
                </c:pt>
                <c:pt idx="1">
                  <c:v>0</c:v>
                </c:pt>
                <c:pt idx="2">
                  <c:v>221.25</c:v>
                </c:pt>
                <c:pt idx="3">
                  <c:v>1160.46</c:v>
                </c:pt>
                <c:pt idx="4">
                  <c:v>138.18000000000006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106.4</c:v>
                </c:pt>
                <c:pt idx="9">
                  <c:v>53.199999999999996</c:v>
                </c:pt>
                <c:pt idx="10">
                  <c:v>0</c:v>
                </c:pt>
                <c:pt idx="11">
                  <c:v>0</c:v>
                </c:pt>
                <c:pt idx="12">
                  <c:v>1301.8800000000001</c:v>
                </c:pt>
                <c:pt idx="13">
                  <c:v>0</c:v>
                </c:pt>
                <c:pt idx="14">
                  <c:v>0</c:v>
                </c:pt>
                <c:pt idx="15">
                  <c:v>724.24</c:v>
                </c:pt>
                <c:pt idx="16">
                  <c:v>274.74</c:v>
                </c:pt>
                <c:pt idx="17">
                  <c:v>0</c:v>
                </c:pt>
                <c:pt idx="18">
                  <c:v>293.93000000000006</c:v>
                </c:pt>
                <c:pt idx="19">
                  <c:v>495.90000000000009</c:v>
                </c:pt>
                <c:pt idx="20">
                  <c:v>0</c:v>
                </c:pt>
                <c:pt idx="21">
                  <c:v>107.5</c:v>
                </c:pt>
                <c:pt idx="22">
                  <c:v>229.34999999999991</c:v>
                </c:pt>
                <c:pt idx="23">
                  <c:v>315.75</c:v>
                </c:pt>
                <c:pt idx="24">
                  <c:v>32.81</c:v>
                </c:pt>
                <c:pt idx="25">
                  <c:v>736.64</c:v>
                </c:pt>
                <c:pt idx="26">
                  <c:v>0</c:v>
                </c:pt>
                <c:pt idx="27" formatCode="_(&quot;$&quot;* #,##0_);_(&quot;$&quot;* \(#,##0\);_(&quot;$&quot;* &quot;-&quot;??_);_(@_)">
                  <c:v>331.12999999999738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9-42E7-B05F-30C06982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606479"/>
        <c:axId val="2028606895"/>
      </c:barChart>
      <c:catAx>
        <c:axId val="20286064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028606895"/>
        <c:crosses val="autoZero"/>
        <c:auto val="1"/>
        <c:lblAlgn val="ctr"/>
        <c:lblOffset val="100"/>
        <c:noMultiLvlLbl val="0"/>
      </c:catAx>
      <c:valAx>
        <c:axId val="20286068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647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Chart'!$A$7</c:f>
              <c:strCache>
                <c:ptCount val="1"/>
                <c:pt idx="0">
                  <c:v>5/1/2019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Chart'!$D$7:$S$7</c:f>
              <c:numCache>
                <c:formatCode>0.00</c:formatCode>
                <c:ptCount val="16"/>
                <c:pt idx="0">
                  <c:v>0</c:v>
                </c:pt>
                <c:pt idx="1">
                  <c:v>6.9282434983108848E-2</c:v>
                </c:pt>
                <c:pt idx="2">
                  <c:v>9.6801036365301851E-2</c:v>
                </c:pt>
                <c:pt idx="3">
                  <c:v>0.12057460660969946</c:v>
                </c:pt>
                <c:pt idx="4">
                  <c:v>0.13389078350901154</c:v>
                </c:pt>
                <c:pt idx="5">
                  <c:v>0.13254534960272715</c:v>
                </c:pt>
                <c:pt idx="6">
                  <c:v>0.1169761408752278</c:v>
                </c:pt>
                <c:pt idx="7">
                  <c:v>9.2034162964601318E-2</c:v>
                </c:pt>
                <c:pt idx="8">
                  <c:v>6.4553504852143756E-2</c:v>
                </c:pt>
                <c:pt idx="9">
                  <c:v>4.0365428698681004E-2</c:v>
                </c:pt>
                <c:pt idx="10">
                  <c:v>2.2501853580308852E-2</c:v>
                </c:pt>
                <c:pt idx="11">
                  <c:v>1.1182682697307433E-2</c:v>
                </c:pt>
                <c:pt idx="12">
                  <c:v>4.9544185450815775E-3</c:v>
                </c:pt>
                <c:pt idx="13">
                  <c:v>1.9568537357238201E-3</c:v>
                </c:pt>
                <c:pt idx="14">
                  <c:v>6.8903775848434573E-4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A7C-A71A-FC182F3D2BA6}"/>
            </c:ext>
          </c:extLst>
        </c:ser>
        <c:ser>
          <c:idx val="1"/>
          <c:order val="1"/>
          <c:tx>
            <c:strRef>
              <c:f>'Ridge Chart'!$A$31</c:f>
              <c:strCache>
                <c:ptCount val="1"/>
                <c:pt idx="0">
                  <c:v>5/1/2021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Chart'!$D$31:$S$31</c:f>
              <c:numCache>
                <c:formatCode>0.00</c:formatCode>
                <c:ptCount val="16"/>
                <c:pt idx="0">
                  <c:v>0</c:v>
                </c:pt>
                <c:pt idx="1">
                  <c:v>1.0191554312678834E-6</c:v>
                </c:pt>
                <c:pt idx="2">
                  <c:v>4.7982608684960314E-5</c:v>
                </c:pt>
                <c:pt idx="3">
                  <c:v>1.1280644107889513E-3</c:v>
                </c:pt>
                <c:pt idx="4">
                  <c:v>1.3243127183991933E-2</c:v>
                </c:pt>
                <c:pt idx="5">
                  <c:v>7.7634330435337531E-2</c:v>
                </c:pt>
                <c:pt idx="6">
                  <c:v>0.22726035635576194</c:v>
                </c:pt>
                <c:pt idx="7">
                  <c:v>0.33220041046148646</c:v>
                </c:pt>
                <c:pt idx="8">
                  <c:v>0.24248409401643878</c:v>
                </c:pt>
                <c:pt idx="9">
                  <c:v>8.8383858416713354E-2</c:v>
                </c:pt>
                <c:pt idx="10">
                  <c:v>1.6086785374393366E-2</c:v>
                </c:pt>
                <c:pt idx="11">
                  <c:v>1.4620835408915656E-3</c:v>
                </c:pt>
                <c:pt idx="12">
                  <c:v>6.6356232243734985E-5</c:v>
                </c:pt>
                <c:pt idx="13">
                  <c:v>1.5038269329734551E-6</c:v>
                </c:pt>
                <c:pt idx="14">
                  <c:v>1.7018473726634671E-8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F-4A7C-A71A-FC182F3D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Chart'!$A$8</c:f>
              <c:strCache>
                <c:ptCount val="1"/>
                <c:pt idx="0">
                  <c:v>6/1/2019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Chart'!$D$8:$S$8</c:f>
              <c:numCache>
                <c:formatCode>0.00</c:formatCode>
                <c:ptCount val="16"/>
                <c:pt idx="0">
                  <c:v>0</c:v>
                </c:pt>
                <c:pt idx="1">
                  <c:v>7.6564415414397929E-2</c:v>
                </c:pt>
                <c:pt idx="2">
                  <c:v>0.10205584714110104</c:v>
                </c:pt>
                <c:pt idx="3">
                  <c:v>0.12208255551687014</c:v>
                </c:pt>
                <c:pt idx="4">
                  <c:v>0.13106119691099521</c:v>
                </c:pt>
                <c:pt idx="5">
                  <c:v>0.12626978660082769</c:v>
                </c:pt>
                <c:pt idx="6">
                  <c:v>0.10917659910030884</c:v>
                </c:pt>
                <c:pt idx="7">
                  <c:v>8.4715811522988987E-2</c:v>
                </c:pt>
                <c:pt idx="8">
                  <c:v>5.8993503359068555E-2</c:v>
                </c:pt>
                <c:pt idx="9">
                  <c:v>3.6867925271505508E-2</c:v>
                </c:pt>
                <c:pt idx="10">
                  <c:v>2.0677498970304728E-2</c:v>
                </c:pt>
                <c:pt idx="11">
                  <c:v>1.0407636504920798E-2</c:v>
                </c:pt>
                <c:pt idx="12">
                  <c:v>4.7012248394237462E-3</c:v>
                </c:pt>
                <c:pt idx="13">
                  <c:v>1.9057886100199669E-3</c:v>
                </c:pt>
                <c:pt idx="14">
                  <c:v>6.9333516968007468E-4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A73-996A-82E9C7FD9846}"/>
            </c:ext>
          </c:extLst>
        </c:ser>
        <c:ser>
          <c:idx val="1"/>
          <c:order val="1"/>
          <c:tx>
            <c:strRef>
              <c:f>'Ridge Chart'!$A$32</c:f>
              <c:strCache>
                <c:ptCount val="1"/>
                <c:pt idx="0">
                  <c:v>6/1/2021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Chart'!$D$32:$S$32</c:f>
              <c:numCache>
                <c:formatCode>0.00</c:formatCode>
                <c:ptCount val="16"/>
                <c:pt idx="0">
                  <c:v>0</c:v>
                </c:pt>
                <c:pt idx="1">
                  <c:v>9.6759209283552385E-17</c:v>
                </c:pt>
                <c:pt idx="2">
                  <c:v>1.2786990864616285E-11</c:v>
                </c:pt>
                <c:pt idx="3">
                  <c:v>1.6892689483991983E-7</c:v>
                </c:pt>
                <c:pt idx="4">
                  <c:v>2.2309181827436609E-4</c:v>
                </c:pt>
                <c:pt idx="5">
                  <c:v>2.9452548996266228E-2</c:v>
                </c:pt>
                <c:pt idx="6">
                  <c:v>0.38870178145082834</c:v>
                </c:pt>
                <c:pt idx="7">
                  <c:v>0.51281955189560702</c:v>
                </c:pt>
                <c:pt idx="8">
                  <c:v>6.7634302965814103E-2</c:v>
                </c:pt>
                <c:pt idx="9">
                  <c:v>8.9171046236594131E-4</c:v>
                </c:pt>
                <c:pt idx="10">
                  <c:v>1.1752631136261252E-6</c:v>
                </c:pt>
                <c:pt idx="11">
                  <c:v>1.5484627030718553E-10</c:v>
                </c:pt>
                <c:pt idx="12">
                  <c:v>2.0394863011486905E-15</c:v>
                </c:pt>
                <c:pt idx="13">
                  <c:v>2.6853149880773946E-21</c:v>
                </c:pt>
                <c:pt idx="14">
                  <c:v>3.534468203585902E-28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3-4A73-996A-82E9C7FD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Chart'!$A$9</c:f>
              <c:strCache>
                <c:ptCount val="1"/>
                <c:pt idx="0">
                  <c:v>7/1/2019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Chart'!$D$9:$S$9</c:f>
              <c:numCache>
                <c:formatCode>0.00</c:formatCode>
                <c:ptCount val="16"/>
                <c:pt idx="0">
                  <c:v>0</c:v>
                </c:pt>
                <c:pt idx="1">
                  <c:v>0.10466997310918656</c:v>
                </c:pt>
                <c:pt idx="2">
                  <c:v>0.1259476763200936</c:v>
                </c:pt>
                <c:pt idx="3">
                  <c:v>0.13510679406333068</c:v>
                </c:pt>
                <c:pt idx="4">
                  <c:v>0.12920615445092087</c:v>
                </c:pt>
                <c:pt idx="5">
                  <c:v>0.1101560096689774</c:v>
                </c:pt>
                <c:pt idx="6">
                  <c:v>8.3724424850043805E-2</c:v>
                </c:pt>
                <c:pt idx="7">
                  <c:v>5.6730306866379414E-2</c:v>
                </c:pt>
                <c:pt idx="8">
                  <c:v>3.4268656268780881E-2</c:v>
                </c:pt>
                <c:pt idx="9">
                  <c:v>1.8454318025015355E-2</c:v>
                </c:pt>
                <c:pt idx="10">
                  <c:v>8.8596773972549336E-3</c:v>
                </c:pt>
                <c:pt idx="11">
                  <c:v>3.7918993306406252E-3</c:v>
                </c:pt>
                <c:pt idx="12">
                  <c:v>1.4468205613696263E-3</c:v>
                </c:pt>
                <c:pt idx="13">
                  <c:v>4.9214324426162331E-4</c:v>
                </c:pt>
                <c:pt idx="14">
                  <c:v>1.492407305357487E-4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9F9-BA70-1910C5D1B345}"/>
            </c:ext>
          </c:extLst>
        </c:ser>
        <c:ser>
          <c:idx val="1"/>
          <c:order val="1"/>
          <c:tx>
            <c:strRef>
              <c:f>'Ridge Chart'!$A$33</c:f>
              <c:strCache>
                <c:ptCount val="1"/>
                <c:pt idx="0">
                  <c:v>7/1/2021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Chart'!$D$33:$S$33</c:f>
              <c:numCache>
                <c:formatCode>0.00</c:formatCode>
                <c:ptCount val="16"/>
                <c:pt idx="0">
                  <c:v>0</c:v>
                </c:pt>
                <c:pt idx="1">
                  <c:v>1.0027476099694326E-19</c:v>
                </c:pt>
                <c:pt idx="2">
                  <c:v>1.0518597135918926E-13</c:v>
                </c:pt>
                <c:pt idx="3">
                  <c:v>7.6761830135879611E-9</c:v>
                </c:pt>
                <c:pt idx="4">
                  <c:v>3.8972129004509432E-5</c:v>
                </c:pt>
                <c:pt idx="5">
                  <c:v>1.3765254798591593E-2</c:v>
                </c:pt>
                <c:pt idx="6">
                  <c:v>0.338248352722409</c:v>
                </c:pt>
                <c:pt idx="7">
                  <c:v>0.57824040902564056</c:v>
                </c:pt>
                <c:pt idx="8">
                  <c:v>6.8770550085769849E-2</c:v>
                </c:pt>
                <c:pt idx="9">
                  <c:v>5.6900734256875164E-4</c:v>
                </c:pt>
                <c:pt idx="10">
                  <c:v>3.2753261708505808E-7</c:v>
                </c:pt>
                <c:pt idx="11">
                  <c:v>1.3116336572675479E-11</c:v>
                </c:pt>
                <c:pt idx="12">
                  <c:v>3.6541962004125267E-17</c:v>
                </c:pt>
                <c:pt idx="13">
                  <c:v>7.0825962201441412E-24</c:v>
                </c:pt>
                <c:pt idx="14">
                  <c:v>9.5502428931707729E-32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C-49F9-BA70-1910C5D1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Chart'!$A$10</c:f>
              <c:strCache>
                <c:ptCount val="1"/>
                <c:pt idx="0">
                  <c:v>8/1/2019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Chart'!$D$10:$S$10</c:f>
              <c:numCache>
                <c:formatCode>0.00</c:formatCode>
                <c:ptCount val="16"/>
                <c:pt idx="0">
                  <c:v>0</c:v>
                </c:pt>
                <c:pt idx="1">
                  <c:v>1.7603714338548158E-2</c:v>
                </c:pt>
                <c:pt idx="2">
                  <c:v>6.2219170811128863E-2</c:v>
                </c:pt>
                <c:pt idx="3">
                  <c:v>0.1471369229835652</c:v>
                </c:pt>
                <c:pt idx="4">
                  <c:v>0.23280733756892463</c:v>
                </c:pt>
                <c:pt idx="5">
                  <c:v>0.24646156556219534</c:v>
                </c:pt>
                <c:pt idx="6">
                  <c:v>0.17457388849496044</c:v>
                </c:pt>
                <c:pt idx="7">
                  <c:v>8.2734550626268208E-2</c:v>
                </c:pt>
                <c:pt idx="8">
                  <c:v>2.6234457216841232E-2</c:v>
                </c:pt>
                <c:pt idx="9">
                  <c:v>5.5658922950190216E-3</c:v>
                </c:pt>
                <c:pt idx="10">
                  <c:v>7.9008725654089993E-4</c:v>
                </c:pt>
                <c:pt idx="11">
                  <c:v>7.5040005990276349E-5</c:v>
                </c:pt>
                <c:pt idx="12">
                  <c:v>4.7685704927001393E-6</c:v>
                </c:pt>
                <c:pt idx="13">
                  <c:v>2.0275010985995116E-7</c:v>
                </c:pt>
                <c:pt idx="14">
                  <c:v>5.7678178053267782E-9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D1A-9CAC-30DD4C9D82F5}"/>
            </c:ext>
          </c:extLst>
        </c:ser>
        <c:ser>
          <c:idx val="1"/>
          <c:order val="1"/>
          <c:tx>
            <c:strRef>
              <c:f>'Ridge Chart'!$A$34</c:f>
              <c:strCache>
                <c:ptCount val="1"/>
                <c:pt idx="0">
                  <c:v>8/1/2021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Chart'!$D$34:$S$34</c:f>
              <c:numCache>
                <c:formatCode>0.00</c:formatCode>
                <c:ptCount val="16"/>
                <c:pt idx="0">
                  <c:v>0</c:v>
                </c:pt>
                <c:pt idx="1">
                  <c:v>1.2207267157534796E-3</c:v>
                </c:pt>
                <c:pt idx="2">
                  <c:v>4.7195383138863324E-3</c:v>
                </c:pt>
                <c:pt idx="3">
                  <c:v>1.4759743662403737E-2</c:v>
                </c:pt>
                <c:pt idx="4">
                  <c:v>3.7338455201209486E-2</c:v>
                </c:pt>
                <c:pt idx="5">
                  <c:v>7.6406817184163672E-2</c:v>
                </c:pt>
                <c:pt idx="6">
                  <c:v>0.12647541237634469</c:v>
                </c:pt>
                <c:pt idx="7">
                  <c:v>0.16934732122887486</c:v>
                </c:pt>
                <c:pt idx="8">
                  <c:v>0.18342088750474478</c:v>
                </c:pt>
                <c:pt idx="9">
                  <c:v>0.16070059390372352</c:v>
                </c:pt>
                <c:pt idx="10">
                  <c:v>0.11388968851047344</c:v>
                </c:pt>
                <c:pt idx="11">
                  <c:v>6.5290434768048647E-2</c:v>
                </c:pt>
                <c:pt idx="12">
                  <c:v>3.0277007474874579E-2</c:v>
                </c:pt>
                <c:pt idx="13">
                  <c:v>1.135728613744387E-2</c:v>
                </c:pt>
                <c:pt idx="14">
                  <c:v>3.4461519221997412E-3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0-4D1A-9CAC-30DD4C9D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Chart'!$A$11</c:f>
              <c:strCache>
                <c:ptCount val="1"/>
                <c:pt idx="0">
                  <c:v>9/1/2019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Chart'!$D$11:$S$11</c:f>
              <c:numCache>
                <c:formatCode>0.00</c:formatCode>
                <c:ptCount val="16"/>
                <c:pt idx="0">
                  <c:v>0</c:v>
                </c:pt>
                <c:pt idx="1">
                  <c:v>4.7004273898173642E-4</c:v>
                </c:pt>
                <c:pt idx="2">
                  <c:v>5.7983469998249106E-3</c:v>
                </c:pt>
                <c:pt idx="3">
                  <c:v>3.8820979458226219E-2</c:v>
                </c:pt>
                <c:pt idx="4">
                  <c:v>0.14106660284343575</c:v>
                </c:pt>
                <c:pt idx="5">
                  <c:v>0.27821296196925593</c:v>
                </c:pt>
                <c:pt idx="6">
                  <c:v>0.29780085814964469</c:v>
                </c:pt>
                <c:pt idx="7">
                  <c:v>0.17300950463118356</c:v>
                </c:pt>
                <c:pt idx="8">
                  <c:v>5.4551841198535587E-2</c:v>
                </c:pt>
                <c:pt idx="9">
                  <c:v>9.3356443083708919E-3</c:v>
                </c:pt>
                <c:pt idx="10">
                  <c:v>8.6711083450123042E-4</c:v>
                </c:pt>
                <c:pt idx="11">
                  <c:v>4.371196820068777E-5</c:v>
                </c:pt>
                <c:pt idx="12">
                  <c:v>1.1959734634335712E-6</c:v>
                </c:pt>
                <c:pt idx="13">
                  <c:v>1.7759803574633886E-8</c:v>
                </c:pt>
                <c:pt idx="14">
                  <c:v>1.4313643803077588E-10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F86-9724-50392DC06EB6}"/>
            </c:ext>
          </c:extLst>
        </c:ser>
        <c:ser>
          <c:idx val="1"/>
          <c:order val="1"/>
          <c:tx>
            <c:strRef>
              <c:f>'Ridge Chart'!$A$35</c:f>
              <c:strCache>
                <c:ptCount val="1"/>
                <c:pt idx="0">
                  <c:v>9/1/2021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Chart'!$D$35:$S$35</c:f>
              <c:numCache>
                <c:formatCode>0.00</c:formatCode>
                <c:ptCount val="16"/>
                <c:pt idx="0">
                  <c:v>0</c:v>
                </c:pt>
                <c:pt idx="1">
                  <c:v>8.4644322965664234E-4</c:v>
                </c:pt>
                <c:pt idx="2">
                  <c:v>3.2619637075128865E-3</c:v>
                </c:pt>
                <c:pt idx="3">
                  <c:v>1.0332916862556612E-2</c:v>
                </c:pt>
                <c:pt idx="4">
                  <c:v>2.6904768937156705E-2</c:v>
                </c:pt>
                <c:pt idx="5">
                  <c:v>5.7583508075201364E-2</c:v>
                </c:pt>
                <c:pt idx="6">
                  <c:v>0.10130467625905668</c:v>
                </c:pt>
                <c:pt idx="7">
                  <c:v>0.14649519761110863</c:v>
                </c:pt>
                <c:pt idx="8">
                  <c:v>0.17413248749913016</c:v>
                </c:pt>
                <c:pt idx="9">
                  <c:v>0.17013698845677844</c:v>
                </c:pt>
                <c:pt idx="10">
                  <c:v>0.13664073818951147</c:v>
                </c:pt>
                <c:pt idx="11">
                  <c:v>9.0203664106294157E-2</c:v>
                </c:pt>
                <c:pt idx="12">
                  <c:v>4.8947518563470988E-2</c:v>
                </c:pt>
                <c:pt idx="13">
                  <c:v>2.183231061639104E-2</c:v>
                </c:pt>
                <c:pt idx="14">
                  <c:v>8.0044453627393427E-3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A-4F86-9724-50392DC0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Chart'!$A$12</c:f>
              <c:strCache>
                <c:ptCount val="1"/>
                <c:pt idx="0">
                  <c:v>10/1/2019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Chart'!$D$12:$S$12</c:f>
              <c:numCache>
                <c:formatCode>0.00</c:formatCode>
                <c:ptCount val="16"/>
                <c:pt idx="0">
                  <c:v>0</c:v>
                </c:pt>
                <c:pt idx="1">
                  <c:v>1.3854483330536305E-6</c:v>
                </c:pt>
                <c:pt idx="2">
                  <c:v>5.9915735263224801E-5</c:v>
                </c:pt>
                <c:pt idx="3">
                  <c:v>1.310714276965815E-3</c:v>
                </c:pt>
                <c:pt idx="4">
                  <c:v>1.4504132046232254E-2</c:v>
                </c:pt>
                <c:pt idx="5">
                  <c:v>8.1188036439661951E-2</c:v>
                </c:pt>
                <c:pt idx="6">
                  <c:v>0.22988408671422328</c:v>
                </c:pt>
                <c:pt idx="7">
                  <c:v>0.3292625659585966</c:v>
                </c:pt>
                <c:pt idx="8">
                  <c:v>0.23855712142411292</c:v>
                </c:pt>
                <c:pt idx="9">
                  <c:v>8.7429700590480303E-2</c:v>
                </c:pt>
                <c:pt idx="10">
                  <c:v>1.6208475715467342E-2</c:v>
                </c:pt>
                <c:pt idx="11">
                  <c:v>1.5199942193736566E-3</c:v>
                </c:pt>
                <c:pt idx="12">
                  <c:v>7.2103820358362483E-5</c:v>
                </c:pt>
                <c:pt idx="13">
                  <c:v>1.7301796271263452E-6</c:v>
                </c:pt>
                <c:pt idx="14">
                  <c:v>2.1001034570591402E-8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B-484D-BF63-3607C43241AA}"/>
            </c:ext>
          </c:extLst>
        </c:ser>
        <c:ser>
          <c:idx val="1"/>
          <c:order val="1"/>
          <c:tx>
            <c:strRef>
              <c:f>'Ridge Chart'!$A$36</c:f>
              <c:strCache>
                <c:ptCount val="1"/>
                <c:pt idx="0">
                  <c:v>10/1/2021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Chart'!$D$36:$S$36</c:f>
              <c:numCache>
                <c:formatCode>0.00</c:formatCode>
                <c:ptCount val="16"/>
                <c:pt idx="0">
                  <c:v>0</c:v>
                </c:pt>
                <c:pt idx="1">
                  <c:v>3.156473122509394E-3</c:v>
                </c:pt>
                <c:pt idx="2">
                  <c:v>8.2552382209293475E-3</c:v>
                </c:pt>
                <c:pt idx="3">
                  <c:v>1.8808798393693624E-2</c:v>
                </c:pt>
                <c:pt idx="4">
                  <c:v>3.7333303357423971E-2</c:v>
                </c:pt>
                <c:pt idx="5">
                  <c:v>6.4555866342749374E-2</c:v>
                </c:pt>
                <c:pt idx="6">
                  <c:v>9.724760959650075E-2</c:v>
                </c:pt>
                <c:pt idx="7">
                  <c:v>0.12762215763921037</c:v>
                </c:pt>
                <c:pt idx="8">
                  <c:v>0.14590734577365561</c:v>
                </c:pt>
                <c:pt idx="9">
                  <c:v>0.14532226505010751</c:v>
                </c:pt>
                <c:pt idx="10">
                  <c:v>0.12609303151403964</c:v>
                </c:pt>
                <c:pt idx="11">
                  <c:v>9.531339531561997E-2</c:v>
                </c:pt>
                <c:pt idx="12">
                  <c:v>6.276546080492891E-2</c:v>
                </c:pt>
                <c:pt idx="13">
                  <c:v>3.6007372319337587E-2</c:v>
                </c:pt>
                <c:pt idx="14">
                  <c:v>1.7995588916492264E-2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B-484D-BF63-3607C432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Chart'!$A$13</c:f>
              <c:strCache>
                <c:ptCount val="1"/>
                <c:pt idx="0">
                  <c:v>11/1/2019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Chart'!$D$13:$S$13</c:f>
              <c:numCache>
                <c:formatCode>0.00</c:formatCode>
                <c:ptCount val="16"/>
                <c:pt idx="0">
                  <c:v>0</c:v>
                </c:pt>
                <c:pt idx="1">
                  <c:v>2.3663395074197216E-11</c:v>
                </c:pt>
                <c:pt idx="2">
                  <c:v>1.4438376968374104E-8</c:v>
                </c:pt>
                <c:pt idx="3">
                  <c:v>3.1860366421990564E-6</c:v>
                </c:pt>
                <c:pt idx="4">
                  <c:v>2.5425776423741264E-4</c:v>
                </c:pt>
                <c:pt idx="5">
                  <c:v>7.3381865671226171E-3</c:v>
                </c:pt>
                <c:pt idx="6">
                  <c:v>7.6593928008595435E-2</c:v>
                </c:pt>
                <c:pt idx="7">
                  <c:v>0.28912856663686559</c:v>
                </c:pt>
                <c:pt idx="8">
                  <c:v>0.39471054759170893</c:v>
                </c:pt>
                <c:pt idx="9">
                  <c:v>0.1948756283154858</c:v>
                </c:pt>
                <c:pt idx="10">
                  <c:v>3.4795845415447314E-2</c:v>
                </c:pt>
                <c:pt idx="11">
                  <c:v>2.2469236989670926E-3</c:v>
                </c:pt>
                <c:pt idx="12">
                  <c:v>5.2473535289329135E-5</c:v>
                </c:pt>
                <c:pt idx="13">
                  <c:v>4.4318330568239748E-7</c:v>
                </c:pt>
                <c:pt idx="14">
                  <c:v>1.3536847241011523E-9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C00-8171-6BD2642D712C}"/>
            </c:ext>
          </c:extLst>
        </c:ser>
        <c:ser>
          <c:idx val="1"/>
          <c:order val="1"/>
          <c:tx>
            <c:strRef>
              <c:f>'Ridge Chart'!$A$37</c:f>
              <c:strCache>
                <c:ptCount val="1"/>
                <c:pt idx="0">
                  <c:v>11/1/2021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Chart'!$D$37:$S$37</c:f>
              <c:numCache>
                <c:formatCode>0.00</c:formatCode>
                <c:ptCount val="16"/>
                <c:pt idx="0">
                  <c:v>0</c:v>
                </c:pt>
                <c:pt idx="1">
                  <c:v>9.0020064255705145E-3</c:v>
                </c:pt>
                <c:pt idx="2">
                  <c:v>1.7240195027579095E-2</c:v>
                </c:pt>
                <c:pt idx="3">
                  <c:v>3.008253497148014E-2</c:v>
                </c:pt>
                <c:pt idx="4">
                  <c:v>4.7825121946976905E-2</c:v>
                </c:pt>
                <c:pt idx="5">
                  <c:v>6.9273501800628148E-2</c:v>
                </c:pt>
                <c:pt idx="6">
                  <c:v>9.1421343191347468E-2</c:v>
                </c:pt>
                <c:pt idx="7">
                  <c:v>0.10992524788947861</c:v>
                </c:pt>
                <c:pt idx="8">
                  <c:v>0.1204250151254882</c:v>
                </c:pt>
                <c:pt idx="9">
                  <c:v>0.12020024847181568</c:v>
                </c:pt>
                <c:pt idx="10">
                  <c:v>0.10931088773655338</c:v>
                </c:pt>
                <c:pt idx="11">
                  <c:v>9.0571357529180718E-2</c:v>
                </c:pt>
                <c:pt idx="12">
                  <c:v>6.8373487621733495E-2</c:v>
                </c:pt>
                <c:pt idx="13">
                  <c:v>4.7027727068667396E-2</c:v>
                </c:pt>
                <c:pt idx="14">
                  <c:v>2.947064526992554E-2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4C00-8171-6BD2642D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2019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Chart'!$D$14:$S$14</c:f>
              <c:numCache>
                <c:formatCode>0.00</c:formatCode>
                <c:ptCount val="16"/>
                <c:pt idx="0">
                  <c:v>0</c:v>
                </c:pt>
                <c:pt idx="1">
                  <c:v>5.8139037425653719E-15</c:v>
                </c:pt>
                <c:pt idx="2">
                  <c:v>3.19711693067068E-11</c:v>
                </c:pt>
                <c:pt idx="3">
                  <c:v>4.571799500887911E-8</c:v>
                </c:pt>
                <c:pt idx="4">
                  <c:v>1.7000191115329034E-5</c:v>
                </c:pt>
                <c:pt idx="5">
                  <c:v>1.6438356843431568E-3</c:v>
                </c:pt>
                <c:pt idx="6">
                  <c:v>4.1333385286256838E-2</c:v>
                </c:pt>
                <c:pt idx="7">
                  <c:v>0.27025984358356209</c:v>
                </c:pt>
                <c:pt idx="8">
                  <c:v>0.45951536552446859</c:v>
                </c:pt>
                <c:pt idx="9">
                  <c:v>0.20316857172110203</c:v>
                </c:pt>
                <c:pt idx="10">
                  <c:v>2.3358824793532178E-2</c:v>
                </c:pt>
                <c:pt idx="11">
                  <c:v>6.9836653969231543E-4</c:v>
                </c:pt>
                <c:pt idx="12">
                  <c:v>5.429424889195995E-6</c:v>
                </c:pt>
                <c:pt idx="13">
                  <c:v>1.0976457699131115E-8</c:v>
                </c:pt>
                <c:pt idx="14">
                  <c:v>5.7704350744996743E-12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500-A80B-AF2A9496654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Chart'!$D$38:$S$38</c:f>
              <c:numCache>
                <c:formatCode>0.00</c:formatCode>
                <c:ptCount val="16"/>
                <c:pt idx="0">
                  <c:v>0</c:v>
                </c:pt>
                <c:pt idx="1">
                  <c:v>9.7690487582726259E-3</c:v>
                </c:pt>
                <c:pt idx="2">
                  <c:v>1.6699912832077442E-2</c:v>
                </c:pt>
                <c:pt idx="3">
                  <c:v>2.665371540175349E-2</c:v>
                </c:pt>
                <c:pt idx="4">
                  <c:v>3.9717594076288124E-2</c:v>
                </c:pt>
                <c:pt idx="5">
                  <c:v>5.5257309413504534E-2</c:v>
                </c:pt>
                <c:pt idx="6">
                  <c:v>7.1775819677024885E-2</c:v>
                </c:pt>
                <c:pt idx="7">
                  <c:v>8.7045878363304227E-2</c:v>
                </c:pt>
                <c:pt idx="8">
                  <c:v>9.855981691033279E-2</c:v>
                </c:pt>
                <c:pt idx="9">
                  <c:v>0.10419171555540561</c:v>
                </c:pt>
                <c:pt idx="10">
                  <c:v>0.10283669592305514</c:v>
                </c:pt>
                <c:pt idx="11">
                  <c:v>9.4764279526400388E-2</c:v>
                </c:pt>
                <c:pt idx="12">
                  <c:v>8.1531013393016591E-2</c:v>
                </c:pt>
                <c:pt idx="13">
                  <c:v>6.5491153627893123E-2</c:v>
                </c:pt>
                <c:pt idx="14">
                  <c:v>4.9116121564504629E-2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4-4500-A80B-AF2A9496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0"/>
        <c:axPos val="b"/>
        <c:numFmt formatCode="_(&quot;$&quot;* #,##0,&quot;K&quot;_);_(&quot;$&quot;* \(#,##0,&quot;K&quot;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Subscriber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'Churn Reporting'!$A$2</c:f>
              <c:strCache>
                <c:ptCount val="1"/>
                <c:pt idx="0">
                  <c:v>New Subscriptions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Reporting'!$B$2:$M$2</c:f>
              <c:numCache>
                <c:formatCode>_(* #,##0_);_(* \(#,##0\);_(* "-"??_);_(@_)</c:formatCode>
                <c:ptCount val="12"/>
                <c:pt idx="0">
                  <c:v>1243</c:v>
                </c:pt>
                <c:pt idx="1">
                  <c:v>1385</c:v>
                </c:pt>
                <c:pt idx="2">
                  <c:v>1557</c:v>
                </c:pt>
                <c:pt idx="3">
                  <c:v>1666</c:v>
                </c:pt>
                <c:pt idx="4">
                  <c:v>1687</c:v>
                </c:pt>
                <c:pt idx="5">
                  <c:v>1700</c:v>
                </c:pt>
                <c:pt idx="6">
                  <c:v>1831</c:v>
                </c:pt>
                <c:pt idx="7">
                  <c:v>1965</c:v>
                </c:pt>
                <c:pt idx="8">
                  <c:v>2077</c:v>
                </c:pt>
                <c:pt idx="9">
                  <c:v>2212</c:v>
                </c:pt>
                <c:pt idx="10">
                  <c:v>2220</c:v>
                </c:pt>
                <c:pt idx="11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6-4256-9C0E-751CF26CE602}"/>
            </c:ext>
          </c:extLst>
        </c:ser>
        <c:ser>
          <c:idx val="1"/>
          <c:order val="1"/>
          <c:tx>
            <c:strRef>
              <c:f>'Churn Reporting'!$A$3</c:f>
              <c:strCache>
                <c:ptCount val="1"/>
                <c:pt idx="0">
                  <c:v>Cancellations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Reporting'!$B$3:$M$3</c:f>
              <c:numCache>
                <c:formatCode>_(* #,##0_);_(* \(#,##0\);_(* "-"??_);_(@_)</c:formatCode>
                <c:ptCount val="12"/>
                <c:pt idx="0">
                  <c:v>-800</c:v>
                </c:pt>
                <c:pt idx="1">
                  <c:v>-624</c:v>
                </c:pt>
                <c:pt idx="2">
                  <c:v>-922</c:v>
                </c:pt>
                <c:pt idx="3">
                  <c:v>-657</c:v>
                </c:pt>
                <c:pt idx="4">
                  <c:v>-843</c:v>
                </c:pt>
                <c:pt idx="5">
                  <c:v>-1011</c:v>
                </c:pt>
                <c:pt idx="6">
                  <c:v>-1114</c:v>
                </c:pt>
                <c:pt idx="7">
                  <c:v>-1512</c:v>
                </c:pt>
                <c:pt idx="8">
                  <c:v>-1353</c:v>
                </c:pt>
                <c:pt idx="9">
                  <c:v>-1521</c:v>
                </c:pt>
                <c:pt idx="10">
                  <c:v>-1640</c:v>
                </c:pt>
                <c:pt idx="11">
                  <c:v>-1881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700944"/>
        <c:axId val="1911703440"/>
      </c:barChart>
      <c:lineChart>
        <c:grouping val="standard"/>
        <c:varyColors val="0"/>
        <c:ser>
          <c:idx val="2"/>
          <c:order val="2"/>
          <c:tx>
            <c:strRef>
              <c:f>'Churn Reporting'!$A$4</c:f>
              <c:strCache>
                <c:ptCount val="1"/>
                <c:pt idx="0">
                  <c:v>Net Subscribers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Reporting'!$B$4:$M$4</c:f>
              <c:numCache>
                <c:formatCode>_(* #,##0_);_(* \(#,##0\);_(* "-"??_);_(@_)</c:formatCode>
                <c:ptCount val="12"/>
                <c:pt idx="0">
                  <c:v>443</c:v>
                </c:pt>
                <c:pt idx="1">
                  <c:v>761</c:v>
                </c:pt>
                <c:pt idx="2">
                  <c:v>635</c:v>
                </c:pt>
                <c:pt idx="3">
                  <c:v>1009</c:v>
                </c:pt>
                <c:pt idx="4">
                  <c:v>844</c:v>
                </c:pt>
                <c:pt idx="5">
                  <c:v>689</c:v>
                </c:pt>
                <c:pt idx="6">
                  <c:v>717</c:v>
                </c:pt>
                <c:pt idx="7">
                  <c:v>453</c:v>
                </c:pt>
                <c:pt idx="8">
                  <c:v>724</c:v>
                </c:pt>
                <c:pt idx="9">
                  <c:v>691</c:v>
                </c:pt>
                <c:pt idx="10">
                  <c:v>580</c:v>
                </c:pt>
                <c:pt idx="11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00944"/>
        <c:axId val="1911703440"/>
      </c:lineChart>
      <c:dateAx>
        <c:axId val="191170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3440"/>
        <c:crosses val="autoZero"/>
        <c:auto val="1"/>
        <c:lblOffset val="100"/>
        <c:baseTimeUnit val="months"/>
      </c:dateAx>
      <c:valAx>
        <c:axId val="1911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'Churn Reporting'!$A$23</c:f>
              <c:strCache>
                <c:ptCount val="1"/>
                <c:pt idx="0">
                  <c:v>1/1/2021</c:v>
                </c:pt>
              </c:strCache>
            </c:strRef>
          </c:tx>
          <c:spPr>
            <a:ln w="28575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Reporting'!$B$23:$M$23</c:f>
              <c:numCache>
                <c:formatCode>0%</c:formatCode>
                <c:ptCount val="12"/>
                <c:pt idx="0">
                  <c:v>1</c:v>
                </c:pt>
                <c:pt idx="1">
                  <c:v>0.81979082864038622</c:v>
                </c:pt>
                <c:pt idx="2">
                  <c:v>0.61464199517296858</c:v>
                </c:pt>
                <c:pt idx="3">
                  <c:v>0.48592115848753015</c:v>
                </c:pt>
                <c:pt idx="4">
                  <c:v>0.37892196299275943</c:v>
                </c:pt>
                <c:pt idx="5">
                  <c:v>0.30732099758648429</c:v>
                </c:pt>
                <c:pt idx="6">
                  <c:v>0.24617860016090104</c:v>
                </c:pt>
                <c:pt idx="7">
                  <c:v>0.18744971842316976</c:v>
                </c:pt>
                <c:pt idx="8">
                  <c:v>0.15929203539823009</c:v>
                </c:pt>
                <c:pt idx="9">
                  <c:v>0.12228479485116653</c:v>
                </c:pt>
                <c:pt idx="10">
                  <c:v>0.1005631536604988</c:v>
                </c:pt>
                <c:pt idx="11">
                  <c:v>7.7232502011263068E-2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E-4836-BC0E-ABFC22F5C1AC}"/>
            </c:ext>
          </c:extLst>
        </c:ser>
        <c:ser>
          <c:idx val="1"/>
          <c:order val="1"/>
          <c:tx>
            <c:strRef>
              <c:f>'Churn Reporting'!$A$24</c:f>
              <c:strCache>
                <c:ptCount val="1"/>
                <c:pt idx="0">
                  <c:v>2/1/2021</c:v>
                </c:pt>
              </c:strCache>
            </c:strRef>
          </c:tx>
          <c:spPr>
            <a:ln w="28575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Reporting'!$B$24:$M$24</c:f>
              <c:numCache>
                <c:formatCode>0%</c:formatCode>
                <c:ptCount val="12"/>
                <c:pt idx="0">
                  <c:v>1</c:v>
                </c:pt>
                <c:pt idx="1">
                  <c:v>0.82021660649819494</c:v>
                </c:pt>
                <c:pt idx="2">
                  <c:v>0.69747292418772566</c:v>
                </c:pt>
                <c:pt idx="3">
                  <c:v>0.57906137184115525</c:v>
                </c:pt>
                <c:pt idx="4">
                  <c:v>0.47509025270758121</c:v>
                </c:pt>
                <c:pt idx="5">
                  <c:v>0.36606498194945847</c:v>
                </c:pt>
                <c:pt idx="6">
                  <c:v>0.27436823104693142</c:v>
                </c:pt>
                <c:pt idx="7">
                  <c:v>0.21949458483754514</c:v>
                </c:pt>
                <c:pt idx="8">
                  <c:v>0.17545126353790613</c:v>
                </c:pt>
                <c:pt idx="9">
                  <c:v>0.14584837545126353</c:v>
                </c:pt>
                <c:pt idx="10">
                  <c:v>0.12418772563176896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DE-4836-BC0E-ABFC22F5C1AC}"/>
            </c:ext>
          </c:extLst>
        </c:ser>
        <c:ser>
          <c:idx val="2"/>
          <c:order val="2"/>
          <c:tx>
            <c:strRef>
              <c:f>'Churn Reporting'!$A$25</c:f>
              <c:strCache>
                <c:ptCount val="1"/>
                <c:pt idx="0">
                  <c:v>3/1/2021</c:v>
                </c:pt>
              </c:strCache>
            </c:strRef>
          </c:tx>
          <c:spPr>
            <a:ln w="28575" cap="rnd">
              <a:solidFill>
                <a:schemeClr val="accent5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Reporting'!$B$25:$M$25</c:f>
              <c:numCache>
                <c:formatCode>0%</c:formatCode>
                <c:ptCount val="12"/>
                <c:pt idx="0">
                  <c:v>1</c:v>
                </c:pt>
                <c:pt idx="1">
                  <c:v>0.78998073217726394</c:v>
                </c:pt>
                <c:pt idx="2">
                  <c:v>0.63198458574181116</c:v>
                </c:pt>
                <c:pt idx="3">
                  <c:v>0.50545921644187541</c:v>
                </c:pt>
                <c:pt idx="4">
                  <c:v>0.4296724470134875</c:v>
                </c:pt>
                <c:pt idx="5">
                  <c:v>0.33076429030186255</c:v>
                </c:pt>
                <c:pt idx="6">
                  <c:v>0.27809890815671162</c:v>
                </c:pt>
                <c:pt idx="7">
                  <c:v>0.23057161207450225</c:v>
                </c:pt>
                <c:pt idx="8">
                  <c:v>0.18432883750802825</c:v>
                </c:pt>
                <c:pt idx="9">
                  <c:v>0.14001284521515736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E-4836-BC0E-ABFC22F5C1AC}"/>
            </c:ext>
          </c:extLst>
        </c:ser>
        <c:ser>
          <c:idx val="3"/>
          <c:order val="3"/>
          <c:tx>
            <c:strRef>
              <c:f>'Churn Reporting'!$A$26</c:f>
              <c:strCache>
                <c:ptCount val="1"/>
                <c:pt idx="0">
                  <c:v>4/1/2021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Reporting'!$B$26:$M$26</c:f>
              <c:numCache>
                <c:formatCode>0%</c:formatCode>
                <c:ptCount val="12"/>
                <c:pt idx="0">
                  <c:v>1</c:v>
                </c:pt>
                <c:pt idx="1">
                  <c:v>0.81992797118847538</c:v>
                </c:pt>
                <c:pt idx="2">
                  <c:v>0.66386554621848737</c:v>
                </c:pt>
                <c:pt idx="3">
                  <c:v>0.50480192076830732</c:v>
                </c:pt>
                <c:pt idx="4">
                  <c:v>0.42376950780312123</c:v>
                </c:pt>
                <c:pt idx="5">
                  <c:v>0.33073229291716688</c:v>
                </c:pt>
                <c:pt idx="6">
                  <c:v>0.27130852340936373</c:v>
                </c:pt>
                <c:pt idx="7">
                  <c:v>0.20888355342136855</c:v>
                </c:pt>
                <c:pt idx="8">
                  <c:v>0.16506602641056423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DE-4836-BC0E-ABFC22F5C1AC}"/>
            </c:ext>
          </c:extLst>
        </c:ser>
        <c:ser>
          <c:idx val="4"/>
          <c:order val="4"/>
          <c:tx>
            <c:strRef>
              <c:f>'Churn Reporting'!$A$27</c:f>
              <c:strCache>
                <c:ptCount val="1"/>
                <c:pt idx="0">
                  <c:v>5/1/2021</c:v>
                </c:pt>
              </c:strCache>
            </c:strRef>
          </c:tx>
          <c:spPr>
            <a:ln w="28575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Reporting'!$B$27:$M$27</c:f>
              <c:numCache>
                <c:formatCode>0%</c:formatCode>
                <c:ptCount val="12"/>
                <c:pt idx="0">
                  <c:v>1</c:v>
                </c:pt>
                <c:pt idx="1">
                  <c:v>0.8097213989330172</c:v>
                </c:pt>
                <c:pt idx="2">
                  <c:v>0.67219917012448138</c:v>
                </c:pt>
                <c:pt idx="3">
                  <c:v>0.53764078245406044</c:v>
                </c:pt>
                <c:pt idx="4">
                  <c:v>0.41908713692946059</c:v>
                </c:pt>
                <c:pt idx="5">
                  <c:v>0.34380557202133966</c:v>
                </c:pt>
                <c:pt idx="6">
                  <c:v>0.2851215174866627</c:v>
                </c:pt>
                <c:pt idx="7">
                  <c:v>0.21398933017190278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DE-4836-BC0E-ABFC22F5C1AC}"/>
            </c:ext>
          </c:extLst>
        </c:ser>
        <c:ser>
          <c:idx val="5"/>
          <c:order val="5"/>
          <c:tx>
            <c:strRef>
              <c:f>'Churn Reporting'!$A$28</c:f>
              <c:strCache>
                <c:ptCount val="1"/>
                <c:pt idx="0">
                  <c:v>6/1/2021</c:v>
                </c:pt>
              </c:strCache>
            </c:strRef>
          </c:tx>
          <c:spPr>
            <a:ln w="28575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Reporting'!$B$28:$M$28</c:f>
              <c:numCache>
                <c:formatCode>0%</c:formatCode>
                <c:ptCount val="12"/>
                <c:pt idx="0">
                  <c:v>1</c:v>
                </c:pt>
                <c:pt idx="1">
                  <c:v>0.84</c:v>
                </c:pt>
                <c:pt idx="2">
                  <c:v>0.63</c:v>
                </c:pt>
                <c:pt idx="3">
                  <c:v>0.53529411764705881</c:v>
                </c:pt>
                <c:pt idx="4">
                  <c:v>0.44411764705882351</c:v>
                </c:pt>
                <c:pt idx="5">
                  <c:v>0.34647058823529414</c:v>
                </c:pt>
                <c:pt idx="6">
                  <c:v>0.27352941176470591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DE-4836-BC0E-ABFC22F5C1AC}"/>
            </c:ext>
          </c:extLst>
        </c:ser>
        <c:ser>
          <c:idx val="6"/>
          <c:order val="6"/>
          <c:tx>
            <c:strRef>
              <c:f>'Churn Reporting'!$A$29</c:f>
              <c:strCache>
                <c:ptCount val="1"/>
                <c:pt idx="0">
                  <c:v>7/1/2021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Reporting'!$B$29:$M$29</c:f>
              <c:numCache>
                <c:formatCode>0%</c:formatCode>
                <c:ptCount val="12"/>
                <c:pt idx="0">
                  <c:v>1</c:v>
                </c:pt>
                <c:pt idx="1">
                  <c:v>0.7602403058438012</c:v>
                </c:pt>
                <c:pt idx="2">
                  <c:v>0.62315674494811579</c:v>
                </c:pt>
                <c:pt idx="3">
                  <c:v>0.51720371381758601</c:v>
                </c:pt>
                <c:pt idx="4">
                  <c:v>0.39814309120699071</c:v>
                </c:pt>
                <c:pt idx="5">
                  <c:v>0.3145821955215729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DE-4836-BC0E-ABFC22F5C1AC}"/>
            </c:ext>
          </c:extLst>
        </c:ser>
        <c:ser>
          <c:idx val="7"/>
          <c:order val="7"/>
          <c:tx>
            <c:strRef>
              <c:f>'Churn Reporting'!$A$30</c:f>
              <c:strCache>
                <c:ptCount val="1"/>
                <c:pt idx="0">
                  <c:v>8/1/2021</c:v>
                </c:pt>
              </c:strCache>
            </c:strRef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Reporting'!$B$30:$M$30</c:f>
              <c:numCache>
                <c:formatCode>0%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0.66412213740458015</c:v>
                </c:pt>
                <c:pt idx="3">
                  <c:v>0.51145038167938928</c:v>
                </c:pt>
                <c:pt idx="4">
                  <c:v>0.38880407124681932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DE-4836-BC0E-ABFC22F5C1AC}"/>
            </c:ext>
          </c:extLst>
        </c:ser>
        <c:ser>
          <c:idx val="8"/>
          <c:order val="8"/>
          <c:tx>
            <c:strRef>
              <c:f>'Churn Reporting'!$A$31</c:f>
              <c:strCache>
                <c:ptCount val="1"/>
                <c:pt idx="0">
                  <c:v>9/1/2021</c:v>
                </c:pt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Reporting'!$B$31:$M$31</c:f>
              <c:numCache>
                <c:formatCode>0%</c:formatCode>
                <c:ptCount val="12"/>
                <c:pt idx="0">
                  <c:v>1</c:v>
                </c:pt>
                <c:pt idx="1">
                  <c:v>0.7602311025517573</c:v>
                </c:pt>
                <c:pt idx="2">
                  <c:v>0.64612421762156957</c:v>
                </c:pt>
                <c:pt idx="3">
                  <c:v>0.51709195955705345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DE-4836-BC0E-ABFC22F5C1AC}"/>
            </c:ext>
          </c:extLst>
        </c:ser>
        <c:ser>
          <c:idx val="9"/>
          <c:order val="9"/>
          <c:tx>
            <c:strRef>
              <c:f>'Churn Reporting'!$A$32</c:f>
              <c:strCache>
                <c:ptCount val="1"/>
                <c:pt idx="0">
                  <c:v>10/1/2021</c:v>
                </c:pt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Reporting'!$B$32:$M$32</c:f>
              <c:numCache>
                <c:formatCode>0%</c:formatCode>
                <c:ptCount val="12"/>
                <c:pt idx="0">
                  <c:v>1</c:v>
                </c:pt>
                <c:pt idx="1">
                  <c:v>0.83001808318264014</c:v>
                </c:pt>
                <c:pt idx="2">
                  <c:v>0.68083182640144668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4DE-4836-BC0E-ABFC22F5C1AC}"/>
            </c:ext>
          </c:extLst>
        </c:ser>
        <c:ser>
          <c:idx val="10"/>
          <c:order val="10"/>
          <c:tx>
            <c:strRef>
              <c:f>'Churn Reporting'!$A$33</c:f>
              <c:strCache>
                <c:ptCount val="1"/>
                <c:pt idx="0">
                  <c:v>11/1/2021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Reporting'!$B$33:$M$33</c:f>
              <c:numCache>
                <c:formatCode>0%</c:formatCode>
                <c:ptCount val="12"/>
                <c:pt idx="0">
                  <c:v>1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DE-4836-BC0E-ABFC22F5C1AC}"/>
            </c:ext>
          </c:extLst>
        </c:ser>
        <c:ser>
          <c:idx val="11"/>
          <c:order val="11"/>
          <c:tx>
            <c:strRef>
              <c:f>'Churn Reporting'!$A$34</c:f>
              <c:strCache>
                <c:ptCount val="1"/>
                <c:pt idx="0">
                  <c:v>12/1/2021</c:v>
                </c:pt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Reporting'!$B$34:$M$34</c:f>
              <c:numCache>
                <c:formatCode>0%</c:formatCode>
                <c:ptCount val="12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4DE-4836-BC0E-ABFC22F5C1AC}"/>
            </c:ext>
          </c:extLst>
        </c:ser>
        <c:ser>
          <c:idx val="12"/>
          <c:order val="12"/>
          <c:tx>
            <c:strRef>
              <c:f>'Churn Reporting'!$A$35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'Churn Reporting'!$B$22:$M$22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'Churn Reporting'!$B$35:$M$35</c:f>
              <c:numCache>
                <c:formatCode>0%</c:formatCode>
                <c:ptCount val="12"/>
                <c:pt idx="0">
                  <c:v>1</c:v>
                </c:pt>
                <c:pt idx="1">
                  <c:v>0.80455700263777608</c:v>
                </c:pt>
                <c:pt idx="2">
                  <c:v>0.65243991478211849</c:v>
                </c:pt>
                <c:pt idx="3">
                  <c:v>0.521547180299335</c:v>
                </c:pt>
                <c:pt idx="4">
                  <c:v>0.41970076461988048</c:v>
                </c:pt>
                <c:pt idx="5">
                  <c:v>0.33424870264759704</c:v>
                </c:pt>
                <c:pt idx="6">
                  <c:v>0.27143419867087942</c:v>
                </c:pt>
                <c:pt idx="7">
                  <c:v>0.21207775978569768</c:v>
                </c:pt>
                <c:pt idx="8">
                  <c:v>0.17103454071368215</c:v>
                </c:pt>
                <c:pt idx="9">
                  <c:v>0.13604867183919581</c:v>
                </c:pt>
                <c:pt idx="10">
                  <c:v>0.11237543964613388</c:v>
                </c:pt>
                <c:pt idx="11">
                  <c:v>7.7232502011263068E-2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8-4837-95C5-830AD341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12192"/>
        <c:axId val="2007702624"/>
      </c:scatterChart>
      <c:valAx>
        <c:axId val="2007712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02624"/>
        <c:crosses val="autoZero"/>
        <c:crossBetween val="midCat"/>
        <c:majorUnit val="1"/>
      </c:valAx>
      <c:valAx>
        <c:axId val="200770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4875328083989"/>
          <c:y val="3.3094695399917114E-2"/>
          <c:w val="0.77347687007874011"/>
          <c:h val="0.924454689874292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'Variance Reporting'!$J$3</c:f>
              <c:strCache>
                <c:ptCount val="1"/>
                <c:pt idx="0">
                  <c:v>Unfavorable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Reporting'!$J$4:$J$31</c:f>
              <c:numCache>
                <c:formatCode>0%</c:formatCode>
                <c:ptCount val="28"/>
                <c:pt idx="0">
                  <c:v>0</c:v>
                </c:pt>
                <c:pt idx="1">
                  <c:v>9.6153846153846159E-2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0.37</c:v>
                </c:pt>
                <c:pt idx="6">
                  <c:v>0.41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0.28999999999999992</c:v>
                </c:pt>
                <c:pt idx="11">
                  <c:v>1.2</c:v>
                </c:pt>
                <c:pt idx="12" formatCode="General">
                  <c:v>0</c:v>
                </c:pt>
                <c:pt idx="13">
                  <c:v>0.66999999999999993</c:v>
                </c:pt>
                <c:pt idx="14" formatCode="General">
                  <c:v>0.78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1.03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0.38999999999999996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0.59999999999999976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A-4063-9A55-AEBD5ACB3C07}"/>
            </c:ext>
          </c:extLst>
        </c:ser>
        <c:ser>
          <c:idx val="1"/>
          <c:order val="1"/>
          <c:tx>
            <c:strRef>
              <c:f>'Variance Reporting'!$K$3</c:f>
              <c:strCache>
                <c:ptCount val="1"/>
                <c:pt idx="0">
                  <c:v>Favorable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Reporting'!$K$4:$K$31</c:f>
              <c:numCache>
                <c:formatCode>0%</c:formatCode>
                <c:ptCount val="28"/>
                <c:pt idx="0">
                  <c:v>-0.28000000000000008</c:v>
                </c:pt>
                <c:pt idx="1">
                  <c:v>0</c:v>
                </c:pt>
                <c:pt idx="2">
                  <c:v>-0.15</c:v>
                </c:pt>
                <c:pt idx="3">
                  <c:v>-0.63</c:v>
                </c:pt>
                <c:pt idx="4">
                  <c:v>-0.2100000000000001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-0.76</c:v>
                </c:pt>
                <c:pt idx="9">
                  <c:v>-0.7</c:v>
                </c:pt>
                <c:pt idx="10">
                  <c:v>0</c:v>
                </c:pt>
                <c:pt idx="11">
                  <c:v>0</c:v>
                </c:pt>
                <c:pt idx="12">
                  <c:v>-0.76</c:v>
                </c:pt>
                <c:pt idx="13">
                  <c:v>0</c:v>
                </c:pt>
                <c:pt idx="14">
                  <c:v>0</c:v>
                </c:pt>
                <c:pt idx="15">
                  <c:v>-0.44</c:v>
                </c:pt>
                <c:pt idx="16">
                  <c:v>-0.19</c:v>
                </c:pt>
                <c:pt idx="17">
                  <c:v>0</c:v>
                </c:pt>
                <c:pt idx="18">
                  <c:v>-0.17000000000000004</c:v>
                </c:pt>
                <c:pt idx="19">
                  <c:v>-0.30000000000000004</c:v>
                </c:pt>
                <c:pt idx="20">
                  <c:v>0</c:v>
                </c:pt>
                <c:pt idx="21">
                  <c:v>-0.43</c:v>
                </c:pt>
                <c:pt idx="22">
                  <c:v>-0.14999999999999994</c:v>
                </c:pt>
                <c:pt idx="23">
                  <c:v>-0.75</c:v>
                </c:pt>
                <c:pt idx="24">
                  <c:v>-0.17</c:v>
                </c:pt>
                <c:pt idx="25">
                  <c:v>-0.64</c:v>
                </c:pt>
                <c:pt idx="26">
                  <c:v>0</c:v>
                </c:pt>
                <c:pt idx="27">
                  <c:v>-1.2456925739221931E-2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A-4063-9A55-AEBD5ACB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514527"/>
        <c:axId val="1884514943"/>
      </c:barChart>
      <c:catAx>
        <c:axId val="18845145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84514943"/>
        <c:crosses val="autoZero"/>
        <c:auto val="1"/>
        <c:lblAlgn val="ctr"/>
        <c:lblOffset val="100"/>
        <c:noMultiLvlLbl val="0"/>
      </c:catAx>
      <c:valAx>
        <c:axId val="1884514943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'Bullet Chart'!$D$5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Chart'!$B$6:$B$10</c:f>
              <c:strCache>
                <c:ptCount val="5"/>
                <c:pt idx="0">
                  <c:v>Revenue</c:v>
                </c:pt>
                <c:pt idx="1">
                  <c:v>Medical Costs</c:v>
                </c:pt>
                <c:pt idx="2">
                  <c:v>Opex</c:v>
                </c:pt>
                <c:pt idx="3">
                  <c:v>G&amp;A</c:v>
                </c:pt>
                <c:pt idx="4">
                  <c:v>Depreciation</c:v>
                </c:pt>
              </c:strCache>
            </c:strRef>
          </c:cat>
          <c:val>
            <c:numRef>
              <c:f>'Bullet Chart'!$D$6:$D$10</c:f>
              <c:numCache>
                <c:formatCode>0%</c:formatCode>
                <c:ptCount val="5"/>
                <c:pt idx="0">
                  <c:v>0.35268412125760995</c:v>
                </c:pt>
                <c:pt idx="1">
                  <c:v>0.82192418079223728</c:v>
                </c:pt>
                <c:pt idx="2">
                  <c:v>0.28522455620022868</c:v>
                </c:pt>
                <c:pt idx="3">
                  <c:v>0.94521422285140511</c:v>
                </c:pt>
                <c:pt idx="4">
                  <c:v>0.17109988815943089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75760"/>
        <c:axId val="84894064"/>
      </c:barChart>
      <c:scatterChart>
        <c:scatterStyle val="lineMarker"/>
        <c:varyColors val="0"/>
        <c:ser>
          <c:idx val="0"/>
          <c:order val="1"/>
          <c:tx>
            <c:strRef>
              <c:f>'Bullet Chart'!$C$5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5"/>
            <c:spPr>
              <a:noFill/>
              <a:ln w="349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'Bullet Chart'!$C$6:$C$10</c:f>
              <c:numCache>
                <c:formatCode>0%</c:formatCode>
                <c:ptCount val="5"/>
                <c:pt idx="0">
                  <c:v>0.16129032258064516</c:v>
                </c:pt>
                <c:pt idx="1">
                  <c:v>0.16129032258064516</c:v>
                </c:pt>
                <c:pt idx="2">
                  <c:v>0.16129032258064516</c:v>
                </c:pt>
                <c:pt idx="3">
                  <c:v>0.16129032258064516</c:v>
                </c:pt>
                <c:pt idx="4">
                  <c:v>0.16129032258064516</c:v>
                </c:pt>
              </c:numCache>
            </c:numRef>
          </c:xVal>
          <c:yVal>
            <c:numRef>
              <c:f>'Bullet Chart'!$E$6:$E$10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1280"/>
        <c:axId val="1695813776"/>
      </c:scatterChart>
      <c:valAx>
        <c:axId val="1695811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13776"/>
        <c:crosses val="autoZero"/>
        <c:crossBetween val="midCat"/>
      </c:valAx>
      <c:valAx>
        <c:axId val="169581377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5811280"/>
        <c:crosses val="autoZero"/>
        <c:crossBetween val="midCat"/>
      </c:valAx>
      <c:valAx>
        <c:axId val="848940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84875760"/>
        <c:crosses val="max"/>
        <c:crossBetween val="between"/>
      </c:valAx>
      <c:catAx>
        <c:axId val="848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'Bridge Chart'!$K$3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Chart'!$K$4:$K$25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D79-A471-6A940526F46D}"/>
            </c:ext>
          </c:extLst>
        </c:ser>
        <c:ser>
          <c:idx val="1"/>
          <c:order val="1"/>
          <c:tx>
            <c:strRef>
              <c:f>'Bridge Chart'!$L$3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Chart'!$L$4:$L$25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D79-A471-6A940526F46D}"/>
            </c:ext>
          </c:extLst>
        </c:ser>
        <c:ser>
          <c:idx val="2"/>
          <c:order val="2"/>
          <c:tx>
            <c:strRef>
              <c:f>'Bridge Chart'!$M$3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Chart'!$M$4:$M$25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D79-A471-6A940526F46D}"/>
            </c:ext>
          </c:extLst>
        </c:ser>
        <c:ser>
          <c:idx val="3"/>
          <c:order val="3"/>
          <c:tx>
            <c:strRef>
              <c:f>'Bridge Chart'!$N$3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Chart'!$N$4:$N$25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1-4D79-A471-6A940526F46D}"/>
            </c:ext>
          </c:extLst>
        </c:ser>
        <c:ser>
          <c:idx val="4"/>
          <c:order val="4"/>
          <c:tx>
            <c:strRef>
              <c:f>'Bridge Chart'!$O$3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Chart'!$O$4:$O$25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D79-A471-6A940526F46D}"/>
            </c:ext>
          </c:extLst>
        </c:ser>
        <c:ser>
          <c:idx val="5"/>
          <c:order val="5"/>
          <c:tx>
            <c:strRef>
              <c:f>'Bridge Chart'!$P$3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Chart'!$P$4:$P$25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D79-A471-6A940526F46D}"/>
            </c:ext>
          </c:extLst>
        </c:ser>
        <c:ser>
          <c:idx val="6"/>
          <c:order val="6"/>
          <c:tx>
            <c:strRef>
              <c:f>'Bridge Chart'!$Q$3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Chart'!$Q$4:$Q$25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D79-A471-6A940526F46D}"/>
            </c:ext>
          </c:extLst>
        </c:ser>
        <c:ser>
          <c:idx val="7"/>
          <c:order val="7"/>
          <c:tx>
            <c:strRef>
              <c:f>'Bridge Chart'!$R$3</c:f>
              <c:strCache>
                <c:ptCount val="1"/>
                <c:pt idx="0">
                  <c:v>Label Holder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F2DFD8-2215-4569-8097-DC2B7266A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BC3-406F-995B-C56BFB5D6E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45320A-62BF-4565-825B-A0D70BD96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C3-406F-995B-C56BFB5D6E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D37408-B0D8-43AE-B2EC-30A338CFC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C3-406F-995B-C56BFB5D6E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9C31F1-096F-4EFB-A3C9-D4EB4868B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C3-406F-995B-C56BFB5D6E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E99DAB-9BA7-4C5A-A89A-14C38104D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C3-406F-995B-C56BFB5D6E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4027BC-54F1-4615-9FB7-466B55761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C3-406F-995B-C56BFB5D6E1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B82CD02-C458-45D1-892A-329063A17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C3-406F-995B-C56BFB5D6E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4BF053-46F2-48DA-B26E-3B8091153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C3-406F-995B-C56BFB5D6E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AB231A-78F2-4E75-BE92-2688411DD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C3-406F-995B-C56BFB5D6E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7F7CAF-7444-45C7-B7BA-C462B05C8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C3-406F-995B-C56BFB5D6E1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9E87F2-F304-4030-A98B-9AA2358A7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C3-406F-995B-C56BFB5D6E1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6EC8D0-309B-4374-A8FD-024CB3F17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C3-406F-995B-C56BFB5D6E1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8D15D1-4DE0-435C-967E-838FA879A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C3-406F-995B-C56BFB5D6E1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898D89A-0F9E-4B1F-A5D1-5549560A7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C3-406F-995B-C56BFB5D6E1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EA4188-F7FD-4CD4-B2C6-9D8C58F0E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C3-406F-995B-C56BFB5D6E1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F1B23C9-30B6-4E1C-AB9E-215AB9C38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BC3-406F-995B-C56BFB5D6E1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091783-8BAE-486E-A3A5-1B0007544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C3-406F-995B-C56BFB5D6E1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D2D918A-93BE-49E5-B6A3-92EE5937F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C3-406F-995B-C56BFB5D6E1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9BC3F1-FFB9-4ACC-84FE-2FE81F2FF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C3-406F-995B-C56BFB5D6E1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74482FE-C3FC-4FEE-A98F-1A6C7E716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C3-406F-995B-C56BFB5D6E1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AD94E8-9151-4E28-9075-9D93D8E64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BC3-406F-995B-C56BFB5D6E1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BBDB744-3969-40A7-9793-285DE5BE8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BC3-406F-995B-C56BFB5D6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Chart'!$R$4:$R$25</c:f>
              <c:numCache>
                <c:formatCode>_(* #,##0_);_(* \(#,##0\);_(* "-"??_);_(@_)</c:formatCode>
                <c:ptCount val="22"/>
                <c:pt idx="0">
                  <c:v>14.600000000000001</c:v>
                </c:pt>
                <c:pt idx="1">
                  <c:v>14.600000000000001</c:v>
                </c:pt>
                <c:pt idx="2">
                  <c:v>14.600000000000001</c:v>
                </c:pt>
                <c:pt idx="3">
                  <c:v>14.600000000000001</c:v>
                </c:pt>
                <c:pt idx="4">
                  <c:v>14.600000000000001</c:v>
                </c:pt>
                <c:pt idx="5">
                  <c:v>14.600000000000001</c:v>
                </c:pt>
                <c:pt idx="6">
                  <c:v>14.600000000000001</c:v>
                </c:pt>
                <c:pt idx="7">
                  <c:v>14.600000000000001</c:v>
                </c:pt>
                <c:pt idx="8">
                  <c:v>14.600000000000001</c:v>
                </c:pt>
                <c:pt idx="9">
                  <c:v>14.600000000000001</c:v>
                </c:pt>
                <c:pt idx="10">
                  <c:v>-14.600000000000001</c:v>
                </c:pt>
                <c:pt idx="11">
                  <c:v>-14.600000000000001</c:v>
                </c:pt>
                <c:pt idx="12">
                  <c:v>-14.600000000000001</c:v>
                </c:pt>
                <c:pt idx="13">
                  <c:v>-14.600000000000001</c:v>
                </c:pt>
                <c:pt idx="14">
                  <c:v>14.600000000000001</c:v>
                </c:pt>
                <c:pt idx="15">
                  <c:v>14.600000000000001</c:v>
                </c:pt>
                <c:pt idx="16">
                  <c:v>14.600000000000001</c:v>
                </c:pt>
                <c:pt idx="17">
                  <c:v>-14.600000000000001</c:v>
                </c:pt>
                <c:pt idx="18">
                  <c:v>14.600000000000001</c:v>
                </c:pt>
                <c:pt idx="19">
                  <c:v>14.600000000000001</c:v>
                </c:pt>
                <c:pt idx="20">
                  <c:v>14.600000000000001</c:v>
                </c:pt>
                <c:pt idx="21">
                  <c:v>14.600000000000001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Chart'!$H$4:$H$25</c15:f>
                <c15:dlblRangeCache>
                  <c:ptCount val="22"/>
                  <c:pt idx="0">
                    <c:v>50 </c:v>
                  </c:pt>
                  <c:pt idx="1">
                    <c:v>38 </c:v>
                  </c:pt>
                  <c:pt idx="2">
                    <c:v>28 </c:v>
                  </c:pt>
                  <c:pt idx="3">
                    <c:v>16 </c:v>
                  </c:pt>
                  <c:pt idx="4">
                    <c:v>14 </c:v>
                  </c:pt>
                  <c:pt idx="5">
                    <c:v>(3)</c:v>
                  </c:pt>
                  <c:pt idx="6">
                    <c:v>(15)</c:v>
                  </c:pt>
                  <c:pt idx="7">
                    <c:v>(36)</c:v>
                  </c:pt>
                  <c:pt idx="8">
                    <c:v>(42)</c:v>
                  </c:pt>
                  <c:pt idx="9">
                    <c:v>50 </c:v>
                  </c:pt>
                  <c:pt idx="10">
                    <c:v>(62)</c:v>
                  </c:pt>
                  <c:pt idx="11">
                    <c:v>(10)</c:v>
                  </c:pt>
                  <c:pt idx="12">
                    <c:v>(12)</c:v>
                  </c:pt>
                  <c:pt idx="13">
                    <c:v>25 </c:v>
                  </c:pt>
                  <c:pt idx="14">
                    <c:v>13 </c:v>
                  </c:pt>
                  <c:pt idx="15">
                    <c:v>21 </c:v>
                  </c:pt>
                  <c:pt idx="16">
                    <c:v>(21)</c:v>
                  </c:pt>
                  <c:pt idx="17">
                    <c:v>(20)</c:v>
                  </c:pt>
                  <c:pt idx="18">
                    <c:v>48 </c:v>
                  </c:pt>
                  <c:pt idx="19">
                    <c:v>15 </c:v>
                  </c:pt>
                  <c:pt idx="20">
                    <c:v>(12)</c:v>
                  </c:pt>
                  <c:pt idx="21">
                    <c:v>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BC3-406F-995B-C56BFB5D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'Bridge Chart'!$K$3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Chart'!$K$4:$K$25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9-4A44-96B7-885D6FD5330B}"/>
            </c:ext>
          </c:extLst>
        </c:ser>
        <c:ser>
          <c:idx val="1"/>
          <c:order val="1"/>
          <c:tx>
            <c:strRef>
              <c:f>'Bridge Chart'!$L$3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Chart'!$L$4:$L$25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9-4A44-96B7-885D6FD5330B}"/>
            </c:ext>
          </c:extLst>
        </c:ser>
        <c:ser>
          <c:idx val="2"/>
          <c:order val="2"/>
          <c:tx>
            <c:strRef>
              <c:f>'Bridge Chart'!$M$3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Chart'!$M$4:$M$25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9-4A44-96B7-885D6FD5330B}"/>
            </c:ext>
          </c:extLst>
        </c:ser>
        <c:ser>
          <c:idx val="3"/>
          <c:order val="3"/>
          <c:tx>
            <c:strRef>
              <c:f>'Bridge Chart'!$N$3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Chart'!$N$4:$N$25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09-4A44-96B7-885D6FD5330B}"/>
            </c:ext>
          </c:extLst>
        </c:ser>
        <c:ser>
          <c:idx val="4"/>
          <c:order val="4"/>
          <c:tx>
            <c:strRef>
              <c:f>'Bridge Chart'!$O$3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Chart'!$O$4:$O$25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09-4A44-96B7-885D6FD5330B}"/>
            </c:ext>
          </c:extLst>
        </c:ser>
        <c:ser>
          <c:idx val="5"/>
          <c:order val="5"/>
          <c:tx>
            <c:strRef>
              <c:f>'Bridge Chart'!$P$3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Chart'!$P$4:$P$25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09-4A44-96B7-885D6FD5330B}"/>
            </c:ext>
          </c:extLst>
        </c:ser>
        <c:ser>
          <c:idx val="6"/>
          <c:order val="6"/>
          <c:tx>
            <c:strRef>
              <c:f>'Bridge Chart'!$Q$3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Chart'!$Q$4:$Q$25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09-4A44-96B7-885D6FD5330B}"/>
            </c:ext>
          </c:extLst>
        </c:ser>
        <c:ser>
          <c:idx val="7"/>
          <c:order val="7"/>
          <c:tx>
            <c:strRef>
              <c:f>'Bridge Chart'!$R$3</c:f>
              <c:strCache>
                <c:ptCount val="1"/>
                <c:pt idx="0">
                  <c:v>Label Holder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52ABF9-3227-46CB-AA02-43A853DEE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209-4A44-96B7-885D6FD533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73D298-A6AA-4A77-966E-76CA95E41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209-4A44-96B7-885D6FD533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617908-B6BA-46CF-9A01-8D4CE455C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209-4A44-96B7-885D6FD533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045F03-EA55-4318-8F63-56B49C8FA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209-4A44-96B7-885D6FD533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FF5219-45DF-4139-AEF8-D6344BA8E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209-4A44-96B7-885D6FD533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EF7DE2-E9FC-4372-BEC4-592C4D131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209-4A44-96B7-885D6FD533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25702C-8644-4C5A-A912-E7A225F22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209-4A44-96B7-885D6FD533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0BD7FA-473E-451E-98B5-416BE598D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209-4A44-96B7-885D6FD533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4D7DC6-2C2B-4653-B6E5-3CBBFE95B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209-4A44-96B7-885D6FD533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19726F-A207-46DA-BF1F-C6BA853EB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209-4A44-96B7-885D6FD533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77527A-9D7F-4A18-BA82-A5BCC7EAA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209-4A44-96B7-885D6FD5330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03086C-0015-4D60-8D8A-04E2158A5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209-4A44-96B7-885D6FD533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EE83989-D3E5-4A17-8625-E0F6FEC87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209-4A44-96B7-885D6FD5330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7F46D92-F38C-437B-9370-AC37A8E3F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209-4A44-96B7-885D6FD5330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AE84927-8A83-4FD1-922F-5D22C57EC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209-4A44-96B7-885D6FD5330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8F1566-78D5-4EED-AC14-35D6423E3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209-4A44-96B7-885D6FD5330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392DCE1-3939-4A42-94CC-16A753EA1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209-4A44-96B7-885D6FD5330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44C7DA-E043-4D42-B328-88A3D6800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209-4A44-96B7-885D6FD5330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058EBB7-5048-47B5-8C7E-91F28F462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209-4A44-96B7-885D6FD5330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9BBA4B8-EC68-42C0-A778-E4AF38FE7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209-4A44-96B7-885D6FD5330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BE5C7E-8CC1-4DE4-9232-C0B129DD5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209-4A44-96B7-885D6FD5330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A8FB031-350D-44DA-8272-BC6608AA1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209-4A44-96B7-885D6FD53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Chart'!$B$4:$B$25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05</c:v>
                </c:pt>
                <c:pt idx="6">
                  <c:v>Variance 06</c:v>
                </c:pt>
                <c:pt idx="7">
                  <c:v>Variance 07</c:v>
                </c:pt>
                <c:pt idx="8">
                  <c:v>Variance 08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Chart'!$R$4:$R$25</c:f>
              <c:numCache>
                <c:formatCode>_(* #,##0_);_(* \(#,##0\);_(* "-"??_);_(@_)</c:formatCode>
                <c:ptCount val="22"/>
                <c:pt idx="0">
                  <c:v>14.600000000000001</c:v>
                </c:pt>
                <c:pt idx="1">
                  <c:v>14.600000000000001</c:v>
                </c:pt>
                <c:pt idx="2">
                  <c:v>14.600000000000001</c:v>
                </c:pt>
                <c:pt idx="3">
                  <c:v>14.600000000000001</c:v>
                </c:pt>
                <c:pt idx="4">
                  <c:v>14.600000000000001</c:v>
                </c:pt>
                <c:pt idx="5">
                  <c:v>14.600000000000001</c:v>
                </c:pt>
                <c:pt idx="6">
                  <c:v>14.600000000000001</c:v>
                </c:pt>
                <c:pt idx="7">
                  <c:v>14.600000000000001</c:v>
                </c:pt>
                <c:pt idx="8">
                  <c:v>14.600000000000001</c:v>
                </c:pt>
                <c:pt idx="9">
                  <c:v>14.600000000000001</c:v>
                </c:pt>
                <c:pt idx="10">
                  <c:v>-14.600000000000001</c:v>
                </c:pt>
                <c:pt idx="11">
                  <c:v>-14.600000000000001</c:v>
                </c:pt>
                <c:pt idx="12">
                  <c:v>-14.600000000000001</c:v>
                </c:pt>
                <c:pt idx="13">
                  <c:v>-14.600000000000001</c:v>
                </c:pt>
                <c:pt idx="14">
                  <c:v>14.600000000000001</c:v>
                </c:pt>
                <c:pt idx="15">
                  <c:v>14.600000000000001</c:v>
                </c:pt>
                <c:pt idx="16">
                  <c:v>14.600000000000001</c:v>
                </c:pt>
                <c:pt idx="17">
                  <c:v>-14.600000000000001</c:v>
                </c:pt>
                <c:pt idx="18">
                  <c:v>14.600000000000001</c:v>
                </c:pt>
                <c:pt idx="19">
                  <c:v>14.600000000000001</c:v>
                </c:pt>
                <c:pt idx="20">
                  <c:v>14.600000000000001</c:v>
                </c:pt>
                <c:pt idx="21">
                  <c:v>14.600000000000001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Chart'!$H$4:$H$25</c15:f>
                <c15:dlblRangeCache>
                  <c:ptCount val="22"/>
                  <c:pt idx="0">
                    <c:v>50 </c:v>
                  </c:pt>
                  <c:pt idx="1">
                    <c:v>38 </c:v>
                  </c:pt>
                  <c:pt idx="2">
                    <c:v>28 </c:v>
                  </c:pt>
                  <c:pt idx="3">
                    <c:v>16 </c:v>
                  </c:pt>
                  <c:pt idx="4">
                    <c:v>14 </c:v>
                  </c:pt>
                  <c:pt idx="5">
                    <c:v>(3)</c:v>
                  </c:pt>
                  <c:pt idx="6">
                    <c:v>(15)</c:v>
                  </c:pt>
                  <c:pt idx="7">
                    <c:v>(36)</c:v>
                  </c:pt>
                  <c:pt idx="8">
                    <c:v>(42)</c:v>
                  </c:pt>
                  <c:pt idx="9">
                    <c:v>50 </c:v>
                  </c:pt>
                  <c:pt idx="10">
                    <c:v>(62)</c:v>
                  </c:pt>
                  <c:pt idx="11">
                    <c:v>(10)</c:v>
                  </c:pt>
                  <c:pt idx="12">
                    <c:v>(12)</c:v>
                  </c:pt>
                  <c:pt idx="13">
                    <c:v>25 </c:v>
                  </c:pt>
                  <c:pt idx="14">
                    <c:v>13 </c:v>
                  </c:pt>
                  <c:pt idx="15">
                    <c:v>21 </c:v>
                  </c:pt>
                  <c:pt idx="16">
                    <c:v>(21)</c:v>
                  </c:pt>
                  <c:pt idx="17">
                    <c:v>(20)</c:v>
                  </c:pt>
                  <c:pt idx="18">
                    <c:v>48 </c:v>
                  </c:pt>
                  <c:pt idx="19">
                    <c:v>15 </c:v>
                  </c:pt>
                  <c:pt idx="20">
                    <c:v>(12)</c:v>
                  </c:pt>
                  <c:pt idx="21">
                    <c:v>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A209-4A44-96B7-885D6FD5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Chart'!$D$3:$S$3</c:f>
              <c:numCache>
                <c:formatCode>0.00</c:formatCode>
                <c:ptCount val="16"/>
                <c:pt idx="0">
                  <c:v>0</c:v>
                </c:pt>
                <c:pt idx="1">
                  <c:v>3.0670583214574787E-18</c:v>
                </c:pt>
                <c:pt idx="2">
                  <c:v>2.1111281869736472E-12</c:v>
                </c:pt>
                <c:pt idx="3">
                  <c:v>9.2862023897161858E-8</c:v>
                </c:pt>
                <c:pt idx="4">
                  <c:v>2.610313416790015E-4</c:v>
                </c:pt>
                <c:pt idx="5">
                  <c:v>0.25</c:v>
                </c:pt>
                <c:pt idx="6">
                  <c:v>0.53826307580328392</c:v>
                </c:pt>
                <c:pt idx="7">
                  <c:v>0.39485897246093826</c:v>
                </c:pt>
                <c:pt idx="8">
                  <c:v>1.8510596061920022E-2</c:v>
                </c:pt>
                <c:pt idx="9">
                  <c:v>5.545360274608871E-5</c:v>
                </c:pt>
                <c:pt idx="10">
                  <c:v>1.0616224662566225E-8</c:v>
                </c:pt>
                <c:pt idx="11">
                  <c:v>1.2987973824167031E-13</c:v>
                </c:pt>
                <c:pt idx="12">
                  <c:v>1.015415244588847E-19</c:v>
                </c:pt>
                <c:pt idx="13">
                  <c:v>5.0731408978733444E-27</c:v>
                </c:pt>
                <c:pt idx="14">
                  <c:v>1.6197244566388054E-35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E62-91CA-477715B06816}"/>
            </c:ext>
          </c:extLst>
        </c:ser>
        <c:ser>
          <c:idx val="1"/>
          <c:order val="1"/>
          <c:tx>
            <c:strRef>
              <c:f>'Ridge Chart'!$A$27</c:f>
              <c:strCache>
                <c:ptCount val="1"/>
                <c:pt idx="0">
                  <c:v>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Chart'!$D$27:$S$27</c:f>
              <c:numCache>
                <c:formatCode>0.00</c:formatCode>
                <c:ptCount val="16"/>
                <c:pt idx="0">
                  <c:v>0</c:v>
                </c:pt>
                <c:pt idx="1">
                  <c:v>5.3951737741895281E-3</c:v>
                </c:pt>
                <c:pt idx="2">
                  <c:v>1.0179254274813313E-2</c:v>
                </c:pt>
                <c:pt idx="3">
                  <c:v>1.7815500348448639E-2</c:v>
                </c:pt>
                <c:pt idx="4">
                  <c:v>2.8923551623937518E-2</c:v>
                </c:pt>
                <c:pt idx="5">
                  <c:v>4.3558884792030649E-2</c:v>
                </c:pt>
                <c:pt idx="6">
                  <c:v>6.08517986497282E-2</c:v>
                </c:pt>
                <c:pt idx="7">
                  <c:v>7.8857249004989097E-2</c:v>
                </c:pt>
                <c:pt idx="8">
                  <c:v>9.4794111537742962E-2</c:v>
                </c:pt>
                <c:pt idx="9">
                  <c:v>0.10570429501905658</c:v>
                </c:pt>
                <c:pt idx="10">
                  <c:v>0.1093390870016784</c:v>
                </c:pt>
                <c:pt idx="11">
                  <c:v>0.1049131163712602</c:v>
                </c:pt>
                <c:pt idx="12">
                  <c:v>9.3380386592844367E-2</c:v>
                </c:pt>
                <c:pt idx="13">
                  <c:v>7.7099770080313226E-2</c:v>
                </c:pt>
                <c:pt idx="14">
                  <c:v>5.9050289857005812E-2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E-4E62-91CA-477715B0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Chart'!$D$4:$S$4</c:f>
              <c:numCache>
                <c:formatCode>0.00</c:formatCode>
                <c:ptCount val="16"/>
                <c:pt idx="0">
                  <c:v>0</c:v>
                </c:pt>
                <c:pt idx="1">
                  <c:v>1.4277658995469466E-9</c:v>
                </c:pt>
                <c:pt idx="2">
                  <c:v>1.6612619897291543E-6</c:v>
                </c:pt>
                <c:pt idx="3">
                  <c:v>4.0516705397906612E-4</c:v>
                </c:pt>
                <c:pt idx="4">
                  <c:v>2.0713094705723283E-2</c:v>
                </c:pt>
                <c:pt idx="5">
                  <c:v>0.22195796285994249</c:v>
                </c:pt>
                <c:pt idx="6">
                  <c:v>0.49855300870283753</c:v>
                </c:pt>
                <c:pt idx="7">
                  <c:v>0.23472904123104557</c:v>
                </c:pt>
                <c:pt idx="8">
                  <c:v>2.316526006822521E-2</c:v>
                </c:pt>
                <c:pt idx="9">
                  <c:v>4.7920617715250673E-4</c:v>
                </c:pt>
                <c:pt idx="10">
                  <c:v>2.0778897801952337E-6</c:v>
                </c:pt>
                <c:pt idx="11">
                  <c:v>1.8885890986956616E-9</c:v>
                </c:pt>
                <c:pt idx="12">
                  <c:v>3.5980510589492425E-13</c:v>
                </c:pt>
                <c:pt idx="13">
                  <c:v>1.436852002284096E-17</c:v>
                </c:pt>
                <c:pt idx="14">
                  <c:v>1.2027396409011121E-22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43CE-8C6C-1FA19A4D5B86}"/>
            </c:ext>
          </c:extLst>
        </c:ser>
        <c:ser>
          <c:idx val="1"/>
          <c:order val="1"/>
          <c:tx>
            <c:strRef>
              <c:f>'Ridge Chart'!$A$28</c:f>
              <c:strCache>
                <c:ptCount val="1"/>
                <c:pt idx="0">
                  <c:v>2/1/2021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Chart'!$D$28:$S$28</c:f>
              <c:numCache>
                <c:formatCode>0.00</c:formatCode>
                <c:ptCount val="16"/>
                <c:pt idx="0">
                  <c:v>0</c:v>
                </c:pt>
                <c:pt idx="1">
                  <c:v>5.6954142907999945E-3</c:v>
                </c:pt>
                <c:pt idx="2">
                  <c:v>1.1176356179548796E-2</c:v>
                </c:pt>
                <c:pt idx="3">
                  <c:v>2.0142279480904367E-2</c:v>
                </c:pt>
                <c:pt idx="4">
                  <c:v>3.3338839016731084E-2</c:v>
                </c:pt>
                <c:pt idx="5">
                  <c:v>5.0678738621138864E-2</c:v>
                </c:pt>
                <c:pt idx="6">
                  <c:v>7.0751327406945633E-2</c:v>
                </c:pt>
                <c:pt idx="7">
                  <c:v>9.0714530735868826E-2</c:v>
                </c:pt>
                <c:pt idx="8">
                  <c:v>0.10682000522073927</c:v>
                </c:pt>
                <c:pt idx="9">
                  <c:v>0.11552122936098701</c:v>
                </c:pt>
                <c:pt idx="10">
                  <c:v>0.11473726136300406</c:v>
                </c:pt>
                <c:pt idx="11">
                  <c:v>0.10465997527155485</c:v>
                </c:pt>
                <c:pt idx="12">
                  <c:v>8.7677921640343104E-2</c:v>
                </c:pt>
                <c:pt idx="13">
                  <c:v>6.7457980550759203E-2</c:v>
                </c:pt>
                <c:pt idx="14">
                  <c:v>4.7666130282319592E-2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43CE-8C6C-1FA19A4D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Chart'!$A$5</c:f>
              <c:strCache>
                <c:ptCount val="1"/>
                <c:pt idx="0">
                  <c:v>3/1/2019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Chart'!$D$5:$S$5</c:f>
              <c:numCache>
                <c:formatCode>0.00</c:formatCode>
                <c:ptCount val="16"/>
                <c:pt idx="0">
                  <c:v>0</c:v>
                </c:pt>
                <c:pt idx="1">
                  <c:v>5.386984021401747E-5</c:v>
                </c:pt>
                <c:pt idx="2">
                  <c:v>1.655769032193334E-3</c:v>
                </c:pt>
                <c:pt idx="3">
                  <c:v>2.2022641551923974E-2</c:v>
                </c:pt>
                <c:pt idx="4">
                  <c:v>0.1267519503279089</c:v>
                </c:pt>
                <c:pt idx="5">
                  <c:v>0.31568611243110567</c:v>
                </c:pt>
                <c:pt idx="6">
                  <c:v>0.34022943927343718</c:v>
                </c:pt>
                <c:pt idx="7">
                  <c:v>0.15867331235893783</c:v>
                </c:pt>
                <c:pt idx="8">
                  <c:v>3.2022222615025984E-2</c:v>
                </c:pt>
                <c:pt idx="9">
                  <c:v>2.7964988358648488E-3</c:v>
                </c:pt>
                <c:pt idx="10">
                  <c:v>1.0568014473641813E-4</c:v>
                </c:pt>
                <c:pt idx="11">
                  <c:v>1.7281750941795855E-6</c:v>
                </c:pt>
                <c:pt idx="12">
                  <c:v>1.2229189380899153E-8</c:v>
                </c:pt>
                <c:pt idx="13">
                  <c:v>3.7447530667546289E-11</c:v>
                </c:pt>
                <c:pt idx="14">
                  <c:v>4.9620859860449519E-14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B95-A7CE-20AF4153A03C}"/>
            </c:ext>
          </c:extLst>
        </c:ser>
        <c:ser>
          <c:idx val="1"/>
          <c:order val="1"/>
          <c:tx>
            <c:strRef>
              <c:f>'Ridge Chart'!$A$29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Chart'!$D$29:$S$29</c:f>
              <c:numCache>
                <c:formatCode>0.00</c:formatCode>
                <c:ptCount val="16"/>
                <c:pt idx="0">
                  <c:v>0</c:v>
                </c:pt>
                <c:pt idx="1">
                  <c:v>2.5149269900866171E-3</c:v>
                </c:pt>
                <c:pt idx="2">
                  <c:v>6.2998805047214832E-3</c:v>
                </c:pt>
                <c:pt idx="3">
                  <c:v>1.400448828000187E-2</c:v>
                </c:pt>
                <c:pt idx="4">
                  <c:v>2.7626774282631723E-2</c:v>
                </c:pt>
                <c:pt idx="5">
                  <c:v>4.8363877978147542E-2</c:v>
                </c:pt>
                <c:pt idx="6">
                  <c:v>7.5134613472253697E-2</c:v>
                </c:pt>
                <c:pt idx="7">
                  <c:v>0.10358264549910293</c:v>
                </c:pt>
                <c:pt idx="8">
                  <c:v>0.12672489593539327</c:v>
                </c:pt>
                <c:pt idx="9">
                  <c:v>0.13758303649654233</c:v>
                </c:pt>
                <c:pt idx="10">
                  <c:v>0.13255491622793356</c:v>
                </c:pt>
                <c:pt idx="11">
                  <c:v>0.11333258412688337</c:v>
                </c:pt>
                <c:pt idx="12">
                  <c:v>8.5988771732105729E-2</c:v>
                </c:pt>
                <c:pt idx="13">
                  <c:v>5.7897085484578149E-2</c:v>
                </c:pt>
                <c:pt idx="14">
                  <c:v>3.4593910782272919E-2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4-4B95-A7CE-20AF4153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Chart'!$A$6</c:f>
              <c:strCache>
                <c:ptCount val="1"/>
                <c:pt idx="0">
                  <c:v>4/1/2019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Chart'!$D$6:$S$6</c:f>
              <c:numCache>
                <c:formatCode>0.00</c:formatCode>
                <c:ptCount val="16"/>
                <c:pt idx="0">
                  <c:v>0</c:v>
                </c:pt>
                <c:pt idx="1">
                  <c:v>1.7969557991353621E-2</c:v>
                </c:pt>
                <c:pt idx="2">
                  <c:v>6.3153822088329148E-2</c:v>
                </c:pt>
                <c:pt idx="3">
                  <c:v>0.14850443645941944</c:v>
                </c:pt>
                <c:pt idx="4">
                  <c:v>0.23364514488773583</c:v>
                </c:pt>
                <c:pt idx="5">
                  <c:v>0.24595272449595362</c:v>
                </c:pt>
                <c:pt idx="6">
                  <c:v>0.17323038023794532</c:v>
                </c:pt>
                <c:pt idx="7">
                  <c:v>8.1634553858309283E-2</c:v>
                </c:pt>
                <c:pt idx="8">
                  <c:v>2.5739584535861258E-2</c:v>
                </c:pt>
                <c:pt idx="9">
                  <c:v>5.4300844729795565E-3</c:v>
                </c:pt>
                <c:pt idx="10">
                  <c:v>7.6645944943959886E-4</c:v>
                </c:pt>
                <c:pt idx="11">
                  <c:v>7.2385124225042951E-5</c:v>
                </c:pt>
                <c:pt idx="12">
                  <c:v>4.5739036228207192E-6</c:v>
                </c:pt>
                <c:pt idx="13">
                  <c:v>1.9337585129800497E-7</c:v>
                </c:pt>
                <c:pt idx="14">
                  <c:v>5.4700968024058165E-9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832-ACBC-2EF1D7CA4AFA}"/>
            </c:ext>
          </c:extLst>
        </c:ser>
        <c:ser>
          <c:idx val="1"/>
          <c:order val="1"/>
          <c:tx>
            <c:strRef>
              <c:f>'Ridge Chart'!$A$30</c:f>
              <c:strCache>
                <c:ptCount val="1"/>
                <c:pt idx="0">
                  <c:v>4/1/2021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Chart'!$D$30:$S$30</c:f>
              <c:numCache>
                <c:formatCode>0.00</c:formatCode>
                <c:ptCount val="16"/>
                <c:pt idx="0">
                  <c:v>0</c:v>
                </c:pt>
                <c:pt idx="1">
                  <c:v>1.3229532510202445E-3</c:v>
                </c:pt>
                <c:pt idx="2">
                  <c:v>4.798147992849079E-3</c:v>
                </c:pt>
                <c:pt idx="3">
                  <c:v>1.4299445127790375E-2</c:v>
                </c:pt>
                <c:pt idx="4">
                  <c:v>3.5017177464456387E-2</c:v>
                </c:pt>
                <c:pt idx="5">
                  <c:v>7.0462734628257959E-2</c:v>
                </c:pt>
                <c:pt idx="6">
                  <c:v>0.11650759995969893</c:v>
                </c:pt>
                <c:pt idx="7">
                  <c:v>0.15829435337433359</c:v>
                </c:pt>
                <c:pt idx="8">
                  <c:v>0.17672296748911764</c:v>
                </c:pt>
                <c:pt idx="9">
                  <c:v>0.16212014109732498</c:v>
                </c:pt>
                <c:pt idx="10">
                  <c:v>0.1222073581687303</c:v>
                </c:pt>
                <c:pt idx="11">
                  <c:v>7.5696211425030982E-2</c:v>
                </c:pt>
                <c:pt idx="12">
                  <c:v>3.8527190191641941E-2</c:v>
                </c:pt>
                <c:pt idx="13">
                  <c:v>1.6113019591628482E-2</c:v>
                </c:pt>
                <c:pt idx="14">
                  <c:v>5.5373622881278025E-3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832-ACBC-2EF1D7CA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23813</xdr:colOff>
      <xdr:row>2</xdr:row>
      <xdr:rowOff>47626</xdr:rowOff>
    </xdr:from>
    <xdr:to>
      <xdr:col>18</xdr:col>
      <xdr:colOff>1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A5D98-486D-4B07-AFC1-43586E9A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1</xdr:rowOff>
    </xdr:from>
    <xdr:to>
      <xdr:col>22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B803-9409-4D5F-AE21-E029351C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23813</xdr:colOff>
      <xdr:row>3</xdr:row>
      <xdr:rowOff>95250</xdr:rowOff>
    </xdr:from>
    <xdr:to>
      <xdr:col>15</xdr:col>
      <xdr:colOff>101203</xdr:colOff>
      <xdr:row>10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84BF-7C00-47B3-A9B5-3A567537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29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6A9E-6885-45F5-B951-1C6194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29</xdr:col>
      <xdr:colOff>0</xdr:colOff>
      <xdr:row>50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74EF8-958C-432B-8948-627B310AB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1</xdr:rowOff>
    </xdr:from>
    <xdr:to>
      <xdr:col>31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B114CA-C60A-4173-B8D2-189096C4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31</xdr:col>
      <xdr:colOff>0</xdr:colOff>
      <xdr:row>12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C6AD90-D3C4-4DFB-8F78-16D19051C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31</xdr:col>
      <xdr:colOff>0</xdr:colOff>
      <xdr:row>14</xdr:row>
      <xdr:rowOff>180974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D4486A-B3E6-4105-9AE9-1A85C68F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31</xdr:col>
      <xdr:colOff>0</xdr:colOff>
      <xdr:row>16</xdr:row>
      <xdr:rowOff>180974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DE034C3-2EBB-42AF-BEE2-D6EEE329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</xdr:row>
      <xdr:rowOff>1</xdr:rowOff>
    </xdr:from>
    <xdr:to>
      <xdr:col>31</xdr:col>
      <xdr:colOff>0</xdr:colOff>
      <xdr:row>19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A170ECF-0F07-4808-99D5-DA206212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31</xdr:col>
      <xdr:colOff>0</xdr:colOff>
      <xdr:row>20</xdr:row>
      <xdr:rowOff>180974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530AB10-39AD-4000-BF63-5005883D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14</xdr:row>
      <xdr:rowOff>1</xdr:rowOff>
    </xdr:from>
    <xdr:to>
      <xdr:col>31</xdr:col>
      <xdr:colOff>0</xdr:colOff>
      <xdr:row>23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BF0082E-C362-401A-9D80-EC442166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0</xdr:colOff>
      <xdr:row>24</xdr:row>
      <xdr:rowOff>180974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E6EB5-ECEA-4CE6-AF9F-73CF8B38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18</xdr:row>
      <xdr:rowOff>1</xdr:rowOff>
    </xdr:from>
    <xdr:to>
      <xdr:col>31</xdr:col>
      <xdr:colOff>0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7DBE2DC-AC8E-46DE-A641-BF789804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20</xdr:row>
      <xdr:rowOff>1</xdr:rowOff>
    </xdr:from>
    <xdr:to>
      <xdr:col>31</xdr:col>
      <xdr:colOff>0</xdr:colOff>
      <xdr:row>29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81CC39-1224-45E2-9D43-135896A8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22</xdr:row>
      <xdr:rowOff>1</xdr:rowOff>
    </xdr:from>
    <xdr:to>
      <xdr:col>31</xdr:col>
      <xdr:colOff>0</xdr:colOff>
      <xdr:row>31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3A9173C-A23F-42AD-82DA-D260BA3F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514349</xdr:colOff>
      <xdr:row>24</xdr:row>
      <xdr:rowOff>0</xdr:rowOff>
    </xdr:from>
    <xdr:to>
      <xdr:col>31</xdr:col>
      <xdr:colOff>233362</xdr:colOff>
      <xdr:row>35</xdr:row>
      <xdr:rowOff>80960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CD035A-E200-41AD-8B82-B6640AAB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E19C-B9E2-4B1D-853B-F7B6EB1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7A758-5326-44F4-A468-57829597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839BD-4829-4E93-8447-5641917E264C}" name="Table1322" displayName="Table1322" ref="B3:R25" totalsRowShown="0" headerRowDxfId="18" dataDxfId="16" headerRowBorderDxfId="17" tableBorderDxfId="15">
  <autoFilter ref="B3:R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Graph Label" dataDxfId="14"/>
    <tableColumn id="2" xr3:uid="{00000000-0010-0000-0000-000002000000}" name="Amount" dataDxfId="13" dataCellStyle="Comma"/>
    <tableColumn id="3" xr3:uid="{00000000-0010-0000-0000-000003000000}" name="Source" dataCellStyle="Normal"/>
    <tableColumn id="4" xr3:uid="{00000000-0010-0000-0000-000004000000}" name="Notes" dataCellStyle="Normal"/>
    <tableColumn id="5" xr3:uid="{00000000-0010-0000-0000-000005000000}" name="Check Values"/>
    <tableColumn id="15" xr3:uid="{00000000-0010-0000-0000-00000F000000}" name="Check Variance" dataDxfId="3" dataCellStyle="Comma">
      <calculatedColumnFormula>IF(Table1322[[#This Row],[Check Values]]&lt;&gt;"",Table1322[[#This Row],[Cumulative Blance]]-Table1322[[#This Row],[Check Values]],"")</calculatedColumnFormula>
    </tableColumn>
    <tableColumn id="16" xr3:uid="{B14B7927-F2FB-4737-AA47-20EEFCBBCFB8}" name="Display" dataDxfId="1" dataCellStyle="Comma">
      <calculatedColumnFormula>IF(Table1322[[#This Row],[Amount]]="",Table1322[[#This Row],[Cumulative Blance]],Table1322[[#This Row],[Amount]])</calculatedColumnFormula>
    </tableColumn>
    <tableColumn id="6" xr3:uid="{00000000-0010-0000-0000-000006000000}" name="Cumulative Blance" dataDxfId="2">
      <calculatedColumnFormula>SUM($C$4:C4)</calculatedColumnFormula>
    </tableColumn>
    <tableColumn id="7" xr3:uid="{00000000-0010-0000-0000-000007000000}" name="Previous Blance" dataDxfId="12">
      <calculatedColumnFormula>I4-C4</calculatedColumnFormula>
    </tableColumn>
    <tableColumn id="8" xr3:uid="{00000000-0010-0000-0000-000008000000}" name="Abutment" dataDxfId="11" dataCellStyle="Comma">
      <calculatedColumnFormula>IF(OR(AND(C4="",I4=J4),ISERROR(OFFSET(Table1322[[#This Row],[Cumulative Blance]],-1,0)+I4)),I4,"")</calculatedColumnFormula>
    </tableColumn>
    <tableColumn id="9" xr3:uid="{00000000-0010-0000-0000-000009000000}" name="Spacer (Positive)" dataDxfId="10" dataCellStyle="Comma">
      <calculatedColumnFormula>IF(AND(I4&gt;0,J4&gt;0,I4&lt;&gt;J4),IF(AND(J4&gt;0,C4&gt;0),J4,J4+C4),0)</calculatedColumnFormula>
    </tableColumn>
    <tableColumn id="10" xr3:uid="{00000000-0010-0000-0000-00000A000000}" name="Spacer (Negative)" dataDxfId="9" dataCellStyle="Comma">
      <calculatedColumnFormula>IF(AND(I4&lt;0,J4&lt;0,I4&lt;&gt;J4),IF(AND(C4&lt;0,J4&lt;0),J4,I4),0)</calculatedColumnFormula>
    </tableColumn>
    <tableColumn id="11" xr3:uid="{00000000-0010-0000-0000-00000B000000}" name="Increase" dataDxfId="8" dataCellStyle="Comma">
      <calculatedColumnFormula>IF(AND(C4&gt;0,I4&gt;0,J4&gt;=0,K4=""),C4,IF(AND(I4&gt;0,J4&lt;0),I4,0))</calculatedColumnFormula>
    </tableColumn>
    <tableColumn id="12" xr3:uid="{00000000-0010-0000-0000-00000C000000}" name="Increase (Negative)" dataDxfId="7" dataCellStyle="Comma">
      <calculatedColumnFormula>IF(AND(C4&gt;0,I4&lt;=0,J4&lt;0),-C4,IF(AND(I4&gt;0,J4&lt;0),J4,0))</calculatedColumnFormula>
    </tableColumn>
    <tableColumn id="13" xr3:uid="{00000000-0010-0000-0000-00000D000000}" name="Decrease" dataDxfId="6" dataCellStyle="Comma">
      <calculatedColumnFormula>IF(AND(I4&gt;0,J4&gt;0,C4&lt;0),-C4,IF(AND(I4&lt;=0,J4&gt;0),J4,0))</calculatedColumnFormula>
    </tableColumn>
    <tableColumn id="14" xr3:uid="{00000000-0010-0000-0000-00000E000000}" name="Decrease (Negative)" dataDxfId="5" dataCellStyle="Comma">
      <calculatedColumnFormula>IF(AND(C4&lt;0,I4&lt;0,J4&lt;=0,K4=""),C4,IF(AND(C4&lt;0,I4&lt;0,J4&gt;0),I4,0))</calculatedColumnFormula>
    </tableColumn>
    <tableColumn id="17" xr3:uid="{00C34E16-07B4-4CEB-9617-AFBD582BCB72}" name="Label Holder" dataDxfId="4" dataCellStyle="Comma">
      <calculatedColumnFormula>SIGN(Table1322[[#This Row],[Cumulative Blance]])*MAX(Table1322[Cumulative Blance])*0.1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1441-4E5B-43DA-A0A9-375815E06AF0}">
  <sheetPr>
    <tabColor theme="1"/>
  </sheetPr>
  <dimension ref="B1:V33"/>
  <sheetViews>
    <sheetView showGridLines="0" zoomScaleNormal="100" workbookViewId="0">
      <selection activeCell="D36" sqref="D36"/>
    </sheetView>
  </sheetViews>
  <sheetFormatPr defaultRowHeight="15" outlineLevelCol="1" x14ac:dyDescent="0.25"/>
  <cols>
    <col min="1" max="1" width="2.85546875" customWidth="1"/>
    <col min="2" max="2" width="25" bestFit="1" customWidth="1"/>
    <col min="3" max="4" width="10.85546875" bestFit="1" customWidth="1"/>
    <col min="5" max="11" width="9" hidden="1" customWidth="1" outlineLevel="1"/>
    <col min="12" max="12" width="9" collapsed="1"/>
    <col min="23" max="23" width="2.85546875" customWidth="1"/>
  </cols>
  <sheetData>
    <row r="1" spans="2:22" ht="15.75" thickBot="1" x14ac:dyDescent="0.3"/>
    <row r="2" spans="2:22" ht="15.75" thickBot="1" x14ac:dyDescent="0.3">
      <c r="B2" s="45"/>
      <c r="C2" s="46"/>
      <c r="D2" s="46"/>
      <c r="E2" s="46"/>
      <c r="F2" s="46"/>
      <c r="G2" s="46"/>
      <c r="H2" s="46"/>
      <c r="I2" s="46"/>
      <c r="J2" s="46"/>
      <c r="K2" s="46"/>
      <c r="L2" s="49" t="s">
        <v>94</v>
      </c>
      <c r="M2" s="50"/>
      <c r="N2" s="50"/>
      <c r="O2" s="50"/>
      <c r="P2" s="50"/>
      <c r="Q2" s="50"/>
      <c r="R2" s="51"/>
      <c r="S2" s="49" t="s">
        <v>96</v>
      </c>
      <c r="T2" s="50"/>
      <c r="U2" s="50"/>
      <c r="V2" s="51"/>
    </row>
    <row r="3" spans="2:22" x14ac:dyDescent="0.25">
      <c r="B3" s="20" t="s">
        <v>95</v>
      </c>
      <c r="C3" s="37" t="s">
        <v>62</v>
      </c>
      <c r="D3" s="37" t="s">
        <v>63</v>
      </c>
      <c r="F3" t="s">
        <v>62</v>
      </c>
      <c r="G3" t="s">
        <v>93</v>
      </c>
      <c r="H3" t="s">
        <v>92</v>
      </c>
      <c r="J3" t="s">
        <v>93</v>
      </c>
      <c r="K3" t="s">
        <v>92</v>
      </c>
      <c r="L3" s="42"/>
      <c r="R3" s="25"/>
      <c r="S3" s="42"/>
      <c r="V3" s="25"/>
    </row>
    <row r="4" spans="2:22" x14ac:dyDescent="0.25">
      <c r="B4" s="15" t="s">
        <v>64</v>
      </c>
      <c r="C4" s="38">
        <v>536</v>
      </c>
      <c r="D4" s="38">
        <v>385.91999999999996</v>
      </c>
      <c r="F4" s="39">
        <f t="shared" ref="F4:F30" si="0">MIN(C4:D4)</f>
        <v>385.91999999999996</v>
      </c>
      <c r="G4" s="39" t="str">
        <f t="shared" ref="G4:G31" si="1">IF(D4-C4&gt;0,D4-C4,"")</f>
        <v/>
      </c>
      <c r="H4">
        <f t="shared" ref="H4:H31" si="2">IF(D4-C4&lt;0,C4-D4,"")</f>
        <v>150.08000000000004</v>
      </c>
      <c r="J4" s="40" t="str">
        <f t="shared" ref="J4:J31" si="3">IFERROR(G4/C4,"")</f>
        <v/>
      </c>
      <c r="K4" s="40">
        <f t="shared" ref="K4:K31" si="4">IFERROR(-H4/C4,"")</f>
        <v>-0.28000000000000008</v>
      </c>
      <c r="L4" s="42"/>
      <c r="R4" s="25"/>
      <c r="S4" s="42"/>
      <c r="V4" s="25"/>
    </row>
    <row r="5" spans="2:22" x14ac:dyDescent="0.25">
      <c r="B5" s="15" t="s">
        <v>65</v>
      </c>
      <c r="C5" s="19">
        <v>520</v>
      </c>
      <c r="D5" s="19">
        <v>570</v>
      </c>
      <c r="F5" s="39">
        <f t="shared" si="0"/>
        <v>520</v>
      </c>
      <c r="G5" s="39">
        <f t="shared" si="1"/>
        <v>50</v>
      </c>
      <c r="H5" t="str">
        <f t="shared" si="2"/>
        <v/>
      </c>
      <c r="J5" s="40">
        <f t="shared" si="3"/>
        <v>9.6153846153846159E-2</v>
      </c>
      <c r="K5" s="40" t="str">
        <f t="shared" si="4"/>
        <v/>
      </c>
      <c r="L5" s="42"/>
      <c r="R5" s="25"/>
      <c r="S5" s="42"/>
      <c r="V5" s="25"/>
    </row>
    <row r="6" spans="2:22" x14ac:dyDescent="0.25">
      <c r="B6" s="15" t="s">
        <v>66</v>
      </c>
      <c r="C6" s="19">
        <v>1475</v>
      </c>
      <c r="D6" s="19">
        <v>1253.75</v>
      </c>
      <c r="F6" s="39">
        <f t="shared" si="0"/>
        <v>1253.75</v>
      </c>
      <c r="G6" s="39" t="str">
        <f t="shared" si="1"/>
        <v/>
      </c>
      <c r="H6">
        <f t="shared" si="2"/>
        <v>221.25</v>
      </c>
      <c r="J6" s="41" t="str">
        <f t="shared" si="3"/>
        <v/>
      </c>
      <c r="K6" s="40">
        <f t="shared" si="4"/>
        <v>-0.15</v>
      </c>
      <c r="L6" s="42"/>
      <c r="R6" s="25"/>
      <c r="S6" s="42"/>
      <c r="V6" s="25"/>
    </row>
    <row r="7" spans="2:22" x14ac:dyDescent="0.25">
      <c r="B7" s="15" t="s">
        <v>67</v>
      </c>
      <c r="C7" s="19">
        <v>1842</v>
      </c>
      <c r="D7" s="19">
        <v>681.54</v>
      </c>
      <c r="F7" s="39">
        <f t="shared" si="0"/>
        <v>681.54</v>
      </c>
      <c r="G7" s="39" t="str">
        <f t="shared" si="1"/>
        <v/>
      </c>
      <c r="H7">
        <f t="shared" si="2"/>
        <v>1160.46</v>
      </c>
      <c r="J7" s="41" t="str">
        <f t="shared" si="3"/>
        <v/>
      </c>
      <c r="K7" s="40">
        <f t="shared" si="4"/>
        <v>-0.63</v>
      </c>
      <c r="L7" s="42"/>
      <c r="R7" s="25"/>
      <c r="S7" s="42"/>
      <c r="V7" s="25"/>
    </row>
    <row r="8" spans="2:22" x14ac:dyDescent="0.25">
      <c r="B8" s="15" t="s">
        <v>68</v>
      </c>
      <c r="C8" s="19">
        <v>658</v>
      </c>
      <c r="D8" s="19">
        <v>519.81999999999994</v>
      </c>
      <c r="F8" s="39">
        <f t="shared" si="0"/>
        <v>519.81999999999994</v>
      </c>
      <c r="G8" s="39" t="str">
        <f t="shared" si="1"/>
        <v/>
      </c>
      <c r="H8">
        <f t="shared" si="2"/>
        <v>138.18000000000006</v>
      </c>
      <c r="J8" s="40" t="str">
        <f t="shared" si="3"/>
        <v/>
      </c>
      <c r="K8" s="40">
        <f t="shared" si="4"/>
        <v>-0.2100000000000001</v>
      </c>
      <c r="L8" s="42"/>
      <c r="R8" s="25"/>
      <c r="S8" s="42"/>
      <c r="V8" s="25"/>
    </row>
    <row r="9" spans="2:22" x14ac:dyDescent="0.25">
      <c r="B9" s="15" t="s">
        <v>69</v>
      </c>
      <c r="C9" s="19">
        <v>1248</v>
      </c>
      <c r="D9" s="19">
        <v>1709.76</v>
      </c>
      <c r="F9" s="39">
        <f t="shared" si="0"/>
        <v>1248</v>
      </c>
      <c r="G9" s="39">
        <f t="shared" si="1"/>
        <v>461.76</v>
      </c>
      <c r="H9" t="str">
        <f t="shared" si="2"/>
        <v/>
      </c>
      <c r="J9" s="41">
        <f t="shared" si="3"/>
        <v>0.37</v>
      </c>
      <c r="K9" s="40" t="str">
        <f t="shared" si="4"/>
        <v/>
      </c>
      <c r="L9" s="42"/>
      <c r="R9" s="25"/>
      <c r="S9" s="42"/>
      <c r="V9" s="25"/>
    </row>
    <row r="10" spans="2:22" x14ac:dyDescent="0.25">
      <c r="B10" s="15" t="s">
        <v>70</v>
      </c>
      <c r="C10" s="19">
        <v>169</v>
      </c>
      <c r="D10" s="19">
        <v>238.29</v>
      </c>
      <c r="F10" s="39">
        <f t="shared" si="0"/>
        <v>169</v>
      </c>
      <c r="G10" s="39">
        <f t="shared" si="1"/>
        <v>69.289999999999992</v>
      </c>
      <c r="H10" t="str">
        <f t="shared" si="2"/>
        <v/>
      </c>
      <c r="J10" s="40">
        <f t="shared" si="3"/>
        <v>0.41</v>
      </c>
      <c r="K10" s="40" t="str">
        <f t="shared" si="4"/>
        <v/>
      </c>
      <c r="L10" s="42"/>
      <c r="R10" s="25"/>
      <c r="S10" s="42"/>
      <c r="V10" s="25"/>
    </row>
    <row r="11" spans="2:22" x14ac:dyDescent="0.25">
      <c r="B11" s="15" t="s">
        <v>71</v>
      </c>
      <c r="C11" s="19">
        <v>439</v>
      </c>
      <c r="D11" s="19">
        <v>878</v>
      </c>
      <c r="F11" s="39">
        <f t="shared" si="0"/>
        <v>439</v>
      </c>
      <c r="G11" s="39">
        <f t="shared" si="1"/>
        <v>439</v>
      </c>
      <c r="H11" t="str">
        <f t="shared" si="2"/>
        <v/>
      </c>
      <c r="J11" s="40">
        <f t="shared" si="3"/>
        <v>1</v>
      </c>
      <c r="K11" s="40" t="str">
        <f t="shared" si="4"/>
        <v/>
      </c>
      <c r="L11" s="42"/>
      <c r="R11" s="25"/>
      <c r="S11" s="42"/>
      <c r="V11" s="25"/>
    </row>
    <row r="12" spans="2:22" x14ac:dyDescent="0.25">
      <c r="B12" s="15" t="s">
        <v>72</v>
      </c>
      <c r="C12" s="19">
        <v>140</v>
      </c>
      <c r="D12" s="19">
        <v>33.599999999999994</v>
      </c>
      <c r="F12" s="39">
        <f t="shared" si="0"/>
        <v>33.599999999999994</v>
      </c>
      <c r="G12" s="39" t="str">
        <f t="shared" si="1"/>
        <v/>
      </c>
      <c r="H12">
        <f t="shared" si="2"/>
        <v>106.4</v>
      </c>
      <c r="J12" s="40" t="str">
        <f t="shared" si="3"/>
        <v/>
      </c>
      <c r="K12" s="40">
        <f t="shared" si="4"/>
        <v>-0.76</v>
      </c>
      <c r="L12" s="42"/>
      <c r="R12" s="25"/>
      <c r="S12" s="42"/>
      <c r="V12" s="25"/>
    </row>
    <row r="13" spans="2:22" x14ac:dyDescent="0.25">
      <c r="B13" s="15" t="s">
        <v>73</v>
      </c>
      <c r="C13" s="19">
        <v>76</v>
      </c>
      <c r="D13" s="19">
        <v>22.800000000000004</v>
      </c>
      <c r="F13" s="39">
        <f t="shared" si="0"/>
        <v>22.800000000000004</v>
      </c>
      <c r="G13" s="39" t="str">
        <f t="shared" si="1"/>
        <v/>
      </c>
      <c r="H13">
        <f t="shared" si="2"/>
        <v>53.199999999999996</v>
      </c>
      <c r="J13" s="40" t="str">
        <f t="shared" si="3"/>
        <v/>
      </c>
      <c r="K13" s="40">
        <f t="shared" si="4"/>
        <v>-0.7</v>
      </c>
      <c r="L13" s="42"/>
      <c r="R13" s="25"/>
      <c r="S13" s="42"/>
      <c r="V13" s="25"/>
    </row>
    <row r="14" spans="2:22" x14ac:dyDescent="0.25">
      <c r="B14" s="15" t="s">
        <v>74</v>
      </c>
      <c r="C14" s="19">
        <v>1228</v>
      </c>
      <c r="D14" s="19">
        <v>1584.12</v>
      </c>
      <c r="F14" s="39">
        <f t="shared" si="0"/>
        <v>1228</v>
      </c>
      <c r="G14" s="39">
        <f t="shared" si="1"/>
        <v>356.11999999999989</v>
      </c>
      <c r="H14" t="str">
        <f t="shared" si="2"/>
        <v/>
      </c>
      <c r="J14" s="40">
        <f t="shared" si="3"/>
        <v>0.28999999999999992</v>
      </c>
      <c r="K14" s="40" t="str">
        <f t="shared" si="4"/>
        <v/>
      </c>
      <c r="L14" s="42"/>
      <c r="R14" s="25"/>
      <c r="S14" s="42"/>
      <c r="V14" s="25"/>
    </row>
    <row r="15" spans="2:22" x14ac:dyDescent="0.25">
      <c r="B15" s="15" t="s">
        <v>75</v>
      </c>
      <c r="C15" s="19">
        <v>111</v>
      </c>
      <c r="D15" s="19">
        <v>244.2</v>
      </c>
      <c r="F15" s="39">
        <f t="shared" si="0"/>
        <v>111</v>
      </c>
      <c r="G15" s="39">
        <f t="shared" si="1"/>
        <v>133.19999999999999</v>
      </c>
      <c r="H15" t="str">
        <f t="shared" si="2"/>
        <v/>
      </c>
      <c r="J15" s="40">
        <f t="shared" si="3"/>
        <v>1.2</v>
      </c>
      <c r="K15" s="40" t="str">
        <f t="shared" si="4"/>
        <v/>
      </c>
      <c r="L15" s="42"/>
      <c r="R15" s="25"/>
      <c r="S15" s="42"/>
      <c r="V15" s="25"/>
    </row>
    <row r="16" spans="2:22" x14ac:dyDescent="0.25">
      <c r="B16" s="15" t="s">
        <v>76</v>
      </c>
      <c r="C16" s="19">
        <v>1713</v>
      </c>
      <c r="D16" s="19">
        <v>411.11999999999989</v>
      </c>
      <c r="F16" s="39">
        <f t="shared" si="0"/>
        <v>411.11999999999989</v>
      </c>
      <c r="G16" s="39" t="str">
        <f t="shared" si="1"/>
        <v/>
      </c>
      <c r="H16">
        <f t="shared" si="2"/>
        <v>1301.8800000000001</v>
      </c>
      <c r="J16" s="41" t="str">
        <f t="shared" si="3"/>
        <v/>
      </c>
      <c r="K16" s="40">
        <f t="shared" si="4"/>
        <v>-0.76</v>
      </c>
      <c r="L16" s="42"/>
      <c r="R16" s="25"/>
      <c r="S16" s="42"/>
      <c r="V16" s="25"/>
    </row>
    <row r="17" spans="2:22" x14ac:dyDescent="0.25">
      <c r="B17" s="15" t="s">
        <v>77</v>
      </c>
      <c r="C17" s="19">
        <v>584</v>
      </c>
      <c r="D17" s="19">
        <v>975.28</v>
      </c>
      <c r="F17" s="39">
        <f t="shared" si="0"/>
        <v>584</v>
      </c>
      <c r="G17" s="39">
        <f t="shared" si="1"/>
        <v>391.28</v>
      </c>
      <c r="H17" t="str">
        <f t="shared" si="2"/>
        <v/>
      </c>
      <c r="J17" s="40">
        <f t="shared" si="3"/>
        <v>0.66999999999999993</v>
      </c>
      <c r="K17" s="40" t="str">
        <f t="shared" si="4"/>
        <v/>
      </c>
      <c r="L17" s="42"/>
      <c r="R17" s="25"/>
      <c r="S17" s="42"/>
      <c r="V17" s="25"/>
    </row>
    <row r="18" spans="2:22" x14ac:dyDescent="0.25">
      <c r="B18" s="15" t="s">
        <v>78</v>
      </c>
      <c r="C18" s="19">
        <v>1434</v>
      </c>
      <c r="D18" s="19">
        <v>2552.52</v>
      </c>
      <c r="F18" s="39">
        <f t="shared" si="0"/>
        <v>1434</v>
      </c>
      <c r="G18" s="39">
        <f t="shared" si="1"/>
        <v>1118.52</v>
      </c>
      <c r="H18" t="str">
        <f t="shared" si="2"/>
        <v/>
      </c>
      <c r="J18" s="41">
        <f t="shared" si="3"/>
        <v>0.78</v>
      </c>
      <c r="K18" s="40" t="str">
        <f t="shared" si="4"/>
        <v/>
      </c>
      <c r="L18" s="42"/>
      <c r="R18" s="25"/>
      <c r="S18" s="42"/>
      <c r="V18" s="25"/>
    </row>
    <row r="19" spans="2:22" x14ac:dyDescent="0.25">
      <c r="B19" s="15" t="s">
        <v>79</v>
      </c>
      <c r="C19" s="19">
        <v>1646</v>
      </c>
      <c r="D19" s="19">
        <v>921.76</v>
      </c>
      <c r="F19" s="39">
        <f t="shared" si="0"/>
        <v>921.76</v>
      </c>
      <c r="G19" s="39" t="str">
        <f t="shared" si="1"/>
        <v/>
      </c>
      <c r="H19">
        <f t="shared" si="2"/>
        <v>724.24</v>
      </c>
      <c r="J19" s="40" t="str">
        <f t="shared" si="3"/>
        <v/>
      </c>
      <c r="K19" s="40">
        <f t="shared" si="4"/>
        <v>-0.44</v>
      </c>
      <c r="L19" s="42"/>
      <c r="R19" s="25"/>
      <c r="S19" s="42"/>
      <c r="V19" s="25"/>
    </row>
    <row r="20" spans="2:22" x14ac:dyDescent="0.25">
      <c r="B20" s="15" t="s">
        <v>80</v>
      </c>
      <c r="C20" s="19">
        <v>1446</v>
      </c>
      <c r="D20" s="19">
        <v>1171.26</v>
      </c>
      <c r="F20" s="39">
        <f t="shared" si="0"/>
        <v>1171.26</v>
      </c>
      <c r="G20" s="39" t="str">
        <f t="shared" si="1"/>
        <v/>
      </c>
      <c r="H20">
        <f t="shared" si="2"/>
        <v>274.74</v>
      </c>
      <c r="J20" s="41" t="str">
        <f t="shared" si="3"/>
        <v/>
      </c>
      <c r="K20" s="40">
        <f t="shared" si="4"/>
        <v>-0.19</v>
      </c>
      <c r="L20" s="42"/>
      <c r="R20" s="25"/>
      <c r="S20" s="42"/>
      <c r="V20" s="25"/>
    </row>
    <row r="21" spans="2:22" x14ac:dyDescent="0.25">
      <c r="B21" s="15" t="s">
        <v>81</v>
      </c>
      <c r="C21" s="19">
        <v>1700</v>
      </c>
      <c r="D21" s="19">
        <v>3451</v>
      </c>
      <c r="F21" s="39">
        <f t="shared" si="0"/>
        <v>1700</v>
      </c>
      <c r="G21" s="39">
        <f t="shared" si="1"/>
        <v>1751</v>
      </c>
      <c r="H21" t="str">
        <f t="shared" si="2"/>
        <v/>
      </c>
      <c r="J21" s="41">
        <f t="shared" si="3"/>
        <v>1.03</v>
      </c>
      <c r="K21" s="40" t="str">
        <f t="shared" si="4"/>
        <v/>
      </c>
      <c r="L21" s="42"/>
      <c r="R21" s="25"/>
      <c r="S21" s="42"/>
      <c r="V21" s="25"/>
    </row>
    <row r="22" spans="2:22" x14ac:dyDescent="0.25">
      <c r="B22" s="15" t="s">
        <v>82</v>
      </c>
      <c r="C22" s="19">
        <v>1729</v>
      </c>
      <c r="D22" s="19">
        <v>1435.07</v>
      </c>
      <c r="F22" s="39">
        <f t="shared" si="0"/>
        <v>1435.07</v>
      </c>
      <c r="G22" s="39" t="str">
        <f t="shared" si="1"/>
        <v/>
      </c>
      <c r="H22">
        <f t="shared" si="2"/>
        <v>293.93000000000006</v>
      </c>
      <c r="J22" s="41" t="str">
        <f t="shared" si="3"/>
        <v/>
      </c>
      <c r="K22" s="40">
        <f t="shared" si="4"/>
        <v>-0.17000000000000004</v>
      </c>
      <c r="L22" s="42"/>
      <c r="R22" s="25"/>
      <c r="S22" s="42"/>
      <c r="V22" s="25"/>
    </row>
    <row r="23" spans="2:22" x14ac:dyDescent="0.25">
      <c r="B23" s="15" t="s">
        <v>83</v>
      </c>
      <c r="C23" s="19">
        <v>1653</v>
      </c>
      <c r="D23" s="19">
        <v>1157.0999999999999</v>
      </c>
      <c r="F23" s="39">
        <f t="shared" si="0"/>
        <v>1157.0999999999999</v>
      </c>
      <c r="G23" s="39" t="str">
        <f t="shared" si="1"/>
        <v/>
      </c>
      <c r="H23">
        <f t="shared" si="2"/>
        <v>495.90000000000009</v>
      </c>
      <c r="J23" s="41" t="str">
        <f t="shared" si="3"/>
        <v/>
      </c>
      <c r="K23" s="40">
        <f t="shared" si="4"/>
        <v>-0.30000000000000004</v>
      </c>
      <c r="L23" s="42"/>
      <c r="R23" s="25"/>
      <c r="S23" s="42"/>
      <c r="V23" s="25"/>
    </row>
    <row r="24" spans="2:22" x14ac:dyDescent="0.25">
      <c r="B24" s="15" t="s">
        <v>84</v>
      </c>
      <c r="C24" s="19">
        <v>1779</v>
      </c>
      <c r="D24" s="19">
        <v>2472.81</v>
      </c>
      <c r="F24" s="39">
        <f t="shared" si="0"/>
        <v>1779</v>
      </c>
      <c r="G24" s="39">
        <f t="shared" si="1"/>
        <v>693.81</v>
      </c>
      <c r="H24" t="str">
        <f t="shared" si="2"/>
        <v/>
      </c>
      <c r="J24" s="41">
        <f t="shared" si="3"/>
        <v>0.38999999999999996</v>
      </c>
      <c r="K24" s="40" t="str">
        <f t="shared" si="4"/>
        <v/>
      </c>
      <c r="L24" s="42"/>
      <c r="R24" s="25"/>
      <c r="S24" s="42"/>
      <c r="V24" s="25"/>
    </row>
    <row r="25" spans="2:22" x14ac:dyDescent="0.25">
      <c r="B25" s="15" t="s">
        <v>85</v>
      </c>
      <c r="C25" s="19">
        <v>250</v>
      </c>
      <c r="D25" s="19">
        <v>142.5</v>
      </c>
      <c r="F25" s="39">
        <f t="shared" si="0"/>
        <v>142.5</v>
      </c>
      <c r="G25" s="39" t="str">
        <f t="shared" si="1"/>
        <v/>
      </c>
      <c r="H25">
        <f t="shared" si="2"/>
        <v>107.5</v>
      </c>
      <c r="J25" s="40" t="str">
        <f t="shared" si="3"/>
        <v/>
      </c>
      <c r="K25" s="40">
        <f t="shared" si="4"/>
        <v>-0.43</v>
      </c>
      <c r="L25" s="42"/>
      <c r="R25" s="25"/>
      <c r="S25" s="42"/>
      <c r="V25" s="25"/>
    </row>
    <row r="26" spans="2:22" x14ac:dyDescent="0.25">
      <c r="B26" s="15" t="s">
        <v>86</v>
      </c>
      <c r="C26" s="19">
        <v>1529</v>
      </c>
      <c r="D26" s="19">
        <v>1299.6500000000001</v>
      </c>
      <c r="F26" s="39">
        <f t="shared" si="0"/>
        <v>1299.6500000000001</v>
      </c>
      <c r="G26" s="39" t="str">
        <f t="shared" si="1"/>
        <v/>
      </c>
      <c r="H26">
        <f t="shared" si="2"/>
        <v>229.34999999999991</v>
      </c>
      <c r="J26" s="40" t="str">
        <f t="shared" si="3"/>
        <v/>
      </c>
      <c r="K26" s="40">
        <f t="shared" si="4"/>
        <v>-0.14999999999999994</v>
      </c>
      <c r="L26" s="42"/>
      <c r="R26" s="25"/>
      <c r="S26" s="42"/>
      <c r="V26" s="25"/>
    </row>
    <row r="27" spans="2:22" x14ac:dyDescent="0.25">
      <c r="B27" s="15" t="s">
        <v>87</v>
      </c>
      <c r="C27" s="19">
        <v>421</v>
      </c>
      <c r="D27" s="19">
        <v>105.25</v>
      </c>
      <c r="F27" s="39">
        <f t="shared" si="0"/>
        <v>105.25</v>
      </c>
      <c r="G27" s="39" t="str">
        <f t="shared" si="1"/>
        <v/>
      </c>
      <c r="H27">
        <f t="shared" si="2"/>
        <v>315.75</v>
      </c>
      <c r="J27" s="40" t="str">
        <f t="shared" si="3"/>
        <v/>
      </c>
      <c r="K27" s="40">
        <f t="shared" si="4"/>
        <v>-0.75</v>
      </c>
      <c r="L27" s="42"/>
      <c r="R27" s="25"/>
      <c r="S27" s="42"/>
      <c r="V27" s="25"/>
    </row>
    <row r="28" spans="2:22" x14ac:dyDescent="0.25">
      <c r="B28" s="15" t="s">
        <v>88</v>
      </c>
      <c r="C28" s="19">
        <v>193</v>
      </c>
      <c r="D28" s="19">
        <v>160.19</v>
      </c>
      <c r="F28" s="39">
        <f t="shared" si="0"/>
        <v>160.19</v>
      </c>
      <c r="G28" s="39" t="str">
        <f t="shared" si="1"/>
        <v/>
      </c>
      <c r="H28">
        <f t="shared" si="2"/>
        <v>32.81</v>
      </c>
      <c r="J28" s="40" t="str">
        <f t="shared" si="3"/>
        <v/>
      </c>
      <c r="K28" s="40">
        <f t="shared" si="4"/>
        <v>-0.17</v>
      </c>
      <c r="L28" s="42"/>
      <c r="R28" s="25"/>
      <c r="S28" s="42"/>
      <c r="V28" s="25"/>
    </row>
    <row r="29" spans="2:22" x14ac:dyDescent="0.25">
      <c r="B29" s="15" t="s">
        <v>89</v>
      </c>
      <c r="C29" s="19">
        <v>1151</v>
      </c>
      <c r="D29" s="19">
        <v>414.36</v>
      </c>
      <c r="F29" s="39">
        <f t="shared" si="0"/>
        <v>414.36</v>
      </c>
      <c r="G29" s="39" t="str">
        <f t="shared" si="1"/>
        <v/>
      </c>
      <c r="H29">
        <f t="shared" si="2"/>
        <v>736.64</v>
      </c>
      <c r="J29" s="41" t="str">
        <f t="shared" si="3"/>
        <v/>
      </c>
      <c r="K29" s="40">
        <f t="shared" si="4"/>
        <v>-0.64</v>
      </c>
      <c r="L29" s="42"/>
      <c r="R29" s="25"/>
      <c r="S29" s="42"/>
      <c r="V29" s="25"/>
    </row>
    <row r="30" spans="2:22" ht="15.75" thickBot="1" x14ac:dyDescent="0.3">
      <c r="B30" s="15" t="s">
        <v>90</v>
      </c>
      <c r="C30" s="19">
        <v>912</v>
      </c>
      <c r="D30" s="19">
        <v>1459.1999999999998</v>
      </c>
      <c r="F30" s="39">
        <f t="shared" si="0"/>
        <v>912</v>
      </c>
      <c r="G30" s="39">
        <f t="shared" si="1"/>
        <v>547.19999999999982</v>
      </c>
      <c r="H30" t="str">
        <f t="shared" si="2"/>
        <v/>
      </c>
      <c r="J30" s="41">
        <f t="shared" si="3"/>
        <v>0.59999999999999976</v>
      </c>
      <c r="K30" s="40" t="str">
        <f t="shared" si="4"/>
        <v/>
      </c>
      <c r="L30" s="42"/>
      <c r="R30" s="25"/>
      <c r="S30" s="42"/>
      <c r="V30" s="25"/>
    </row>
    <row r="31" spans="2:22" ht="15.75" thickBot="1" x14ac:dyDescent="0.3">
      <c r="B31" s="48" t="s">
        <v>91</v>
      </c>
      <c r="C31" s="52">
        <f t="shared" ref="C31:D31" si="5">SUM(C4:C30)</f>
        <v>26582</v>
      </c>
      <c r="D31" s="52">
        <f t="shared" si="5"/>
        <v>26250.870000000003</v>
      </c>
      <c r="E31" s="46"/>
      <c r="F31" s="53"/>
      <c r="G31" s="53" t="str">
        <f t="shared" si="1"/>
        <v/>
      </c>
      <c r="H31" s="53">
        <f t="shared" si="2"/>
        <v>331.12999999999738</v>
      </c>
      <c r="I31" s="46"/>
      <c r="J31" s="54" t="str">
        <f t="shared" si="3"/>
        <v/>
      </c>
      <c r="K31" s="54">
        <f t="shared" si="4"/>
        <v>-1.2456925739221931E-2</v>
      </c>
      <c r="L31" s="45"/>
      <c r="M31" s="46"/>
      <c r="N31" s="46"/>
      <c r="O31" s="46"/>
      <c r="P31" s="46"/>
      <c r="Q31" s="46"/>
      <c r="R31" s="47"/>
      <c r="S31" s="45"/>
      <c r="T31" s="46"/>
      <c r="U31" s="46"/>
      <c r="V31" s="47"/>
    </row>
    <row r="32" spans="2:22" ht="9.75" customHeight="1" x14ac:dyDescent="0.25">
      <c r="B32" s="42"/>
      <c r="L32" s="42"/>
      <c r="R32" s="25"/>
      <c r="S32" s="42"/>
      <c r="V32" s="25"/>
    </row>
    <row r="33" spans="2:22" ht="9.75" customHeight="1" thickBot="1" x14ac:dyDescent="0.3">
      <c r="B33" s="43"/>
      <c r="C33" s="8"/>
      <c r="D33" s="8"/>
      <c r="E33" s="8"/>
      <c r="F33" s="8"/>
      <c r="G33" s="8"/>
      <c r="H33" s="8"/>
      <c r="I33" s="8"/>
      <c r="J33" s="8"/>
      <c r="K33" s="8"/>
      <c r="L33" s="43"/>
      <c r="M33" s="8"/>
      <c r="N33" s="8"/>
      <c r="O33" s="8"/>
      <c r="P33" s="8"/>
      <c r="Q33" s="8"/>
      <c r="R33" s="44"/>
      <c r="S33" s="43"/>
      <c r="T33" s="8"/>
      <c r="U33" s="8"/>
      <c r="V33" s="4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1C8C-25F0-4CA5-9148-2ADEF180D254}">
  <sheetPr>
    <tabColor theme="1"/>
  </sheetPr>
  <dimension ref="A1:F10"/>
  <sheetViews>
    <sheetView showGridLines="0" zoomScaleNormal="100" workbookViewId="0">
      <selection activeCell="G16" sqref="G16"/>
    </sheetView>
  </sheetViews>
  <sheetFormatPr defaultRowHeight="15" outlineLevelCol="1" x14ac:dyDescent="0.25"/>
  <cols>
    <col min="1" max="1" width="2.85546875" customWidth="1"/>
    <col min="2" max="2" width="15" bestFit="1" customWidth="1"/>
    <col min="5" max="5" width="9.140625" hidden="1" customWidth="1" outlineLevel="1"/>
    <col min="6" max="6" width="9.140625" collapsed="1"/>
  </cols>
  <sheetData>
    <row r="1" spans="1:5" ht="19.5" x14ac:dyDescent="0.3">
      <c r="A1" s="32" t="str">
        <f ca="1">MID(CELL("filename",A1),FIND("]",CELL("filename",A1))+1,255)</f>
        <v>Bullet Chart</v>
      </c>
      <c r="B1" s="32"/>
    </row>
    <row r="3" spans="1:5" x14ac:dyDescent="0.25">
      <c r="B3" t="s">
        <v>52</v>
      </c>
      <c r="C3" s="35">
        <f ca="1">DAY(TODAY())/DAY(EOMONTH(TODAY(),0))</f>
        <v>0.16129032258064516</v>
      </c>
    </row>
    <row r="5" spans="1:5" x14ac:dyDescent="0.25">
      <c r="B5" s="36" t="s">
        <v>60</v>
      </c>
      <c r="C5" s="37" t="s">
        <v>53</v>
      </c>
      <c r="D5" s="37" t="s">
        <v>54</v>
      </c>
      <c r="E5" s="36" t="s">
        <v>61</v>
      </c>
    </row>
    <row r="6" spans="1:5" x14ac:dyDescent="0.25">
      <c r="B6" t="s">
        <v>55</v>
      </c>
      <c r="C6" s="34">
        <f ca="1">$C$3</f>
        <v>0.16129032258064516</v>
      </c>
      <c r="D6" s="34">
        <f t="shared" ref="D6:D10" ca="1" si="0">RAND()</f>
        <v>0.35268412125760995</v>
      </c>
      <c r="E6">
        <v>0.5</v>
      </c>
    </row>
    <row r="7" spans="1:5" x14ac:dyDescent="0.25">
      <c r="B7" t="s">
        <v>59</v>
      </c>
      <c r="C7" s="34">
        <f ca="1">$C$3</f>
        <v>0.16129032258064516</v>
      </c>
      <c r="D7" s="34">
        <f t="shared" ca="1" si="0"/>
        <v>0.82192418079223728</v>
      </c>
      <c r="E7">
        <f t="shared" ref="E7:E10" si="1">E6+1</f>
        <v>1.5</v>
      </c>
    </row>
    <row r="8" spans="1:5" x14ac:dyDescent="0.25">
      <c r="B8" t="s">
        <v>56</v>
      </c>
      <c r="C8" s="34">
        <f ca="1">$C$3</f>
        <v>0.16129032258064516</v>
      </c>
      <c r="D8" s="34">
        <f t="shared" ca="1" si="0"/>
        <v>0.28522455620022868</v>
      </c>
      <c r="E8">
        <f t="shared" si="1"/>
        <v>2.5</v>
      </c>
    </row>
    <row r="9" spans="1:5" x14ac:dyDescent="0.25">
      <c r="B9" t="s">
        <v>57</v>
      </c>
      <c r="C9" s="34">
        <f ca="1">$C$3</f>
        <v>0.16129032258064516</v>
      </c>
      <c r="D9" s="34">
        <f t="shared" ca="1" si="0"/>
        <v>0.94521422285140511</v>
      </c>
      <c r="E9">
        <f t="shared" si="1"/>
        <v>3.5</v>
      </c>
    </row>
    <row r="10" spans="1:5" x14ac:dyDescent="0.25">
      <c r="B10" t="s">
        <v>58</v>
      </c>
      <c r="C10" s="34">
        <f ca="1">$C$3</f>
        <v>0.16129032258064516</v>
      </c>
      <c r="D10" s="34">
        <f t="shared" ca="1" si="0"/>
        <v>0.17109988815943089</v>
      </c>
      <c r="E10">
        <f t="shared" si="1"/>
        <v>4.5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EE7B-ADFA-49F9-B3E3-739BC4F42E5E}">
  <sheetPr>
    <tabColor theme="1"/>
  </sheetPr>
  <dimension ref="B2:S25"/>
  <sheetViews>
    <sheetView zoomScale="115" zoomScaleNormal="115" workbookViewId="0">
      <selection activeCell="AE21" sqref="AE21"/>
    </sheetView>
  </sheetViews>
  <sheetFormatPr defaultRowHeight="15" outlineLevelCol="1" x14ac:dyDescent="0.25"/>
  <cols>
    <col min="1" max="1" width="3.140625" customWidth="1"/>
    <col min="2" max="2" width="19.42578125" customWidth="1"/>
    <col min="3" max="3" width="11" customWidth="1"/>
    <col min="4" max="4" width="24.140625" customWidth="1"/>
    <col min="5" max="5" width="35.28515625" bestFit="1" customWidth="1"/>
    <col min="6" max="6" width="14" customWidth="1"/>
    <col min="7" max="7" width="12.85546875" customWidth="1"/>
    <col min="8" max="8" width="12.85546875" hidden="1" customWidth="1" outlineLevel="1"/>
    <col min="9" max="15" width="12.140625" hidden="1" customWidth="1" outlineLevel="1"/>
    <col min="16" max="18" width="9.140625" hidden="1" customWidth="1" outlineLevel="1"/>
    <col min="19" max="19" width="3" customWidth="1" collapsed="1"/>
  </cols>
  <sheetData>
    <row r="2" spans="2:18" ht="20.25" thickBot="1" x14ac:dyDescent="0.35">
      <c r="B2" s="32" t="str">
        <f ca="1">MID(CELL("filename",B2),FIND("]",CELL("filename",B2))+1,255)</f>
        <v>Bridge Chart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18" ht="30" customHeight="1" thickBot="1" x14ac:dyDescent="0.3">
      <c r="B3" s="31" t="s">
        <v>44</v>
      </c>
      <c r="C3" s="30" t="s">
        <v>43</v>
      </c>
      <c r="D3" s="30" t="s">
        <v>42</v>
      </c>
      <c r="E3" s="29" t="s">
        <v>41</v>
      </c>
      <c r="F3" s="29" t="s">
        <v>40</v>
      </c>
      <c r="G3" s="29" t="s">
        <v>39</v>
      </c>
      <c r="H3" s="30" t="s">
        <v>51</v>
      </c>
      <c r="I3" s="31" t="s">
        <v>38</v>
      </c>
      <c r="J3" s="30" t="s">
        <v>37</v>
      </c>
      <c r="K3" s="31" t="s">
        <v>36</v>
      </c>
      <c r="L3" s="30" t="s">
        <v>35</v>
      </c>
      <c r="M3" s="30" t="s">
        <v>34</v>
      </c>
      <c r="N3" s="30" t="s">
        <v>33</v>
      </c>
      <c r="O3" s="30" t="s">
        <v>32</v>
      </c>
      <c r="P3" s="30" t="s">
        <v>31</v>
      </c>
      <c r="Q3" s="29" t="s">
        <v>30</v>
      </c>
      <c r="R3" s="67" t="s">
        <v>119</v>
      </c>
    </row>
    <row r="4" spans="2:18" x14ac:dyDescent="0.25">
      <c r="B4" s="20" t="s">
        <v>29</v>
      </c>
      <c r="C4" s="28">
        <v>50</v>
      </c>
      <c r="E4" s="27" t="s">
        <v>28</v>
      </c>
      <c r="F4" s="26">
        <v>50</v>
      </c>
      <c r="G4" s="17">
        <f>IF(Table1322[[#This Row],[Check Values]]&lt;&gt;"",Table1322[[#This Row],[Cumulative Blance]]-Table1322[[#This Row],[Check Values]],"")</f>
        <v>0</v>
      </c>
      <c r="H4" s="68">
        <f>IF(Table1322[[#This Row],[Amount]]="",Table1322[[#This Row],[Cumulative Blance]],Table1322[[#This Row],[Amount]])</f>
        <v>50</v>
      </c>
      <c r="I4" s="4">
        <f>SUM($C$4:C4)</f>
        <v>50</v>
      </c>
      <c r="J4" s="3">
        <f t="shared" ref="J4:J25" si="0">I4-C4</f>
        <v>0</v>
      </c>
      <c r="K4" s="12">
        <f ca="1">IF(OR(AND(C4="",I4=J4),ISERROR(OFFSET(Table1322[[#This Row],[Cumulative Blance]],-1,0)+I4)),I4,"")</f>
        <v>50</v>
      </c>
      <c r="L4" s="1">
        <f t="shared" ref="L4:L25" si="1">IF(AND(I4&gt;0,J4&gt;0,I4&lt;&gt;J4),IF(AND(J4&gt;0,C4&gt;0),J4,J4+C4),0)</f>
        <v>0</v>
      </c>
      <c r="M4" s="1">
        <f t="shared" ref="M4:M25" si="2">IF(AND(I4&lt;0,J4&lt;0,I4&lt;&gt;J4),IF(AND(C4&lt;0,J4&lt;0),J4,I4),0)</f>
        <v>0</v>
      </c>
      <c r="N4" s="1">
        <f t="shared" ref="N4:N25" ca="1" si="3">IF(AND(C4&gt;0,I4&gt;0,J4&gt;=0,K4=""),C4,IF(AND(I4&gt;0,J4&lt;0),I4,0))</f>
        <v>0</v>
      </c>
      <c r="O4" s="1">
        <f t="shared" ref="O4:O25" si="4">IF(AND(C4&gt;0,I4&lt;=0,J4&lt;0),-C4,IF(AND(I4&gt;0,J4&lt;0),J4,0))</f>
        <v>0</v>
      </c>
      <c r="P4" s="1">
        <f t="shared" ref="P4:P25" si="5">IF(AND(I4&gt;0,J4&gt;0,C4&lt;0),-C4,IF(AND(I4&lt;=0,J4&gt;0),J4,0))</f>
        <v>0</v>
      </c>
      <c r="Q4" s="1">
        <f t="shared" ref="Q4:Q25" ca="1" si="6">IF(AND(C4&lt;0,I4&lt;0,J4&lt;=0,K4=""),C4,IF(AND(C4&lt;0,I4&lt;0,J4&gt;0),I4,0))</f>
        <v>0</v>
      </c>
      <c r="R4" s="65">
        <f>SIGN(Table1322[[#This Row],[Cumulative Blance]])*MAX(Table1322[Cumulative Blance])*0.1</f>
        <v>14.600000000000001</v>
      </c>
    </row>
    <row r="5" spans="2:18" x14ac:dyDescent="0.25">
      <c r="B5" s="15" t="s">
        <v>27</v>
      </c>
      <c r="C5" s="16">
        <v>38</v>
      </c>
      <c r="E5" s="25" t="s">
        <v>26</v>
      </c>
      <c r="F5" s="24"/>
      <c r="G5" s="24" t="str">
        <f>IF(Table1322[[#This Row],[Check Values]]&lt;&gt;"",Table1322[[#This Row],[Cumulative Blance]]-Table1322[[#This Row],[Check Values]],"")</f>
        <v/>
      </c>
      <c r="H5" s="69">
        <f>IF(Table1322[[#This Row],[Amount]]="",Table1322[[#This Row],[Cumulative Blance]],Table1322[[#This Row],[Amount]])</f>
        <v>38</v>
      </c>
      <c r="I5" s="4">
        <f>SUM($C$4:C5)</f>
        <v>88</v>
      </c>
      <c r="J5" s="3">
        <f t="shared" si="0"/>
        <v>50</v>
      </c>
      <c r="K5" s="23" t="str">
        <f ca="1">IF(OR(AND(C5="",I5=J5),ISERROR(OFFSET(Table1322[[#This Row],[Cumulative Blance]],-1,0)+I5)),I5,"")</f>
        <v/>
      </c>
      <c r="L5" s="22">
        <f t="shared" si="1"/>
        <v>50</v>
      </c>
      <c r="M5" s="21">
        <f t="shared" si="2"/>
        <v>0</v>
      </c>
      <c r="N5" s="21">
        <f t="shared" ca="1" si="3"/>
        <v>38</v>
      </c>
      <c r="O5" s="21">
        <f t="shared" si="4"/>
        <v>0</v>
      </c>
      <c r="P5" s="21">
        <f t="shared" si="5"/>
        <v>0</v>
      </c>
      <c r="Q5" s="21">
        <f t="shared" ca="1" si="6"/>
        <v>0</v>
      </c>
      <c r="R5" s="66">
        <f>SIGN(Table1322[[#This Row],[Cumulative Blance]])*MAX(Table1322[Cumulative Blance])*0.1</f>
        <v>14.600000000000001</v>
      </c>
    </row>
    <row r="6" spans="2:18" x14ac:dyDescent="0.25">
      <c r="B6" s="15" t="s">
        <v>25</v>
      </c>
      <c r="C6" s="16">
        <v>28</v>
      </c>
      <c r="E6" s="25" t="s">
        <v>49</v>
      </c>
      <c r="F6" s="24"/>
      <c r="G6" s="24" t="str">
        <f>IF(Table1322[[#This Row],[Check Values]]&lt;&gt;"",Table1322[[#This Row],[Cumulative Blance]]-Table1322[[#This Row],[Check Values]],"")</f>
        <v/>
      </c>
      <c r="H6" s="69">
        <f>IF(Table1322[[#This Row],[Amount]]="",Table1322[[#This Row],[Cumulative Blance]],Table1322[[#This Row],[Amount]])</f>
        <v>28</v>
      </c>
      <c r="I6" s="4">
        <f>SUM($C$4:C6)</f>
        <v>116</v>
      </c>
      <c r="J6" s="3">
        <f t="shared" si="0"/>
        <v>88</v>
      </c>
      <c r="K6" s="23" t="str">
        <f ca="1">IF(OR(AND(C6="",I6=J6),ISERROR(OFFSET(Table1322[[#This Row],[Cumulative Blance]],-1,0)+I6)),I6,"")</f>
        <v/>
      </c>
      <c r="L6" s="22">
        <f t="shared" si="1"/>
        <v>88</v>
      </c>
      <c r="M6" s="21">
        <f t="shared" si="2"/>
        <v>0</v>
      </c>
      <c r="N6" s="21">
        <f t="shared" ca="1" si="3"/>
        <v>28</v>
      </c>
      <c r="O6" s="21">
        <f t="shared" si="4"/>
        <v>0</v>
      </c>
      <c r="P6" s="21">
        <f t="shared" si="5"/>
        <v>0</v>
      </c>
      <c r="Q6" s="21">
        <f t="shared" ca="1" si="6"/>
        <v>0</v>
      </c>
      <c r="R6" s="66">
        <f>SIGN(Table1322[[#This Row],[Cumulative Blance]])*MAX(Table1322[Cumulative Blance])*0.1</f>
        <v>14.600000000000001</v>
      </c>
    </row>
    <row r="7" spans="2:18" x14ac:dyDescent="0.25">
      <c r="B7" s="15" t="s">
        <v>24</v>
      </c>
      <c r="C7" s="16">
        <v>16</v>
      </c>
      <c r="E7" s="25" t="s">
        <v>50</v>
      </c>
      <c r="F7" s="24"/>
      <c r="G7" s="24" t="str">
        <f>IF(Table1322[[#This Row],[Check Values]]&lt;&gt;"",Table1322[[#This Row],[Cumulative Blance]]-Table1322[[#This Row],[Check Values]],"")</f>
        <v/>
      </c>
      <c r="H7" s="69">
        <f>IF(Table1322[[#This Row],[Amount]]="",Table1322[[#This Row],[Cumulative Blance]],Table1322[[#This Row],[Amount]])</f>
        <v>16</v>
      </c>
      <c r="I7" s="4">
        <f>SUM($C$4:C7)</f>
        <v>132</v>
      </c>
      <c r="J7" s="3">
        <f t="shared" si="0"/>
        <v>116</v>
      </c>
      <c r="K7" s="23" t="str">
        <f ca="1">IF(OR(AND(C7="",I7=J7),ISERROR(OFFSET(Table1322[[#This Row],[Cumulative Blance]],-1,0)+I7)),I7,"")</f>
        <v/>
      </c>
      <c r="L7" s="22">
        <f t="shared" si="1"/>
        <v>116</v>
      </c>
      <c r="M7" s="21">
        <f t="shared" si="2"/>
        <v>0</v>
      </c>
      <c r="N7" s="21">
        <f t="shared" ca="1" si="3"/>
        <v>16</v>
      </c>
      <c r="O7" s="21">
        <f t="shared" si="4"/>
        <v>0</v>
      </c>
      <c r="P7" s="21">
        <f t="shared" si="5"/>
        <v>0</v>
      </c>
      <c r="Q7" s="21">
        <f t="shared" ca="1" si="6"/>
        <v>0</v>
      </c>
      <c r="R7" s="66">
        <f>SIGN(Table1322[[#This Row],[Cumulative Blance]])*MAX(Table1322[Cumulative Blance])*0.1</f>
        <v>14.600000000000001</v>
      </c>
    </row>
    <row r="8" spans="2:18" x14ac:dyDescent="0.25">
      <c r="B8" s="15" t="s">
        <v>23</v>
      </c>
      <c r="C8" s="16">
        <v>14</v>
      </c>
      <c r="E8" s="25"/>
      <c r="F8" s="24"/>
      <c r="G8" s="24" t="str">
        <f>IF(Table1322[[#This Row],[Check Values]]&lt;&gt;"",Table1322[[#This Row],[Cumulative Blance]]-Table1322[[#This Row],[Check Values]],"")</f>
        <v/>
      </c>
      <c r="H8" s="69">
        <f>IF(Table1322[[#This Row],[Amount]]="",Table1322[[#This Row],[Cumulative Blance]],Table1322[[#This Row],[Amount]])</f>
        <v>14</v>
      </c>
      <c r="I8" s="4">
        <f>SUM($C$4:C8)</f>
        <v>146</v>
      </c>
      <c r="J8" s="3">
        <f t="shared" si="0"/>
        <v>132</v>
      </c>
      <c r="K8" s="23" t="str">
        <f ca="1">IF(OR(AND(C8="",I8=J8),ISERROR(OFFSET(Table1322[[#This Row],[Cumulative Blance]],-1,0)+I8)),I8,"")</f>
        <v/>
      </c>
      <c r="L8" s="22">
        <f t="shared" si="1"/>
        <v>132</v>
      </c>
      <c r="M8" s="21">
        <f t="shared" si="2"/>
        <v>0</v>
      </c>
      <c r="N8" s="21">
        <f t="shared" ca="1" si="3"/>
        <v>14</v>
      </c>
      <c r="O8" s="21">
        <f t="shared" si="4"/>
        <v>0</v>
      </c>
      <c r="P8" s="21">
        <f t="shared" si="5"/>
        <v>0</v>
      </c>
      <c r="Q8" s="21">
        <f t="shared" ca="1" si="6"/>
        <v>0</v>
      </c>
      <c r="R8" s="66">
        <f>SIGN(Table1322[[#This Row],[Cumulative Blance]])*MAX(Table1322[Cumulative Blance])*0.1</f>
        <v>14.600000000000001</v>
      </c>
    </row>
    <row r="9" spans="2:18" x14ac:dyDescent="0.25">
      <c r="B9" s="15" t="s">
        <v>120</v>
      </c>
      <c r="C9" s="16">
        <v>-3</v>
      </c>
      <c r="E9" s="25" t="s">
        <v>45</v>
      </c>
      <c r="F9" s="24"/>
      <c r="G9" s="24" t="str">
        <f>IF(Table1322[[#This Row],[Check Values]]&lt;&gt;"",Table1322[[#This Row],[Cumulative Blance]]-Table1322[[#This Row],[Check Values]],"")</f>
        <v/>
      </c>
      <c r="H9" s="69">
        <f>IF(Table1322[[#This Row],[Amount]]="",Table1322[[#This Row],[Cumulative Blance]],Table1322[[#This Row],[Amount]])</f>
        <v>-3</v>
      </c>
      <c r="I9" s="4">
        <f>SUM($C$4:C9)</f>
        <v>143</v>
      </c>
      <c r="J9" s="3">
        <f t="shared" si="0"/>
        <v>146</v>
      </c>
      <c r="K9" s="23" t="str">
        <f ca="1">IF(OR(AND(C9="",I9=J9),ISERROR(OFFSET(Table1322[[#This Row],[Cumulative Blance]],-1,0)+I9)),I9,"")</f>
        <v/>
      </c>
      <c r="L9" s="22">
        <f t="shared" si="1"/>
        <v>143</v>
      </c>
      <c r="M9" s="21">
        <f t="shared" si="2"/>
        <v>0</v>
      </c>
      <c r="N9" s="21">
        <f t="shared" ca="1" si="3"/>
        <v>0</v>
      </c>
      <c r="O9" s="21">
        <f t="shared" si="4"/>
        <v>0</v>
      </c>
      <c r="P9" s="21">
        <f t="shared" si="5"/>
        <v>3</v>
      </c>
      <c r="Q9" s="21">
        <f t="shared" ca="1" si="6"/>
        <v>0</v>
      </c>
      <c r="R9" s="66">
        <f>SIGN(Table1322[[#This Row],[Cumulative Blance]])*MAX(Table1322[Cumulative Blance])*0.1</f>
        <v>14.600000000000001</v>
      </c>
    </row>
    <row r="10" spans="2:18" x14ac:dyDescent="0.25">
      <c r="B10" s="15" t="s">
        <v>121</v>
      </c>
      <c r="C10" s="16">
        <v>-15</v>
      </c>
      <c r="E10" s="25" t="s">
        <v>46</v>
      </c>
      <c r="F10" s="24"/>
      <c r="G10" s="24" t="str">
        <f>IF(Table1322[[#This Row],[Check Values]]&lt;&gt;"",Table1322[[#This Row],[Cumulative Blance]]-Table1322[[#This Row],[Check Values]],"")</f>
        <v/>
      </c>
      <c r="H10" s="69">
        <f>IF(Table1322[[#This Row],[Amount]]="",Table1322[[#This Row],[Cumulative Blance]],Table1322[[#This Row],[Amount]])</f>
        <v>-15</v>
      </c>
      <c r="I10" s="4">
        <f>SUM($C$4:C10)</f>
        <v>128</v>
      </c>
      <c r="J10" s="3">
        <f t="shared" si="0"/>
        <v>143</v>
      </c>
      <c r="K10" s="23" t="str">
        <f ca="1">IF(OR(AND(C10="",I10=J10),ISERROR(OFFSET(Table1322[[#This Row],[Cumulative Blance]],-1,0)+I10)),I10,"")</f>
        <v/>
      </c>
      <c r="L10" s="22">
        <f t="shared" si="1"/>
        <v>128</v>
      </c>
      <c r="M10" s="21">
        <f t="shared" si="2"/>
        <v>0</v>
      </c>
      <c r="N10" s="21">
        <f t="shared" ca="1" si="3"/>
        <v>0</v>
      </c>
      <c r="O10" s="21">
        <f t="shared" si="4"/>
        <v>0</v>
      </c>
      <c r="P10" s="21">
        <f t="shared" si="5"/>
        <v>15</v>
      </c>
      <c r="Q10" s="21">
        <f t="shared" ca="1" si="6"/>
        <v>0</v>
      </c>
      <c r="R10" s="66">
        <f>SIGN(Table1322[[#This Row],[Cumulative Blance]])*MAX(Table1322[Cumulative Blance])*0.1</f>
        <v>14.600000000000001</v>
      </c>
    </row>
    <row r="11" spans="2:18" x14ac:dyDescent="0.25">
      <c r="B11" s="15" t="s">
        <v>22</v>
      </c>
      <c r="C11" s="16">
        <v>-36</v>
      </c>
      <c r="E11" s="25" t="s">
        <v>47</v>
      </c>
      <c r="F11" s="24"/>
      <c r="G11" s="24" t="str">
        <f>IF(Table1322[[#This Row],[Check Values]]&lt;&gt;"",Table1322[[#This Row],[Cumulative Blance]]-Table1322[[#This Row],[Check Values]],"")</f>
        <v/>
      </c>
      <c r="H11" s="69">
        <f>IF(Table1322[[#This Row],[Amount]]="",Table1322[[#This Row],[Cumulative Blance]],Table1322[[#This Row],[Amount]])</f>
        <v>-36</v>
      </c>
      <c r="I11" s="4">
        <f>SUM($C$4:C11)</f>
        <v>92</v>
      </c>
      <c r="J11" s="3">
        <f t="shared" si="0"/>
        <v>128</v>
      </c>
      <c r="K11" s="23" t="str">
        <f ca="1">IF(OR(AND(C11="",I11=J11),ISERROR(OFFSET(Table1322[[#This Row],[Cumulative Blance]],-1,0)+I11)),I11,"")</f>
        <v/>
      </c>
      <c r="L11" s="22">
        <f t="shared" si="1"/>
        <v>92</v>
      </c>
      <c r="M11" s="21">
        <f t="shared" si="2"/>
        <v>0</v>
      </c>
      <c r="N11" s="21">
        <f t="shared" ca="1" si="3"/>
        <v>0</v>
      </c>
      <c r="O11" s="21">
        <f t="shared" si="4"/>
        <v>0</v>
      </c>
      <c r="P11" s="21">
        <f t="shared" si="5"/>
        <v>36</v>
      </c>
      <c r="Q11" s="21">
        <f t="shared" ca="1" si="6"/>
        <v>0</v>
      </c>
      <c r="R11" s="66">
        <f>SIGN(Table1322[[#This Row],[Cumulative Blance]])*MAX(Table1322[Cumulative Blance])*0.1</f>
        <v>14.600000000000001</v>
      </c>
    </row>
    <row r="12" spans="2:18" x14ac:dyDescent="0.25">
      <c r="B12" s="15" t="s">
        <v>21</v>
      </c>
      <c r="C12" s="16">
        <v>-42</v>
      </c>
      <c r="E12" s="25" t="s">
        <v>48</v>
      </c>
      <c r="F12" s="24"/>
      <c r="G12" s="24" t="str">
        <f>IF(Table1322[[#This Row],[Check Values]]&lt;&gt;"",Table1322[[#This Row],[Cumulative Blance]]-Table1322[[#This Row],[Check Values]],"")</f>
        <v/>
      </c>
      <c r="H12" s="69">
        <f>IF(Table1322[[#This Row],[Amount]]="",Table1322[[#This Row],[Cumulative Blance]],Table1322[[#This Row],[Amount]])</f>
        <v>-42</v>
      </c>
      <c r="I12" s="4">
        <f>SUM($C$4:C12)</f>
        <v>50</v>
      </c>
      <c r="J12" s="3">
        <f t="shared" si="0"/>
        <v>92</v>
      </c>
      <c r="K12" s="23" t="str">
        <f ca="1">IF(OR(AND(C12="",I12=J12),ISERROR(OFFSET(Table1322[[#This Row],[Cumulative Blance]],-1,0)+I12)),I12,"")</f>
        <v/>
      </c>
      <c r="L12" s="22">
        <f t="shared" si="1"/>
        <v>50</v>
      </c>
      <c r="M12" s="21">
        <f t="shared" si="2"/>
        <v>0</v>
      </c>
      <c r="N12" s="21">
        <f t="shared" ca="1" si="3"/>
        <v>0</v>
      </c>
      <c r="O12" s="21">
        <f t="shared" si="4"/>
        <v>0</v>
      </c>
      <c r="P12" s="21">
        <f t="shared" si="5"/>
        <v>42</v>
      </c>
      <c r="Q12" s="21">
        <f t="shared" ca="1" si="6"/>
        <v>0</v>
      </c>
      <c r="R12" s="66">
        <f>SIGN(Table1322[[#This Row],[Cumulative Blance]])*MAX(Table1322[Cumulative Blance])*0.1</f>
        <v>14.600000000000001</v>
      </c>
    </row>
    <row r="13" spans="2:18" x14ac:dyDescent="0.25">
      <c r="B13" s="20" t="s">
        <v>20</v>
      </c>
      <c r="C13" s="19"/>
      <c r="E13" s="13"/>
      <c r="F13" s="18">
        <v>50</v>
      </c>
      <c r="G13" s="17">
        <f>IF(Table1322[[#This Row],[Check Values]]&lt;&gt;"",Table1322[[#This Row],[Cumulative Blance]]-Table1322[[#This Row],[Check Values]],"")</f>
        <v>0</v>
      </c>
      <c r="H13" s="68">
        <f>IF(Table1322[[#This Row],[Amount]]="",Table1322[[#This Row],[Cumulative Blance]],Table1322[[#This Row],[Amount]])</f>
        <v>50</v>
      </c>
      <c r="I13" s="4">
        <f>SUM($C$4:C13)</f>
        <v>50</v>
      </c>
      <c r="J13" s="3">
        <f t="shared" si="0"/>
        <v>50</v>
      </c>
      <c r="K13" s="2">
        <f ca="1">IF(OR(AND(C13="",I13=J13),ISERROR(OFFSET(Table1322[[#This Row],[Cumulative Blance]],-1,0)+I13)),I13,"")</f>
        <v>50</v>
      </c>
      <c r="L13" s="1">
        <f t="shared" si="1"/>
        <v>0</v>
      </c>
      <c r="M13" s="1">
        <f t="shared" si="2"/>
        <v>0</v>
      </c>
      <c r="N13" s="11">
        <f t="shared" ca="1" si="3"/>
        <v>0</v>
      </c>
      <c r="O13" s="1">
        <f t="shared" si="4"/>
        <v>0</v>
      </c>
      <c r="P13" s="11">
        <f t="shared" si="5"/>
        <v>0</v>
      </c>
      <c r="Q13" s="1">
        <f t="shared" ca="1" si="6"/>
        <v>0</v>
      </c>
      <c r="R13" s="65">
        <f>SIGN(Table1322[[#This Row],[Cumulative Blance]])*MAX(Table1322[Cumulative Blance])*0.1</f>
        <v>14.600000000000001</v>
      </c>
    </row>
    <row r="14" spans="2:18" x14ac:dyDescent="0.25">
      <c r="B14" s="15" t="s">
        <v>19</v>
      </c>
      <c r="C14" s="16">
        <v>-62</v>
      </c>
      <c r="E14" s="13" t="s">
        <v>18</v>
      </c>
      <c r="F14" s="13"/>
      <c r="G14" s="13" t="str">
        <f>IF(Table1322[[#This Row],[Check Values]]&lt;&gt;"",Table1322[[#This Row],[Cumulative Blance]]-Table1322[[#This Row],[Check Values]],"")</f>
        <v/>
      </c>
      <c r="H14" s="70">
        <f>IF(Table1322[[#This Row],[Amount]]="",Table1322[[#This Row],[Cumulative Blance]],Table1322[[#This Row],[Amount]])</f>
        <v>-62</v>
      </c>
      <c r="I14" s="4">
        <f>SUM($C$4:C14)</f>
        <v>-12</v>
      </c>
      <c r="J14" s="3">
        <f t="shared" si="0"/>
        <v>50</v>
      </c>
      <c r="K14" s="12" t="str">
        <f ca="1">IF(OR(AND(C14="",I14=J14),ISERROR(OFFSET(Table1322[[#This Row],[Cumulative Blance]],-1,0)+I14)),I14,"")</f>
        <v/>
      </c>
      <c r="L14" s="1">
        <f t="shared" si="1"/>
        <v>0</v>
      </c>
      <c r="M14" s="11">
        <f t="shared" si="2"/>
        <v>0</v>
      </c>
      <c r="N14" s="11">
        <f t="shared" ca="1" si="3"/>
        <v>0</v>
      </c>
      <c r="O14" s="11">
        <f t="shared" si="4"/>
        <v>0</v>
      </c>
      <c r="P14" s="11">
        <f t="shared" si="5"/>
        <v>50</v>
      </c>
      <c r="Q14" s="11">
        <f t="shared" ca="1" si="6"/>
        <v>-12</v>
      </c>
      <c r="R14" s="65">
        <f>SIGN(Table1322[[#This Row],[Cumulative Blance]])*MAX(Table1322[Cumulative Blance])*0.1</f>
        <v>-14.600000000000001</v>
      </c>
    </row>
    <row r="15" spans="2:18" x14ac:dyDescent="0.25">
      <c r="B15" s="15" t="s">
        <v>17</v>
      </c>
      <c r="C15" s="16">
        <v>-10</v>
      </c>
      <c r="E15" s="13" t="s">
        <v>16</v>
      </c>
      <c r="F15" s="13"/>
      <c r="G15" s="13" t="str">
        <f>IF(Table1322[[#This Row],[Check Values]]&lt;&gt;"",Table1322[[#This Row],[Cumulative Blance]]-Table1322[[#This Row],[Check Values]],"")</f>
        <v/>
      </c>
      <c r="H15" s="70">
        <f>IF(Table1322[[#This Row],[Amount]]="",Table1322[[#This Row],[Cumulative Blance]],Table1322[[#This Row],[Amount]])</f>
        <v>-10</v>
      </c>
      <c r="I15" s="4">
        <f>SUM($C$4:C15)</f>
        <v>-22</v>
      </c>
      <c r="J15" s="3">
        <f t="shared" si="0"/>
        <v>-12</v>
      </c>
      <c r="K15" s="12" t="str">
        <f ca="1">IF(OR(AND(C15="",I15=J15),ISERROR(OFFSET(Table1322[[#This Row],[Cumulative Blance]],-1,0)+I15)),I15,"")</f>
        <v/>
      </c>
      <c r="L15" s="1">
        <f t="shared" si="1"/>
        <v>0</v>
      </c>
      <c r="M15" s="11">
        <f t="shared" si="2"/>
        <v>-12</v>
      </c>
      <c r="N15" s="11">
        <f t="shared" ca="1" si="3"/>
        <v>0</v>
      </c>
      <c r="O15" s="11">
        <f t="shared" si="4"/>
        <v>0</v>
      </c>
      <c r="P15" s="11">
        <f t="shared" si="5"/>
        <v>0</v>
      </c>
      <c r="Q15" s="11">
        <f t="shared" ca="1" si="6"/>
        <v>-10</v>
      </c>
      <c r="R15" s="65">
        <f>SIGN(Table1322[[#This Row],[Cumulative Blance]])*MAX(Table1322[Cumulative Blance])*0.1</f>
        <v>-14.600000000000001</v>
      </c>
    </row>
    <row r="16" spans="2:18" x14ac:dyDescent="0.25">
      <c r="B16" s="15" t="s">
        <v>15</v>
      </c>
      <c r="C16" s="16">
        <v>-12</v>
      </c>
      <c r="E16" s="13" t="s">
        <v>14</v>
      </c>
      <c r="F16" s="13"/>
      <c r="G16" s="13" t="str">
        <f>IF(Table1322[[#This Row],[Check Values]]&lt;&gt;"",Table1322[[#This Row],[Cumulative Blance]]-Table1322[[#This Row],[Check Values]],"")</f>
        <v/>
      </c>
      <c r="H16" s="70">
        <f>IF(Table1322[[#This Row],[Amount]]="",Table1322[[#This Row],[Cumulative Blance]],Table1322[[#This Row],[Amount]])</f>
        <v>-12</v>
      </c>
      <c r="I16" s="4">
        <f>SUM($C$4:C16)</f>
        <v>-34</v>
      </c>
      <c r="J16" s="3">
        <f t="shared" si="0"/>
        <v>-22</v>
      </c>
      <c r="K16" s="12" t="str">
        <f ca="1">IF(OR(AND(C16="",I16=J16),ISERROR(OFFSET(Table1322[[#This Row],[Cumulative Blance]],-1,0)+I16)),I16,"")</f>
        <v/>
      </c>
      <c r="L16" s="1">
        <f t="shared" si="1"/>
        <v>0</v>
      </c>
      <c r="M16" s="11">
        <f t="shared" si="2"/>
        <v>-22</v>
      </c>
      <c r="N16" s="11">
        <f t="shared" ca="1" si="3"/>
        <v>0</v>
      </c>
      <c r="O16" s="11">
        <f t="shared" si="4"/>
        <v>0</v>
      </c>
      <c r="P16" s="11">
        <f t="shared" si="5"/>
        <v>0</v>
      </c>
      <c r="Q16" s="11">
        <f t="shared" ca="1" si="6"/>
        <v>-12</v>
      </c>
      <c r="R16" s="65">
        <f>SIGN(Table1322[[#This Row],[Cumulative Blance]])*MAX(Table1322[Cumulative Blance])*0.1</f>
        <v>-14.600000000000001</v>
      </c>
    </row>
    <row r="17" spans="2:18" x14ac:dyDescent="0.25">
      <c r="B17" s="15" t="s">
        <v>13</v>
      </c>
      <c r="C17" s="16">
        <v>25</v>
      </c>
      <c r="E17" s="13"/>
      <c r="F17" s="13"/>
      <c r="G17" s="13" t="str">
        <f>IF(Table1322[[#This Row],[Check Values]]&lt;&gt;"",Table1322[[#This Row],[Cumulative Blance]]-Table1322[[#This Row],[Check Values]],"")</f>
        <v/>
      </c>
      <c r="H17" s="70">
        <f>IF(Table1322[[#This Row],[Amount]]="",Table1322[[#This Row],[Cumulative Blance]],Table1322[[#This Row],[Amount]])</f>
        <v>25</v>
      </c>
      <c r="I17" s="4">
        <f>SUM($C$4:C17)</f>
        <v>-9</v>
      </c>
      <c r="J17" s="3">
        <f t="shared" si="0"/>
        <v>-34</v>
      </c>
      <c r="K17" s="12" t="str">
        <f ca="1">IF(OR(AND(C17="",I17=J17),ISERROR(OFFSET(Table1322[[#This Row],[Cumulative Blance]],-1,0)+I17)),I17,"")</f>
        <v/>
      </c>
      <c r="L17" s="1">
        <f t="shared" si="1"/>
        <v>0</v>
      </c>
      <c r="M17" s="11">
        <f t="shared" si="2"/>
        <v>-9</v>
      </c>
      <c r="N17" s="11">
        <f t="shared" ca="1" si="3"/>
        <v>0</v>
      </c>
      <c r="O17" s="11">
        <f t="shared" si="4"/>
        <v>-25</v>
      </c>
      <c r="P17" s="11">
        <f t="shared" si="5"/>
        <v>0</v>
      </c>
      <c r="Q17" s="11">
        <f t="shared" ca="1" si="6"/>
        <v>0</v>
      </c>
      <c r="R17" s="65">
        <f>SIGN(Table1322[[#This Row],[Cumulative Blance]])*MAX(Table1322[Cumulative Blance])*0.1</f>
        <v>-14.600000000000001</v>
      </c>
    </row>
    <row r="18" spans="2:18" x14ac:dyDescent="0.25">
      <c r="B18" s="15" t="s">
        <v>12</v>
      </c>
      <c r="C18" s="16">
        <v>13</v>
      </c>
      <c r="E18" s="33" t="s">
        <v>11</v>
      </c>
      <c r="F18" s="13"/>
      <c r="G18" s="13" t="str">
        <f>IF(Table1322[[#This Row],[Check Values]]&lt;&gt;"",Table1322[[#This Row],[Cumulative Blance]]-Table1322[[#This Row],[Check Values]],"")</f>
        <v/>
      </c>
      <c r="H18" s="70">
        <f>IF(Table1322[[#This Row],[Amount]]="",Table1322[[#This Row],[Cumulative Blance]],Table1322[[#This Row],[Amount]])</f>
        <v>13</v>
      </c>
      <c r="I18" s="4">
        <f>SUM($C$4:C18)</f>
        <v>4</v>
      </c>
      <c r="J18" s="3">
        <f t="shared" si="0"/>
        <v>-9</v>
      </c>
      <c r="K18" s="12" t="str">
        <f ca="1">IF(OR(AND(C18="",I18=J18),ISERROR(OFFSET(Table1322[[#This Row],[Cumulative Blance]],-1,0)+I18)),I18,"")</f>
        <v/>
      </c>
      <c r="L18" s="1">
        <f t="shared" si="1"/>
        <v>0</v>
      </c>
      <c r="M18" s="11">
        <f t="shared" si="2"/>
        <v>0</v>
      </c>
      <c r="N18" s="11">
        <f t="shared" ca="1" si="3"/>
        <v>4</v>
      </c>
      <c r="O18" s="11">
        <f t="shared" si="4"/>
        <v>-9</v>
      </c>
      <c r="P18" s="11">
        <f t="shared" si="5"/>
        <v>0</v>
      </c>
      <c r="Q18" s="11">
        <f t="shared" ca="1" si="6"/>
        <v>0</v>
      </c>
      <c r="R18" s="65">
        <f>SIGN(Table1322[[#This Row],[Cumulative Blance]])*MAX(Table1322[Cumulative Blance])*0.1</f>
        <v>14.600000000000001</v>
      </c>
    </row>
    <row r="19" spans="2:18" x14ac:dyDescent="0.25">
      <c r="B19" s="15" t="s">
        <v>10</v>
      </c>
      <c r="C19" s="16">
        <v>21</v>
      </c>
      <c r="E19" s="33" t="s">
        <v>9</v>
      </c>
      <c r="F19" s="13"/>
      <c r="G19" s="13" t="str">
        <f>IF(Table1322[[#This Row],[Check Values]]&lt;&gt;"",Table1322[[#This Row],[Cumulative Blance]]-Table1322[[#This Row],[Check Values]],"")</f>
        <v/>
      </c>
      <c r="H19" s="70">
        <f>IF(Table1322[[#This Row],[Amount]]="",Table1322[[#This Row],[Cumulative Blance]],Table1322[[#This Row],[Amount]])</f>
        <v>21</v>
      </c>
      <c r="I19" s="4">
        <f>SUM($C$4:C19)</f>
        <v>25</v>
      </c>
      <c r="J19" s="3">
        <f t="shared" si="0"/>
        <v>4</v>
      </c>
      <c r="K19" s="12" t="str">
        <f ca="1">IF(OR(AND(C19="",I19=J19),ISERROR(OFFSET(Table1322[[#This Row],[Cumulative Blance]],-1,0)+I19)),I19,"")</f>
        <v/>
      </c>
      <c r="L19" s="1">
        <f t="shared" si="1"/>
        <v>4</v>
      </c>
      <c r="M19" s="11">
        <f t="shared" si="2"/>
        <v>0</v>
      </c>
      <c r="N19" s="11">
        <f t="shared" ca="1" si="3"/>
        <v>21</v>
      </c>
      <c r="O19" s="11">
        <f t="shared" si="4"/>
        <v>0</v>
      </c>
      <c r="P19" s="11">
        <f t="shared" si="5"/>
        <v>0</v>
      </c>
      <c r="Q19" s="11">
        <f t="shared" ca="1" si="6"/>
        <v>0</v>
      </c>
      <c r="R19" s="65">
        <f>SIGN(Table1322[[#This Row],[Cumulative Blance]])*MAX(Table1322[Cumulative Blance])*0.1</f>
        <v>14.600000000000001</v>
      </c>
    </row>
    <row r="20" spans="2:18" x14ac:dyDescent="0.25">
      <c r="B20" s="15" t="s">
        <v>8</v>
      </c>
      <c r="C20" s="16">
        <v>-21</v>
      </c>
      <c r="E20" s="33" t="s">
        <v>7</v>
      </c>
      <c r="F20" s="13"/>
      <c r="G20" s="13" t="str">
        <f>IF(Table1322[[#This Row],[Check Values]]&lt;&gt;"",Table1322[[#This Row],[Cumulative Blance]]-Table1322[[#This Row],[Check Values]],"")</f>
        <v/>
      </c>
      <c r="H20" s="70">
        <f>IF(Table1322[[#This Row],[Amount]]="",Table1322[[#This Row],[Cumulative Blance]],Table1322[[#This Row],[Amount]])</f>
        <v>-21</v>
      </c>
      <c r="I20" s="4">
        <f>SUM($C$4:C20)</f>
        <v>4</v>
      </c>
      <c r="J20" s="3">
        <f t="shared" si="0"/>
        <v>25</v>
      </c>
      <c r="K20" s="12" t="str">
        <f ca="1">IF(OR(AND(C20="",I20=J20),ISERROR(OFFSET(Table1322[[#This Row],[Cumulative Blance]],-1,0)+I20)),I20,"")</f>
        <v/>
      </c>
      <c r="L20" s="1">
        <f t="shared" si="1"/>
        <v>4</v>
      </c>
      <c r="M20" s="11">
        <f t="shared" si="2"/>
        <v>0</v>
      </c>
      <c r="N20" s="11">
        <f t="shared" ca="1" si="3"/>
        <v>0</v>
      </c>
      <c r="O20" s="11">
        <f t="shared" si="4"/>
        <v>0</v>
      </c>
      <c r="P20" s="11">
        <f t="shared" si="5"/>
        <v>21</v>
      </c>
      <c r="Q20" s="11">
        <f t="shared" ca="1" si="6"/>
        <v>0</v>
      </c>
      <c r="R20" s="65">
        <f>SIGN(Table1322[[#This Row],[Cumulative Blance]])*MAX(Table1322[Cumulative Blance])*0.1</f>
        <v>14.600000000000001</v>
      </c>
    </row>
    <row r="21" spans="2:18" x14ac:dyDescent="0.25">
      <c r="B21" s="15" t="s">
        <v>6</v>
      </c>
      <c r="C21" s="16">
        <v>-20</v>
      </c>
      <c r="E21" s="33" t="s">
        <v>5</v>
      </c>
      <c r="F21" s="13"/>
      <c r="G21" s="13" t="str">
        <f>IF(Table1322[[#This Row],[Check Values]]&lt;&gt;"",Table1322[[#This Row],[Cumulative Blance]]-Table1322[[#This Row],[Check Values]],"")</f>
        <v/>
      </c>
      <c r="H21" s="70">
        <f>IF(Table1322[[#This Row],[Amount]]="",Table1322[[#This Row],[Cumulative Blance]],Table1322[[#This Row],[Amount]])</f>
        <v>-20</v>
      </c>
      <c r="I21" s="4">
        <f>SUM($C$4:C21)</f>
        <v>-16</v>
      </c>
      <c r="J21" s="3">
        <f t="shared" si="0"/>
        <v>4</v>
      </c>
      <c r="K21" s="12" t="str">
        <f ca="1">IF(OR(AND(C21="",I21=J21),ISERROR(OFFSET(Table1322[[#This Row],[Cumulative Blance]],-1,0)+I21)),I21,"")</f>
        <v/>
      </c>
      <c r="L21" s="1">
        <f t="shared" si="1"/>
        <v>0</v>
      </c>
      <c r="M21" s="11">
        <f t="shared" si="2"/>
        <v>0</v>
      </c>
      <c r="N21" s="11">
        <f t="shared" ca="1" si="3"/>
        <v>0</v>
      </c>
      <c r="O21" s="11">
        <f t="shared" si="4"/>
        <v>0</v>
      </c>
      <c r="P21" s="11">
        <f t="shared" si="5"/>
        <v>4</v>
      </c>
      <c r="Q21" s="11">
        <f t="shared" ca="1" si="6"/>
        <v>-16</v>
      </c>
      <c r="R21" s="65">
        <f>SIGN(Table1322[[#This Row],[Cumulative Blance]])*MAX(Table1322[Cumulative Blance])*0.1</f>
        <v>-14.600000000000001</v>
      </c>
    </row>
    <row r="22" spans="2:18" x14ac:dyDescent="0.25">
      <c r="B22" s="15" t="s">
        <v>4</v>
      </c>
      <c r="C22" s="16">
        <v>48</v>
      </c>
      <c r="E22" s="33" t="s">
        <v>3</v>
      </c>
      <c r="F22" s="13"/>
      <c r="G22" s="13" t="str">
        <f>IF(Table1322[[#This Row],[Check Values]]&lt;&gt;"",Table1322[[#This Row],[Cumulative Blance]]-Table1322[[#This Row],[Check Values]],"")</f>
        <v/>
      </c>
      <c r="H22" s="70">
        <f>IF(Table1322[[#This Row],[Amount]]="",Table1322[[#This Row],[Cumulative Blance]],Table1322[[#This Row],[Amount]])</f>
        <v>48</v>
      </c>
      <c r="I22" s="4">
        <f>SUM($C$4:C22)</f>
        <v>32</v>
      </c>
      <c r="J22" s="3">
        <f t="shared" si="0"/>
        <v>-16</v>
      </c>
      <c r="K22" s="12" t="str">
        <f ca="1">IF(OR(AND(C22="",I22=J22),ISERROR(OFFSET(Table1322[[#This Row],[Cumulative Blance]],-1,0)+I22)),I22,"")</f>
        <v/>
      </c>
      <c r="L22" s="1">
        <f t="shared" si="1"/>
        <v>0</v>
      </c>
      <c r="M22" s="11">
        <f t="shared" si="2"/>
        <v>0</v>
      </c>
      <c r="N22" s="11">
        <f t="shared" ca="1" si="3"/>
        <v>32</v>
      </c>
      <c r="O22" s="11">
        <f t="shared" si="4"/>
        <v>-16</v>
      </c>
      <c r="P22" s="11">
        <f t="shared" si="5"/>
        <v>0</v>
      </c>
      <c r="Q22" s="11">
        <f t="shared" ca="1" si="6"/>
        <v>0</v>
      </c>
      <c r="R22" s="65">
        <f>SIGN(Table1322[[#This Row],[Cumulative Blance]])*MAX(Table1322[Cumulative Blance])*0.1</f>
        <v>14.600000000000001</v>
      </c>
    </row>
    <row r="23" spans="2:18" x14ac:dyDescent="0.25">
      <c r="B23" s="15" t="s">
        <v>2</v>
      </c>
      <c r="C23" s="16">
        <v>15</v>
      </c>
      <c r="E23" s="13"/>
      <c r="F23" s="13"/>
      <c r="G23" s="13" t="str">
        <f>IF(Table1322[[#This Row],[Check Values]]&lt;&gt;"",Table1322[[#This Row],[Cumulative Blance]]-Table1322[[#This Row],[Check Values]],"")</f>
        <v/>
      </c>
      <c r="H23" s="70">
        <f>IF(Table1322[[#This Row],[Amount]]="",Table1322[[#This Row],[Cumulative Blance]],Table1322[[#This Row],[Amount]])</f>
        <v>15</v>
      </c>
      <c r="I23" s="4">
        <f>SUM($C$4:C23)</f>
        <v>47</v>
      </c>
      <c r="J23" s="3">
        <f t="shared" si="0"/>
        <v>32</v>
      </c>
      <c r="K23" s="12" t="str">
        <f ca="1">IF(OR(AND(C23="",I23=J23),ISERROR(OFFSET(Table1322[[#This Row],[Cumulative Blance]],-1,0)+I23)),I23,"")</f>
        <v/>
      </c>
      <c r="L23" s="1">
        <f t="shared" si="1"/>
        <v>32</v>
      </c>
      <c r="M23" s="11">
        <f t="shared" si="2"/>
        <v>0</v>
      </c>
      <c r="N23" s="11">
        <f t="shared" ca="1" si="3"/>
        <v>15</v>
      </c>
      <c r="O23" s="11">
        <f t="shared" si="4"/>
        <v>0</v>
      </c>
      <c r="P23" s="11">
        <f t="shared" si="5"/>
        <v>0</v>
      </c>
      <c r="Q23" s="11">
        <f t="shared" ca="1" si="6"/>
        <v>0</v>
      </c>
      <c r="R23" s="65">
        <f>SIGN(Table1322[[#This Row],[Cumulative Blance]])*MAX(Table1322[Cumulative Blance])*0.1</f>
        <v>14.600000000000001</v>
      </c>
    </row>
    <row r="24" spans="2:18" x14ac:dyDescent="0.25">
      <c r="B24" s="15" t="s">
        <v>1</v>
      </c>
      <c r="C24" s="14">
        <v>-12</v>
      </c>
      <c r="E24" s="13"/>
      <c r="F24" s="13"/>
      <c r="G24" s="13" t="str">
        <f>IF(Table1322[[#This Row],[Check Values]]&lt;&gt;"",Table1322[[#This Row],[Cumulative Blance]]-Table1322[[#This Row],[Check Values]],"")</f>
        <v/>
      </c>
      <c r="H24" s="70">
        <f>IF(Table1322[[#This Row],[Amount]]="",Table1322[[#This Row],[Cumulative Blance]],Table1322[[#This Row],[Amount]])</f>
        <v>-12</v>
      </c>
      <c r="I24" s="4">
        <f>SUM($C$4:C24)</f>
        <v>35</v>
      </c>
      <c r="J24" s="3">
        <f t="shared" si="0"/>
        <v>47</v>
      </c>
      <c r="K24" s="12" t="str">
        <f ca="1">IF(OR(AND(C24="",I24=J24),ISERROR(OFFSET(Table1322[[#This Row],[Cumulative Blance]],-1,0)+I24)),I24,"")</f>
        <v/>
      </c>
      <c r="L24" s="1">
        <f t="shared" si="1"/>
        <v>35</v>
      </c>
      <c r="M24" s="11">
        <f t="shared" si="2"/>
        <v>0</v>
      </c>
      <c r="N24" s="11">
        <f t="shared" ca="1" si="3"/>
        <v>0</v>
      </c>
      <c r="O24" s="11">
        <f t="shared" si="4"/>
        <v>0</v>
      </c>
      <c r="P24" s="11">
        <f t="shared" si="5"/>
        <v>12</v>
      </c>
      <c r="Q24" s="11">
        <f t="shared" ca="1" si="6"/>
        <v>0</v>
      </c>
      <c r="R24" s="65">
        <f>SIGN(Table1322[[#This Row],[Cumulative Blance]])*MAX(Table1322[Cumulative Blance])*0.1</f>
        <v>14.600000000000001</v>
      </c>
    </row>
    <row r="25" spans="2:18" ht="15.75" thickBot="1" x14ac:dyDescent="0.3">
      <c r="B25" s="10" t="s">
        <v>0</v>
      </c>
      <c r="C25" s="9"/>
      <c r="D25" s="8"/>
      <c r="E25" s="7"/>
      <c r="F25" s="6">
        <v>35</v>
      </c>
      <c r="G25" s="5">
        <f>IF(Table1322[[#This Row],[Check Values]]&lt;&gt;"",Table1322[[#This Row],[Cumulative Blance]]-Table1322[[#This Row],[Check Values]],"")</f>
        <v>0</v>
      </c>
      <c r="H25" s="68">
        <f>IF(Table1322[[#This Row],[Amount]]="",Table1322[[#This Row],[Cumulative Blance]],Table1322[[#This Row],[Amount]])</f>
        <v>35</v>
      </c>
      <c r="I25" s="4">
        <f>SUM($C$4:C25)</f>
        <v>35</v>
      </c>
      <c r="J25" s="3">
        <f t="shared" si="0"/>
        <v>35</v>
      </c>
      <c r="K25" s="2">
        <f ca="1">IF(OR(AND(C25="",I25=J25),ISERROR(OFFSET(Table1322[[#This Row],[Cumulative Blance]],-1,0)+I25)),I25,"")</f>
        <v>35</v>
      </c>
      <c r="L25" s="1">
        <f t="shared" si="1"/>
        <v>0</v>
      </c>
      <c r="M25" s="1">
        <f t="shared" si="2"/>
        <v>0</v>
      </c>
      <c r="N25" s="1">
        <f t="shared" ca="1" si="3"/>
        <v>0</v>
      </c>
      <c r="O25" s="1">
        <f t="shared" si="4"/>
        <v>0</v>
      </c>
      <c r="P25" s="1">
        <f t="shared" si="5"/>
        <v>0</v>
      </c>
      <c r="Q25" s="1">
        <f t="shared" ca="1" si="6"/>
        <v>0</v>
      </c>
      <c r="R25" s="65">
        <f>SIGN(Table1322[[#This Row],[Cumulative Blance]])*MAX(Table1322[Cumulative Blance])*0.1</f>
        <v>14.600000000000001</v>
      </c>
    </row>
  </sheetData>
  <phoneticPr fontId="9" type="noConversion"/>
  <conditionalFormatting sqref="B4:R25">
    <cfRule type="expression" dxfId="0" priority="1">
      <formula>AND($G4&lt;&gt;"",$G4=0)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B8A2-4B39-4A12-AC8C-1BBDA61F2062}">
  <sheetPr>
    <tabColor theme="1"/>
  </sheetPr>
  <dimension ref="A1:AE38"/>
  <sheetViews>
    <sheetView showGridLines="0" zoomScale="115" zoomScaleNormal="115" workbookViewId="0">
      <selection activeCell="AI14" sqref="AI14"/>
    </sheetView>
  </sheetViews>
  <sheetFormatPr defaultRowHeight="15" x14ac:dyDescent="0.25"/>
  <cols>
    <col min="1" max="1" width="10.140625" bestFit="1" customWidth="1"/>
    <col min="2" max="3" width="0" hidden="1" customWidth="1"/>
    <col min="4" max="19" width="8.5703125" customWidth="1"/>
    <col min="20" max="20" width="4.42578125" customWidth="1"/>
    <col min="21" max="21" width="9.28515625" bestFit="1" customWidth="1"/>
  </cols>
  <sheetData>
    <row r="1" spans="1:31" ht="20.25" thickBot="1" x14ac:dyDescent="0.35">
      <c r="A1" s="57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31" ht="15.75" thickTop="1" x14ac:dyDescent="0.25">
      <c r="A2" s="37" t="s">
        <v>99</v>
      </c>
      <c r="B2" s="37" t="s">
        <v>98</v>
      </c>
      <c r="C2" s="37" t="s">
        <v>97</v>
      </c>
      <c r="D2" s="61">
        <v>0</v>
      </c>
      <c r="E2" s="61">
        <f t="shared" ref="E2:S2" si="0">D2+10000</f>
        <v>10000</v>
      </c>
      <c r="F2" s="61">
        <f t="shared" si="0"/>
        <v>20000</v>
      </c>
      <c r="G2" s="61">
        <f t="shared" si="0"/>
        <v>30000</v>
      </c>
      <c r="H2" s="61">
        <f t="shared" si="0"/>
        <v>40000</v>
      </c>
      <c r="I2" s="61">
        <f t="shared" si="0"/>
        <v>50000</v>
      </c>
      <c r="J2" s="61">
        <f t="shared" si="0"/>
        <v>60000</v>
      </c>
      <c r="K2" s="61">
        <f t="shared" si="0"/>
        <v>70000</v>
      </c>
      <c r="L2" s="61">
        <f t="shared" si="0"/>
        <v>80000</v>
      </c>
      <c r="M2" s="61">
        <f t="shared" si="0"/>
        <v>90000</v>
      </c>
      <c r="N2" s="61">
        <f t="shared" si="0"/>
        <v>100000</v>
      </c>
      <c r="O2" s="61">
        <f t="shared" si="0"/>
        <v>110000</v>
      </c>
      <c r="P2" s="61">
        <f t="shared" si="0"/>
        <v>120000</v>
      </c>
      <c r="Q2" s="61">
        <f t="shared" si="0"/>
        <v>130000</v>
      </c>
      <c r="R2" s="61">
        <f t="shared" si="0"/>
        <v>140000</v>
      </c>
      <c r="S2" s="61">
        <f t="shared" si="0"/>
        <v>150000</v>
      </c>
    </row>
    <row r="3" spans="1:31" x14ac:dyDescent="0.25">
      <c r="A3" s="56">
        <v>43466</v>
      </c>
      <c r="B3" s="55">
        <v>6.3873536488515246</v>
      </c>
      <c r="C3" s="55">
        <v>0.60298250100286621</v>
      </c>
      <c r="D3" s="55">
        <v>0</v>
      </c>
      <c r="E3" s="55">
        <v>3.0670583214574787E-18</v>
      </c>
      <c r="F3" s="55">
        <v>2.1111281869736472E-12</v>
      </c>
      <c r="G3" s="55">
        <v>9.2862023897161858E-8</v>
      </c>
      <c r="H3" s="55">
        <v>2.610313416790015E-4</v>
      </c>
      <c r="I3" s="55">
        <v>0.25</v>
      </c>
      <c r="J3" s="55">
        <v>0.53826307580328392</v>
      </c>
      <c r="K3" s="55">
        <v>0.39485897246093826</v>
      </c>
      <c r="L3" s="55">
        <v>1.8510596061920022E-2</v>
      </c>
      <c r="M3" s="55">
        <v>5.545360274608871E-5</v>
      </c>
      <c r="N3" s="55">
        <v>1.0616224662566225E-8</v>
      </c>
      <c r="O3" s="55">
        <v>1.2987973824167031E-13</v>
      </c>
      <c r="P3" s="55">
        <v>1.015415244588847E-19</v>
      </c>
      <c r="Q3" s="55">
        <v>5.0731408978733444E-27</v>
      </c>
      <c r="R3" s="55">
        <v>1.6197244566388054E-35</v>
      </c>
      <c r="S3" s="55">
        <v>0</v>
      </c>
      <c r="T3" s="55"/>
    </row>
    <row r="4" spans="1:31" x14ac:dyDescent="0.25">
      <c r="A4" s="56">
        <f t="shared" ref="A4:A27" si="1">EOMONTH(A3,0)+1</f>
        <v>43497</v>
      </c>
      <c r="B4" s="55">
        <v>6.0179020241332264</v>
      </c>
      <c r="C4" s="55">
        <v>0.8</v>
      </c>
      <c r="D4" s="55">
        <v>0</v>
      </c>
      <c r="E4" s="55">
        <v>1.4277658995469466E-9</v>
      </c>
      <c r="F4" s="55">
        <v>1.6612619897291543E-6</v>
      </c>
      <c r="G4" s="55">
        <v>4.0516705397906612E-4</v>
      </c>
      <c r="H4" s="55">
        <v>2.0713094705723283E-2</v>
      </c>
      <c r="I4" s="55">
        <v>0.22195796285994249</v>
      </c>
      <c r="J4" s="55">
        <v>0.49855300870283753</v>
      </c>
      <c r="K4" s="55">
        <v>0.23472904123104557</v>
      </c>
      <c r="L4" s="55">
        <v>2.316526006822521E-2</v>
      </c>
      <c r="M4" s="55">
        <v>4.7920617715250673E-4</v>
      </c>
      <c r="N4" s="55">
        <v>2.0778897801952337E-6</v>
      </c>
      <c r="O4" s="55">
        <v>1.8885890986956616E-9</v>
      </c>
      <c r="P4" s="55">
        <v>3.5980510589492425E-13</v>
      </c>
      <c r="Q4" s="55">
        <v>1.436852002284096E-17</v>
      </c>
      <c r="R4" s="55">
        <v>1.2027396409011121E-22</v>
      </c>
      <c r="S4" s="55">
        <v>0</v>
      </c>
      <c r="T4" s="55"/>
    </row>
    <row r="5" spans="1:31" x14ac:dyDescent="0.25">
      <c r="A5" s="56">
        <f t="shared" si="1"/>
        <v>43525</v>
      </c>
      <c r="B5" s="55">
        <v>5.5893837426759063</v>
      </c>
      <c r="C5" s="55">
        <v>1.0926224296065652</v>
      </c>
      <c r="D5" s="55">
        <v>0</v>
      </c>
      <c r="E5" s="55">
        <v>5.386984021401747E-5</v>
      </c>
      <c r="F5" s="55">
        <v>1.655769032193334E-3</v>
      </c>
      <c r="G5" s="55">
        <v>2.2022641551923974E-2</v>
      </c>
      <c r="H5" s="55">
        <v>0.1267519503279089</v>
      </c>
      <c r="I5" s="55">
        <v>0.31568611243110567</v>
      </c>
      <c r="J5" s="55">
        <v>0.34022943927343718</v>
      </c>
      <c r="K5" s="55">
        <v>0.15867331235893783</v>
      </c>
      <c r="L5" s="55">
        <v>3.2022222615025984E-2</v>
      </c>
      <c r="M5" s="55">
        <v>2.7964988358648488E-3</v>
      </c>
      <c r="N5" s="55">
        <v>1.0568014473641813E-4</v>
      </c>
      <c r="O5" s="55">
        <v>1.7281750941795855E-6</v>
      </c>
      <c r="P5" s="55">
        <v>1.2229189380899153E-8</v>
      </c>
      <c r="Q5" s="55">
        <v>3.7447530667546289E-11</v>
      </c>
      <c r="R5" s="55">
        <v>4.9620859860449519E-14</v>
      </c>
      <c r="S5" s="55">
        <v>0</v>
      </c>
      <c r="T5" s="55"/>
      <c r="U5" s="60" t="s">
        <v>112</v>
      </c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x14ac:dyDescent="0.25">
      <c r="A6" s="56">
        <f t="shared" si="1"/>
        <v>43556</v>
      </c>
      <c r="B6" s="55">
        <v>4.6277478977740962</v>
      </c>
      <c r="C6" s="55">
        <v>1.5774895744474366</v>
      </c>
      <c r="D6" s="55">
        <v>0</v>
      </c>
      <c r="E6" s="55">
        <v>1.7969557991353621E-2</v>
      </c>
      <c r="F6" s="55">
        <v>6.3153822088329148E-2</v>
      </c>
      <c r="G6" s="55">
        <v>0.14850443645941944</v>
      </c>
      <c r="H6" s="55">
        <v>0.23364514488773583</v>
      </c>
      <c r="I6" s="55">
        <v>0.24595272449595362</v>
      </c>
      <c r="J6" s="55">
        <v>0.17323038023794532</v>
      </c>
      <c r="K6" s="55">
        <v>8.1634553858309283E-2</v>
      </c>
      <c r="L6" s="55">
        <v>2.5739584535861258E-2</v>
      </c>
      <c r="M6" s="55">
        <v>5.4300844729795565E-3</v>
      </c>
      <c r="N6" s="55">
        <v>7.6645944943959886E-4</v>
      </c>
      <c r="O6" s="55">
        <v>7.2385124225042951E-5</v>
      </c>
      <c r="P6" s="55">
        <v>4.5739036228207192E-6</v>
      </c>
      <c r="Q6" s="55">
        <v>1.9337585129800497E-7</v>
      </c>
      <c r="R6" s="55">
        <v>5.4700968024058165E-9</v>
      </c>
      <c r="S6" s="55">
        <v>0</v>
      </c>
      <c r="T6" s="55"/>
    </row>
    <row r="7" spans="1:31" x14ac:dyDescent="0.25">
      <c r="A7" s="56">
        <f t="shared" si="1"/>
        <v>43586</v>
      </c>
      <c r="B7" s="55">
        <v>4.4120669895085776</v>
      </c>
      <c r="C7" s="55">
        <v>2.9506962470517015</v>
      </c>
      <c r="D7" s="55">
        <v>0</v>
      </c>
      <c r="E7" s="55">
        <v>6.9282434983108848E-2</v>
      </c>
      <c r="F7" s="55">
        <v>9.6801036365301851E-2</v>
      </c>
      <c r="G7" s="55">
        <v>0.12057460660969946</v>
      </c>
      <c r="H7" s="55">
        <v>0.13389078350901154</v>
      </c>
      <c r="I7" s="55">
        <v>0.13254534960272715</v>
      </c>
      <c r="J7" s="55">
        <v>0.1169761408752278</v>
      </c>
      <c r="K7" s="55">
        <v>9.2034162964601318E-2</v>
      </c>
      <c r="L7" s="55">
        <v>6.4553504852143756E-2</v>
      </c>
      <c r="M7" s="55">
        <v>4.0365428698681004E-2</v>
      </c>
      <c r="N7" s="55">
        <v>2.2501853580308852E-2</v>
      </c>
      <c r="O7" s="55">
        <v>1.1182682697307433E-2</v>
      </c>
      <c r="P7" s="55">
        <v>4.9544185450815775E-3</v>
      </c>
      <c r="Q7" s="55">
        <v>1.9568537357238201E-3</v>
      </c>
      <c r="R7" s="55">
        <v>6.8903775848434573E-4</v>
      </c>
      <c r="S7" s="55">
        <v>0</v>
      </c>
      <c r="T7" s="55"/>
    </row>
    <row r="8" spans="1:31" x14ac:dyDescent="0.25">
      <c r="A8" s="56">
        <f t="shared" si="1"/>
        <v>43617</v>
      </c>
      <c r="B8" s="55">
        <v>4.1558226625437547</v>
      </c>
      <c r="C8" s="55">
        <v>3.0399427007641178</v>
      </c>
      <c r="D8" s="55">
        <v>0</v>
      </c>
      <c r="E8" s="55">
        <v>7.6564415414397929E-2</v>
      </c>
      <c r="F8" s="55">
        <v>0.10205584714110104</v>
      </c>
      <c r="G8" s="55">
        <v>0.12208255551687014</v>
      </c>
      <c r="H8" s="55">
        <v>0.13106119691099521</v>
      </c>
      <c r="I8" s="55">
        <v>0.12626978660082769</v>
      </c>
      <c r="J8" s="55">
        <v>0.10917659910030884</v>
      </c>
      <c r="K8" s="55">
        <v>8.4715811522988987E-2</v>
      </c>
      <c r="L8" s="55">
        <v>5.8993503359068555E-2</v>
      </c>
      <c r="M8" s="55">
        <v>3.6867925271505508E-2</v>
      </c>
      <c r="N8" s="55">
        <v>2.0677498970304728E-2</v>
      </c>
      <c r="O8" s="55">
        <v>1.0407636504920798E-2</v>
      </c>
      <c r="P8" s="55">
        <v>4.7012248394237462E-3</v>
      </c>
      <c r="Q8" s="55">
        <v>1.9057886100199669E-3</v>
      </c>
      <c r="R8" s="55">
        <v>6.9333516968007468E-4</v>
      </c>
      <c r="S8" s="55">
        <v>0</v>
      </c>
      <c r="T8" s="55"/>
    </row>
    <row r="9" spans="1:31" x14ac:dyDescent="0.25">
      <c r="A9" s="56">
        <f t="shared" si="1"/>
        <v>43647</v>
      </c>
      <c r="B9" s="55">
        <v>3.1111950200372371</v>
      </c>
      <c r="C9" s="55">
        <v>2.9506962470517015</v>
      </c>
      <c r="D9" s="55">
        <v>0</v>
      </c>
      <c r="E9" s="55">
        <v>0.10466997310918656</v>
      </c>
      <c r="F9" s="55">
        <v>0.1259476763200936</v>
      </c>
      <c r="G9" s="55">
        <v>0.13510679406333068</v>
      </c>
      <c r="H9" s="55">
        <v>0.12920615445092087</v>
      </c>
      <c r="I9" s="55">
        <v>0.1101560096689774</v>
      </c>
      <c r="J9" s="55">
        <v>8.3724424850043805E-2</v>
      </c>
      <c r="K9" s="55">
        <v>5.6730306866379414E-2</v>
      </c>
      <c r="L9" s="55">
        <v>3.4268656268780881E-2</v>
      </c>
      <c r="M9" s="55">
        <v>1.8454318025015355E-2</v>
      </c>
      <c r="N9" s="55">
        <v>8.8596773972549336E-3</v>
      </c>
      <c r="O9" s="55">
        <v>3.7918993306406252E-3</v>
      </c>
      <c r="P9" s="55">
        <v>1.4468205613696263E-3</v>
      </c>
      <c r="Q9" s="55">
        <v>4.9214324426162331E-4</v>
      </c>
      <c r="R9" s="55">
        <v>1.492407305357487E-4</v>
      </c>
      <c r="S9" s="55">
        <v>0</v>
      </c>
      <c r="T9" s="55"/>
    </row>
    <row r="10" spans="1:31" x14ac:dyDescent="0.25">
      <c r="A10" s="56">
        <f t="shared" si="1"/>
        <v>43678</v>
      </c>
      <c r="B10" s="55">
        <v>4.6418301074049682</v>
      </c>
      <c r="C10" s="55">
        <v>1.5774895744474366</v>
      </c>
      <c r="D10" s="55">
        <v>0</v>
      </c>
      <c r="E10" s="55">
        <v>1.7603714338548158E-2</v>
      </c>
      <c r="F10" s="55">
        <v>6.2219170811128863E-2</v>
      </c>
      <c r="G10" s="55">
        <v>0.1471369229835652</v>
      </c>
      <c r="H10" s="55">
        <v>0.23280733756892463</v>
      </c>
      <c r="I10" s="55">
        <v>0.24646156556219534</v>
      </c>
      <c r="J10" s="55">
        <v>0.17457388849496044</v>
      </c>
      <c r="K10" s="55">
        <v>8.2734550626268208E-2</v>
      </c>
      <c r="L10" s="55">
        <v>2.6234457216841232E-2</v>
      </c>
      <c r="M10" s="55">
        <v>5.5658922950190216E-3</v>
      </c>
      <c r="N10" s="55">
        <v>7.9008725654089993E-4</v>
      </c>
      <c r="O10" s="55">
        <v>7.5040005990276349E-5</v>
      </c>
      <c r="P10" s="55">
        <v>4.7685704927001393E-6</v>
      </c>
      <c r="Q10" s="55">
        <v>2.0275010985995116E-7</v>
      </c>
      <c r="R10" s="55">
        <v>5.7678178053267782E-9</v>
      </c>
      <c r="S10" s="55">
        <v>0</v>
      </c>
      <c r="T10" s="55"/>
      <c r="U10" s="59" t="s">
        <v>101</v>
      </c>
    </row>
    <row r="11" spans="1:31" x14ac:dyDescent="0.25">
      <c r="A11" s="56">
        <f t="shared" si="1"/>
        <v>43709</v>
      </c>
      <c r="B11" s="55">
        <v>5.6113341237998169</v>
      </c>
      <c r="C11" s="55">
        <v>1.2791985533541421</v>
      </c>
      <c r="D11" s="55">
        <v>0</v>
      </c>
      <c r="E11" s="55">
        <v>4.7004273898173642E-4</v>
      </c>
      <c r="F11" s="55">
        <v>5.7983469998249106E-3</v>
      </c>
      <c r="G11" s="55">
        <v>3.8820979458226219E-2</v>
      </c>
      <c r="H11" s="55">
        <v>0.14106660284343575</v>
      </c>
      <c r="I11" s="55">
        <v>0.27821296196925593</v>
      </c>
      <c r="J11" s="55">
        <v>0.29780085814964469</v>
      </c>
      <c r="K11" s="55">
        <v>0.17300950463118356</v>
      </c>
      <c r="L11" s="55">
        <v>5.4551841198535587E-2</v>
      </c>
      <c r="M11" s="55">
        <v>9.3356443083708919E-3</v>
      </c>
      <c r="N11" s="55">
        <v>8.6711083450123042E-4</v>
      </c>
      <c r="O11" s="55">
        <v>4.371196820068777E-5</v>
      </c>
      <c r="P11" s="55">
        <v>1.1959734634335712E-6</v>
      </c>
      <c r="Q11" s="55">
        <v>1.7759803574633886E-8</v>
      </c>
      <c r="R11" s="55">
        <v>1.4313643803077588E-10</v>
      </c>
      <c r="S11" s="55">
        <v>0</v>
      </c>
      <c r="T11" s="55"/>
      <c r="U11" s="59"/>
    </row>
    <row r="12" spans="1:31" x14ac:dyDescent="0.25">
      <c r="A12" s="56">
        <f t="shared" si="1"/>
        <v>43739</v>
      </c>
      <c r="B12" s="55">
        <v>7.0271695564387757</v>
      </c>
      <c r="C12" s="55">
        <v>1.2113188128453267</v>
      </c>
      <c r="D12" s="55">
        <v>0</v>
      </c>
      <c r="E12" s="55">
        <v>1.3854483330536305E-6</v>
      </c>
      <c r="F12" s="55">
        <v>5.9915735263224801E-5</v>
      </c>
      <c r="G12" s="55">
        <v>1.310714276965815E-3</v>
      </c>
      <c r="H12" s="55">
        <v>1.4504132046232254E-2</v>
      </c>
      <c r="I12" s="55">
        <v>8.1188036439661951E-2</v>
      </c>
      <c r="J12" s="55">
        <v>0.22988408671422328</v>
      </c>
      <c r="K12" s="55">
        <v>0.3292625659585966</v>
      </c>
      <c r="L12" s="55">
        <v>0.23855712142411292</v>
      </c>
      <c r="M12" s="55">
        <v>8.7429700590480303E-2</v>
      </c>
      <c r="N12" s="55">
        <v>1.6208475715467342E-2</v>
      </c>
      <c r="O12" s="55">
        <v>1.5199942193736566E-3</v>
      </c>
      <c r="P12" s="55">
        <v>7.2103820358362483E-5</v>
      </c>
      <c r="Q12" s="55">
        <v>1.7301796271263452E-6</v>
      </c>
      <c r="R12" s="55">
        <v>2.1001034570591402E-8</v>
      </c>
      <c r="S12" s="55">
        <v>0</v>
      </c>
      <c r="T12" s="55"/>
      <c r="U12" s="59" t="s">
        <v>102</v>
      </c>
    </row>
    <row r="13" spans="1:31" x14ac:dyDescent="0.25">
      <c r="A13" s="56">
        <f t="shared" si="1"/>
        <v>43770</v>
      </c>
      <c r="B13" s="55">
        <v>7.8060561353276539</v>
      </c>
      <c r="C13" s="55">
        <v>0.99157156660124357</v>
      </c>
      <c r="D13" s="55">
        <v>0</v>
      </c>
      <c r="E13" s="55">
        <v>2.3663395074197216E-11</v>
      </c>
      <c r="F13" s="55">
        <v>1.4438376968374104E-8</v>
      </c>
      <c r="G13" s="55">
        <v>3.1860366421990564E-6</v>
      </c>
      <c r="H13" s="55">
        <v>2.5425776423741264E-4</v>
      </c>
      <c r="I13" s="55">
        <v>7.3381865671226171E-3</v>
      </c>
      <c r="J13" s="55">
        <v>7.6593928008595435E-2</v>
      </c>
      <c r="K13" s="55">
        <v>0.28912856663686559</v>
      </c>
      <c r="L13" s="55">
        <v>0.39471054759170893</v>
      </c>
      <c r="M13" s="55">
        <v>0.1948756283154858</v>
      </c>
      <c r="N13" s="55">
        <v>3.4795845415447314E-2</v>
      </c>
      <c r="O13" s="55">
        <v>2.2469236989670926E-3</v>
      </c>
      <c r="P13" s="55">
        <v>5.2473535289329135E-5</v>
      </c>
      <c r="Q13" s="55">
        <v>4.4318330568239748E-7</v>
      </c>
      <c r="R13" s="55">
        <v>1.3536847241011523E-9</v>
      </c>
      <c r="S13" s="55">
        <v>0</v>
      </c>
      <c r="T13" s="55"/>
      <c r="U13" s="59"/>
    </row>
    <row r="14" spans="1:31" x14ac:dyDescent="0.25">
      <c r="A14" s="56">
        <f t="shared" si="1"/>
        <v>43800</v>
      </c>
      <c r="B14" s="55">
        <v>7.8940743264537536</v>
      </c>
      <c r="C14" s="55">
        <v>0.86164489260382093</v>
      </c>
      <c r="D14" s="55">
        <v>0</v>
      </c>
      <c r="E14" s="55">
        <v>5.8139037425653719E-15</v>
      </c>
      <c r="F14" s="55">
        <v>3.19711693067068E-11</v>
      </c>
      <c r="G14" s="55">
        <v>4.571799500887911E-8</v>
      </c>
      <c r="H14" s="55">
        <v>1.7000191115329034E-5</v>
      </c>
      <c r="I14" s="55">
        <v>1.6438356843431568E-3</v>
      </c>
      <c r="J14" s="55">
        <v>4.1333385286256838E-2</v>
      </c>
      <c r="K14" s="55">
        <v>0.27025984358356209</v>
      </c>
      <c r="L14" s="55">
        <v>0.45951536552446859</v>
      </c>
      <c r="M14" s="55">
        <v>0.20316857172110203</v>
      </c>
      <c r="N14" s="55">
        <v>2.3358824793532178E-2</v>
      </c>
      <c r="O14" s="55">
        <v>6.9836653969231543E-4</v>
      </c>
      <c r="P14" s="55">
        <v>5.429424889195995E-6</v>
      </c>
      <c r="Q14" s="55">
        <v>1.0976457699131115E-8</v>
      </c>
      <c r="R14" s="55">
        <v>5.7704350744996743E-12</v>
      </c>
      <c r="S14" s="55">
        <v>0</v>
      </c>
      <c r="T14" s="55"/>
      <c r="U14" s="59" t="s">
        <v>103</v>
      </c>
    </row>
    <row r="15" spans="1:31" x14ac:dyDescent="0.25">
      <c r="A15" s="56">
        <f t="shared" si="1"/>
        <v>43831</v>
      </c>
      <c r="B15" s="55">
        <v>6.2645734401569841</v>
      </c>
      <c r="C15" s="55">
        <v>0.70433289324212067</v>
      </c>
      <c r="D15" s="55">
        <v>0</v>
      </c>
      <c r="E15" s="55">
        <v>4.1816321514020455E-13</v>
      </c>
      <c r="F15" s="55">
        <v>6.2010187639782462E-9</v>
      </c>
      <c r="G15" s="55">
        <v>1.225000503347625E-5</v>
      </c>
      <c r="H15" s="55">
        <v>3.2237807020124086E-3</v>
      </c>
      <c r="I15" s="55">
        <v>0.11301880674491814</v>
      </c>
      <c r="J15" s="55">
        <v>0.52782741884065809</v>
      </c>
      <c r="K15" s="55">
        <v>0.32838943608048321</v>
      </c>
      <c r="L15" s="55">
        <v>2.7217135262259204E-2</v>
      </c>
      <c r="M15" s="55">
        <v>3.0050496215563343E-4</v>
      </c>
      <c r="N15" s="55">
        <v>4.4199452152262927E-7</v>
      </c>
      <c r="O15" s="55">
        <v>8.660403509284398E-11</v>
      </c>
      <c r="P15" s="55">
        <v>2.2605565235640148E-15</v>
      </c>
      <c r="Q15" s="55">
        <v>7.8604718463032212E-21</v>
      </c>
      <c r="R15" s="55">
        <v>3.6411440839079285E-27</v>
      </c>
      <c r="S15" s="55">
        <v>0</v>
      </c>
      <c r="T15" s="55"/>
      <c r="U15" s="59"/>
    </row>
    <row r="16" spans="1:31" x14ac:dyDescent="0.25">
      <c r="A16" s="56">
        <f t="shared" si="1"/>
        <v>43862</v>
      </c>
      <c r="B16" s="55">
        <v>6.0772442059560197</v>
      </c>
      <c r="C16" s="55">
        <v>0.69942133378051674</v>
      </c>
      <c r="D16" s="55">
        <v>0</v>
      </c>
      <c r="E16" s="55">
        <v>2.0576031286140577E-12</v>
      </c>
      <c r="F16" s="55">
        <v>2.3820931518049579E-8</v>
      </c>
      <c r="G16" s="55">
        <v>3.5708648048792042E-5</v>
      </c>
      <c r="H16" s="55">
        <v>6.9311550387601466E-3</v>
      </c>
      <c r="I16" s="55">
        <v>0.17420289067423322</v>
      </c>
      <c r="J16" s="55">
        <v>0.56692112394520733</v>
      </c>
      <c r="K16" s="55">
        <v>0.23889521988304288</v>
      </c>
      <c r="L16" s="55">
        <v>1.3034963478242996E-2</v>
      </c>
      <c r="M16" s="55">
        <v>9.2093656317986477E-5</v>
      </c>
      <c r="N16" s="55">
        <v>8.4249464883833013E-8</v>
      </c>
      <c r="O16" s="55">
        <v>9.9798065916400302E-12</v>
      </c>
      <c r="P16" s="55">
        <v>1.530716052742806E-16</v>
      </c>
      <c r="Q16" s="55">
        <v>3.0400777228299318E-22</v>
      </c>
      <c r="R16" s="55">
        <v>7.8179389639934879E-29</v>
      </c>
      <c r="S16" s="55">
        <v>0</v>
      </c>
      <c r="T16" s="55"/>
      <c r="U16" s="59" t="s">
        <v>104</v>
      </c>
    </row>
    <row r="17" spans="1:21" x14ac:dyDescent="0.25">
      <c r="A17" s="56">
        <f t="shared" si="1"/>
        <v>43891</v>
      </c>
      <c r="B17" s="55">
        <v>5.784164454321397</v>
      </c>
      <c r="C17" s="55">
        <v>0.60298250100286621</v>
      </c>
      <c r="D17" s="55">
        <v>0</v>
      </c>
      <c r="E17" s="55">
        <v>1.4156787141605543E-14</v>
      </c>
      <c r="F17" s="55">
        <v>1.8546692020494662E-9</v>
      </c>
      <c r="G17" s="55">
        <v>1.5527416014643424E-5</v>
      </c>
      <c r="H17" s="55">
        <v>8.3073572627436875E-3</v>
      </c>
      <c r="I17" s="55">
        <v>0.28402564677484049</v>
      </c>
      <c r="J17" s="55">
        <v>0.62055916984694803</v>
      </c>
      <c r="K17" s="55">
        <v>8.6644262193736499E-2</v>
      </c>
      <c r="L17" s="55">
        <v>7.7308525273107583E-4</v>
      </c>
      <c r="M17" s="55">
        <v>4.4080441957674348E-7</v>
      </c>
      <c r="N17" s="55">
        <v>1.6061846162629256E-11</v>
      </c>
      <c r="O17" s="55">
        <v>3.7400374789039336E-17</v>
      </c>
      <c r="P17" s="55">
        <v>5.5652850952926323E-24</v>
      </c>
      <c r="Q17" s="55">
        <v>5.292122033665725E-32</v>
      </c>
      <c r="R17" s="55">
        <v>3.2159053183957506E-41</v>
      </c>
      <c r="S17" s="55">
        <v>0</v>
      </c>
      <c r="T17" s="55"/>
      <c r="U17" s="59"/>
    </row>
    <row r="18" spans="1:21" x14ac:dyDescent="0.25">
      <c r="A18" s="56">
        <f t="shared" si="1"/>
        <v>43922</v>
      </c>
      <c r="B18" s="55">
        <v>4.7979819512989543</v>
      </c>
      <c r="C18" s="55">
        <v>0.8</v>
      </c>
      <c r="D18" s="55">
        <v>0</v>
      </c>
      <c r="E18" s="55">
        <v>6.3626474634813203E-6</v>
      </c>
      <c r="F18" s="55">
        <v>1.1005236131510368E-3</v>
      </c>
      <c r="G18" s="55">
        <v>3.9900261485940142E-2</v>
      </c>
      <c r="H18" s="55">
        <v>0.30322638638314947</v>
      </c>
      <c r="I18" s="55">
        <v>0.48302889467934573</v>
      </c>
      <c r="J18" s="55">
        <v>0.16128504640717628</v>
      </c>
      <c r="K18" s="55">
        <v>1.1288337047493454E-2</v>
      </c>
      <c r="L18" s="55">
        <v>1.6560776830609801E-4</v>
      </c>
      <c r="M18" s="55">
        <v>5.092679125175383E-7</v>
      </c>
      <c r="N18" s="55">
        <v>3.2826667339064114E-10</v>
      </c>
      <c r="O18" s="55">
        <v>4.4352912818114456E-14</v>
      </c>
      <c r="P18" s="55">
        <v>1.2561235894627682E-18</v>
      </c>
      <c r="Q18" s="55">
        <v>7.4568853925039049E-24</v>
      </c>
      <c r="R18" s="55">
        <v>9.2789201436519378E-30</v>
      </c>
      <c r="S18" s="55">
        <v>0</v>
      </c>
      <c r="T18" s="55"/>
      <c r="U18" s="59" t="s">
        <v>12</v>
      </c>
    </row>
    <row r="19" spans="1:21" x14ac:dyDescent="0.25">
      <c r="A19" s="56">
        <f t="shared" si="1"/>
        <v>43952</v>
      </c>
      <c r="B19" s="55">
        <v>4.3365845760730783</v>
      </c>
      <c r="C19" s="55">
        <v>1.0926224296065652</v>
      </c>
      <c r="D19" s="55">
        <v>0</v>
      </c>
      <c r="E19" s="55">
        <v>3.447235905921157E-3</v>
      </c>
      <c r="F19" s="55">
        <v>3.710020098633969E-2</v>
      </c>
      <c r="G19" s="55">
        <v>0.17278144672476756</v>
      </c>
      <c r="H19" s="55">
        <v>0.34820382366825853</v>
      </c>
      <c r="I19" s="55">
        <v>0.30365857637480442</v>
      </c>
      <c r="J19" s="55">
        <v>0.11459169764013326</v>
      </c>
      <c r="K19" s="55">
        <v>1.8712695093961389E-2</v>
      </c>
      <c r="L19" s="55">
        <v>1.3223155802228441E-3</v>
      </c>
      <c r="M19" s="55">
        <v>4.0434257723163807E-5</v>
      </c>
      <c r="N19" s="55">
        <v>5.3503158488094261E-7</v>
      </c>
      <c r="O19" s="55">
        <v>3.0635498578716759E-9</v>
      </c>
      <c r="P19" s="55">
        <v>7.5907741609093999E-12</v>
      </c>
      <c r="Q19" s="55">
        <v>8.138844941195642E-15</v>
      </c>
      <c r="R19" s="55">
        <v>3.7762006657162358E-18</v>
      </c>
      <c r="S19" s="55">
        <v>0</v>
      </c>
      <c r="T19" s="55"/>
      <c r="U19" s="59"/>
    </row>
    <row r="20" spans="1:21" x14ac:dyDescent="0.25">
      <c r="A20" s="56">
        <f t="shared" si="1"/>
        <v>43983</v>
      </c>
      <c r="B20" s="55">
        <v>3.7689672285237954</v>
      </c>
      <c r="C20" s="55">
        <v>0.97075213602432642</v>
      </c>
      <c r="D20" s="55">
        <v>0</v>
      </c>
      <c r="E20" s="55">
        <v>7.0316830614689275E-3</v>
      </c>
      <c r="F20" s="55">
        <v>7.8114583285817565E-2</v>
      </c>
      <c r="G20" s="55">
        <v>0.30029386063787711</v>
      </c>
      <c r="H20" s="55">
        <v>0.39948666476968442</v>
      </c>
      <c r="I20" s="55">
        <v>0.18390757612050593</v>
      </c>
      <c r="J20" s="55">
        <v>2.9298032373966856E-2</v>
      </c>
      <c r="K20" s="55">
        <v>1.6151720436529318E-3</v>
      </c>
      <c r="L20" s="55">
        <v>3.0813471094235153E-5</v>
      </c>
      <c r="M20" s="55">
        <v>2.0342482864362751E-7</v>
      </c>
      <c r="N20" s="55">
        <v>4.6473865234100662E-10</v>
      </c>
      <c r="O20" s="55">
        <v>3.6741351723120608E-13</v>
      </c>
      <c r="P20" s="55">
        <v>1.0051779801452457E-16</v>
      </c>
      <c r="Q20" s="55">
        <v>9.516391549122547E-21</v>
      </c>
      <c r="R20" s="55">
        <v>3.1177632921624456E-25</v>
      </c>
      <c r="S20" s="55">
        <v>0</v>
      </c>
      <c r="T20" s="55"/>
      <c r="U20" s="59" t="s">
        <v>105</v>
      </c>
    </row>
    <row r="21" spans="1:21" x14ac:dyDescent="0.25">
      <c r="A21" s="56">
        <f t="shared" si="1"/>
        <v>44013</v>
      </c>
      <c r="B21" s="55">
        <v>4.2496946536164657</v>
      </c>
      <c r="C21" s="55">
        <v>1.7065163595185497</v>
      </c>
      <c r="D21" s="55">
        <v>0</v>
      </c>
      <c r="E21" s="55">
        <v>3.8137982756950586E-2</v>
      </c>
      <c r="F21" s="55">
        <v>9.8043352587077817E-2</v>
      </c>
      <c r="G21" s="55">
        <v>0.1787924373090666</v>
      </c>
      <c r="H21" s="55">
        <v>0.23128671710690307</v>
      </c>
      <c r="I21" s="55">
        <v>0.21223782901138794</v>
      </c>
      <c r="J21" s="55">
        <v>0.13815463289352217</v>
      </c>
      <c r="K21" s="55">
        <v>6.37938286518277E-2</v>
      </c>
      <c r="L21" s="55">
        <v>2.0895965267485571E-2</v>
      </c>
      <c r="M21" s="55">
        <v>4.8553077627132082E-3</v>
      </c>
      <c r="N21" s="55">
        <v>8.0027941392998923E-4</v>
      </c>
      <c r="O21" s="55">
        <v>9.3570097700702997E-5</v>
      </c>
      <c r="P21" s="55">
        <v>7.7607389687331782E-6</v>
      </c>
      <c r="Q21" s="55">
        <v>4.5660390917977839E-7</v>
      </c>
      <c r="R21" s="55">
        <v>1.905665757203259E-8</v>
      </c>
      <c r="S21" s="55">
        <v>0</v>
      </c>
      <c r="T21" s="55"/>
      <c r="U21" s="59"/>
    </row>
    <row r="22" spans="1:21" x14ac:dyDescent="0.25">
      <c r="A22" s="56">
        <f t="shared" si="1"/>
        <v>44044</v>
      </c>
      <c r="B22" s="55">
        <v>6.0756975685714343</v>
      </c>
      <c r="C22" s="55">
        <v>2.4571291189922899</v>
      </c>
      <c r="D22" s="55">
        <v>0</v>
      </c>
      <c r="E22" s="55">
        <v>1.9225929392134203E-2</v>
      </c>
      <c r="F22" s="55">
        <v>4.1023351029342695E-2</v>
      </c>
      <c r="G22" s="55">
        <v>7.4172325151765084E-2</v>
      </c>
      <c r="H22" s="55">
        <v>0.11363696438847409</v>
      </c>
      <c r="I22" s="55">
        <v>0.14752455869701886</v>
      </c>
      <c r="J22" s="55">
        <v>0.16228410869705853</v>
      </c>
      <c r="K22" s="55">
        <v>0.15127063678742994</v>
      </c>
      <c r="L22" s="55">
        <v>0.11948138430081649</v>
      </c>
      <c r="M22" s="55">
        <v>7.9967372445051907E-2</v>
      </c>
      <c r="N22" s="55">
        <v>4.535157529446085E-2</v>
      </c>
      <c r="O22" s="55">
        <v>2.1794097912462364E-2</v>
      </c>
      <c r="P22" s="55">
        <v>8.8746735855514784E-3</v>
      </c>
      <c r="Q22" s="55">
        <v>3.0621950443917322E-3</v>
      </c>
      <c r="R22" s="55">
        <v>8.9532411116297506E-4</v>
      </c>
      <c r="S22" s="55">
        <v>0</v>
      </c>
      <c r="T22" s="55"/>
      <c r="U22" s="59" t="s">
        <v>106</v>
      </c>
    </row>
    <row r="23" spans="1:21" x14ac:dyDescent="0.25">
      <c r="A23" s="56">
        <f t="shared" si="1"/>
        <v>44075</v>
      </c>
      <c r="B23" s="55">
        <v>6.288979853620563</v>
      </c>
      <c r="C23" s="55">
        <v>1.5576496000573881</v>
      </c>
      <c r="D23" s="55">
        <v>0</v>
      </c>
      <c r="E23" s="55">
        <v>8.0329827130107972E-4</v>
      </c>
      <c r="F23" s="55">
        <v>5.7821310588217706E-3</v>
      </c>
      <c r="G23" s="55">
        <v>2.7561473529718567E-2</v>
      </c>
      <c r="H23" s="55">
        <v>8.7000217181506925E-2</v>
      </c>
      <c r="I23" s="55">
        <v>0.181861866224273</v>
      </c>
      <c r="J23" s="55">
        <v>0.25174818759433409</v>
      </c>
      <c r="K23" s="55">
        <v>0.23077803143261555</v>
      </c>
      <c r="L23" s="55">
        <v>0.14009607848075731</v>
      </c>
      <c r="M23" s="55">
        <v>5.631977301762843E-2</v>
      </c>
      <c r="N23" s="55">
        <v>1.4993368513317193E-2</v>
      </c>
      <c r="O23" s="55">
        <v>2.643266412846481E-3</v>
      </c>
      <c r="P23" s="55">
        <v>3.0859299418835594E-4</v>
      </c>
      <c r="Q23" s="55">
        <v>2.3858030509882097E-5</v>
      </c>
      <c r="R23" s="55">
        <v>1.2214804475685622E-6</v>
      </c>
      <c r="S23" s="55">
        <v>0</v>
      </c>
      <c r="T23" s="55"/>
      <c r="U23" s="59"/>
    </row>
    <row r="24" spans="1:21" x14ac:dyDescent="0.25">
      <c r="A24" s="56">
        <f t="shared" si="1"/>
        <v>44105</v>
      </c>
      <c r="B24" s="55">
        <v>7.4830251797039304</v>
      </c>
      <c r="C24" s="55">
        <v>1.5174137408279171</v>
      </c>
      <c r="D24" s="55">
        <v>0</v>
      </c>
      <c r="E24" s="55">
        <v>2.8582325335425963E-5</v>
      </c>
      <c r="F24" s="55">
        <v>3.8422534064048671E-4</v>
      </c>
      <c r="G24" s="55">
        <v>3.3454876037232236E-3</v>
      </c>
      <c r="H24" s="55">
        <v>1.8867650388959593E-2</v>
      </c>
      <c r="I24" s="55">
        <v>6.892252669541965E-2</v>
      </c>
      <c r="J24" s="55">
        <v>0.16307580643698186</v>
      </c>
      <c r="K24" s="55">
        <v>0.2499210599296626</v>
      </c>
      <c r="L24" s="55">
        <v>0.24808536653648036</v>
      </c>
      <c r="M24" s="55">
        <v>0.15950871499934013</v>
      </c>
      <c r="N24" s="55">
        <v>6.6428226754554245E-2</v>
      </c>
      <c r="O24" s="55">
        <v>1.7918674367684979E-2</v>
      </c>
      <c r="P24" s="55">
        <v>3.1307188601840358E-3</v>
      </c>
      <c r="Q24" s="55">
        <v>3.5429680547839127E-4</v>
      </c>
      <c r="R24" s="55">
        <v>2.5970205019254829E-5</v>
      </c>
      <c r="S24" s="55">
        <v>0</v>
      </c>
      <c r="T24" s="55"/>
      <c r="U24" s="59" t="s">
        <v>107</v>
      </c>
    </row>
    <row r="25" spans="1:21" x14ac:dyDescent="0.25">
      <c r="A25" s="56">
        <f t="shared" si="1"/>
        <v>44136</v>
      </c>
      <c r="B25" s="55">
        <v>7.8924293803453685</v>
      </c>
      <c r="C25" s="55">
        <v>3.7537423696657122</v>
      </c>
      <c r="D25" s="55">
        <v>0</v>
      </c>
      <c r="E25" s="55">
        <v>1.9694557176536683E-2</v>
      </c>
      <c r="F25" s="55">
        <v>3.1000679661126986E-2</v>
      </c>
      <c r="G25" s="55">
        <v>4.545426042796584E-2</v>
      </c>
      <c r="H25" s="55">
        <v>6.2080665184958521E-2</v>
      </c>
      <c r="I25" s="55">
        <v>7.8979887866243381E-2</v>
      </c>
      <c r="J25" s="55">
        <v>9.3595517363892183E-2</v>
      </c>
      <c r="K25" s="55">
        <v>0.10331704375534559</v>
      </c>
      <c r="L25" s="55">
        <v>0.10623491584717376</v>
      </c>
      <c r="M25" s="55">
        <v>0.10175153525300712</v>
      </c>
      <c r="N25" s="55">
        <v>9.0780599936480383E-2</v>
      </c>
      <c r="O25" s="55">
        <v>7.5443792457212486E-2</v>
      </c>
      <c r="P25" s="55">
        <v>5.8402623999030283E-2</v>
      </c>
      <c r="Q25" s="55">
        <v>4.2113331022740952E-2</v>
      </c>
      <c r="R25" s="55">
        <v>2.8286890754289938E-2</v>
      </c>
      <c r="S25" s="55">
        <v>0</v>
      </c>
      <c r="T25" s="55"/>
      <c r="U25" s="59"/>
    </row>
    <row r="26" spans="1:21" x14ac:dyDescent="0.25">
      <c r="A26" s="56">
        <f t="shared" si="1"/>
        <v>44166</v>
      </c>
      <c r="B26" s="55">
        <v>7.9430505603682722</v>
      </c>
      <c r="C26" s="55">
        <v>3.952740479097129</v>
      </c>
      <c r="D26" s="55">
        <v>0</v>
      </c>
      <c r="E26" s="55">
        <v>2.1579288293512626E-2</v>
      </c>
      <c r="F26" s="55">
        <v>3.2593453523343391E-2</v>
      </c>
      <c r="G26" s="55">
        <v>4.6177168184826076E-2</v>
      </c>
      <c r="H26" s="55">
        <v>6.1366007229077507E-2</v>
      </c>
      <c r="I26" s="55">
        <v>7.6494831357992954E-2</v>
      </c>
      <c r="J26" s="55">
        <v>8.9441684550156345E-2</v>
      </c>
      <c r="K26" s="55">
        <v>9.8096046081849297E-2</v>
      </c>
      <c r="L26" s="55">
        <v>0.10091754790008972</v>
      </c>
      <c r="M26" s="55">
        <v>9.7383533846761489E-2</v>
      </c>
      <c r="N26" s="55">
        <v>8.8147099200422921E-2</v>
      </c>
      <c r="O26" s="55">
        <v>7.4840068020099224E-2</v>
      </c>
      <c r="P26" s="55">
        <v>5.9602431361150468E-2</v>
      </c>
      <c r="Q26" s="55">
        <v>4.452433410771503E-2</v>
      </c>
      <c r="R26" s="55">
        <v>3.1198559609690514E-2</v>
      </c>
      <c r="S26" s="55">
        <v>0</v>
      </c>
      <c r="T26" s="55"/>
      <c r="U26" s="59" t="s">
        <v>108</v>
      </c>
    </row>
    <row r="27" spans="1:21" x14ac:dyDescent="0.25">
      <c r="A27" s="56">
        <f t="shared" si="1"/>
        <v>44197</v>
      </c>
      <c r="B27" s="55">
        <v>9.9499999999999993</v>
      </c>
      <c r="C27" s="55">
        <v>3.6483276705913052</v>
      </c>
      <c r="D27" s="55">
        <v>0</v>
      </c>
      <c r="E27" s="55">
        <v>5.3951737741895281E-3</v>
      </c>
      <c r="F27" s="55">
        <v>1.0179254274813313E-2</v>
      </c>
      <c r="G27" s="55">
        <v>1.7815500348448639E-2</v>
      </c>
      <c r="H27" s="55">
        <v>2.8923551623937518E-2</v>
      </c>
      <c r="I27" s="55">
        <v>4.3558884792030649E-2</v>
      </c>
      <c r="J27" s="55">
        <v>6.08517986497282E-2</v>
      </c>
      <c r="K27" s="55">
        <v>7.8857249004989097E-2</v>
      </c>
      <c r="L27" s="55">
        <v>9.4794111537742962E-2</v>
      </c>
      <c r="M27" s="55">
        <v>0.10570429501905658</v>
      </c>
      <c r="N27" s="55">
        <v>0.1093390870016784</v>
      </c>
      <c r="O27" s="55">
        <v>0.1049131163712602</v>
      </c>
      <c r="P27" s="55">
        <v>9.3380386592844367E-2</v>
      </c>
      <c r="Q27" s="55">
        <v>7.7099770080313226E-2</v>
      </c>
      <c r="R27" s="55">
        <v>5.9050289857005812E-2</v>
      </c>
      <c r="S27" s="55">
        <v>0</v>
      </c>
      <c r="T27" s="55"/>
      <c r="U27" s="59"/>
    </row>
    <row r="28" spans="1:21" x14ac:dyDescent="0.25">
      <c r="A28" s="56">
        <f t="shared" ref="A28:A38" si="2">EOMONTH(A27,0)+1</f>
        <v>44228</v>
      </c>
      <c r="B28" s="55">
        <v>9.42</v>
      </c>
      <c r="C28" s="55">
        <v>3.4275817041245622</v>
      </c>
      <c r="D28" s="55">
        <v>0</v>
      </c>
      <c r="E28" s="55">
        <v>5.6954142907999945E-3</v>
      </c>
      <c r="F28" s="55">
        <v>1.1176356179548796E-2</v>
      </c>
      <c r="G28" s="55">
        <v>2.0142279480904367E-2</v>
      </c>
      <c r="H28" s="55">
        <v>3.3338839016731084E-2</v>
      </c>
      <c r="I28" s="55">
        <v>5.0678738621138864E-2</v>
      </c>
      <c r="J28" s="55">
        <v>7.0751327406945633E-2</v>
      </c>
      <c r="K28" s="55">
        <v>9.0714530735868826E-2</v>
      </c>
      <c r="L28" s="55">
        <v>0.10682000522073927</v>
      </c>
      <c r="M28" s="55">
        <v>0.11552122936098701</v>
      </c>
      <c r="N28" s="55">
        <v>0.11473726136300406</v>
      </c>
      <c r="O28" s="55">
        <v>0.10465997527155485</v>
      </c>
      <c r="P28" s="55">
        <v>8.7677921640343104E-2</v>
      </c>
      <c r="Q28" s="55">
        <v>6.7457980550759203E-2</v>
      </c>
      <c r="R28" s="55">
        <v>4.7666130282319592E-2</v>
      </c>
      <c r="S28" s="55">
        <v>0</v>
      </c>
      <c r="T28" s="55"/>
      <c r="U28" s="59" t="s">
        <v>109</v>
      </c>
    </row>
    <row r="29" spans="1:21" x14ac:dyDescent="0.25">
      <c r="A29" s="56">
        <f t="shared" si="2"/>
        <v>44256</v>
      </c>
      <c r="B29" s="55">
        <v>9.1882894165280238</v>
      </c>
      <c r="C29" s="55">
        <v>2.8935145404390012</v>
      </c>
      <c r="D29" s="55">
        <v>0</v>
      </c>
      <c r="E29" s="55">
        <v>2.5149269900866171E-3</v>
      </c>
      <c r="F29" s="55">
        <v>6.2998805047214832E-3</v>
      </c>
      <c r="G29" s="55">
        <v>1.400448828000187E-2</v>
      </c>
      <c r="H29" s="55">
        <v>2.7626774282631723E-2</v>
      </c>
      <c r="I29" s="55">
        <v>4.8363877978147542E-2</v>
      </c>
      <c r="J29" s="55">
        <v>7.5134613472253697E-2</v>
      </c>
      <c r="K29" s="55">
        <v>0.10358264549910293</v>
      </c>
      <c r="L29" s="55">
        <v>0.12672489593539327</v>
      </c>
      <c r="M29" s="55">
        <v>0.13758303649654233</v>
      </c>
      <c r="N29" s="55">
        <v>0.13255491622793356</v>
      </c>
      <c r="O29" s="55">
        <v>0.11333258412688337</v>
      </c>
      <c r="P29" s="55">
        <v>8.5988771732105729E-2</v>
      </c>
      <c r="Q29" s="55">
        <v>5.7897085484578149E-2</v>
      </c>
      <c r="R29" s="55">
        <v>3.4593910782272919E-2</v>
      </c>
      <c r="S29" s="55">
        <v>0</v>
      </c>
      <c r="T29" s="55"/>
      <c r="U29" s="59"/>
    </row>
    <row r="30" spans="1:21" x14ac:dyDescent="0.25">
      <c r="A30" s="56">
        <f t="shared" si="2"/>
        <v>44287</v>
      </c>
      <c r="B30" s="55">
        <v>8.0608062426651426</v>
      </c>
      <c r="C30" s="55">
        <v>2.2566250593564989</v>
      </c>
      <c r="D30" s="55">
        <v>0</v>
      </c>
      <c r="E30" s="55">
        <v>1.3229532510202445E-3</v>
      </c>
      <c r="F30" s="55">
        <v>4.798147992849079E-3</v>
      </c>
      <c r="G30" s="55">
        <v>1.4299445127790375E-2</v>
      </c>
      <c r="H30" s="55">
        <v>3.5017177464456387E-2</v>
      </c>
      <c r="I30" s="55">
        <v>7.0462734628257959E-2</v>
      </c>
      <c r="J30" s="55">
        <v>0.11650759995969893</v>
      </c>
      <c r="K30" s="55">
        <v>0.15829435337433359</v>
      </c>
      <c r="L30" s="55">
        <v>0.17672296748911764</v>
      </c>
      <c r="M30" s="55">
        <v>0.16212014109732498</v>
      </c>
      <c r="N30" s="55">
        <v>0.1222073581687303</v>
      </c>
      <c r="O30" s="55">
        <v>7.5696211425030982E-2</v>
      </c>
      <c r="P30" s="55">
        <v>3.8527190191641941E-2</v>
      </c>
      <c r="Q30" s="55">
        <v>1.6113019591628482E-2</v>
      </c>
      <c r="R30" s="55">
        <v>5.5373622881278025E-3</v>
      </c>
      <c r="S30" s="55">
        <v>0</v>
      </c>
      <c r="T30" s="55"/>
      <c r="U30" s="59" t="s">
        <v>110</v>
      </c>
    </row>
    <row r="31" spans="1:21" x14ac:dyDescent="0.25">
      <c r="A31" s="56">
        <f t="shared" si="2"/>
        <v>44317</v>
      </c>
      <c r="B31" s="55">
        <v>7.0466846646398009</v>
      </c>
      <c r="C31" s="55">
        <v>1.2</v>
      </c>
      <c r="D31" s="55">
        <v>0</v>
      </c>
      <c r="E31" s="55">
        <v>1.0191554312678834E-6</v>
      </c>
      <c r="F31" s="55">
        <v>4.7982608684960314E-5</v>
      </c>
      <c r="G31" s="55">
        <v>1.1280644107889513E-3</v>
      </c>
      <c r="H31" s="55">
        <v>1.3243127183991933E-2</v>
      </c>
      <c r="I31" s="55">
        <v>7.7634330435337531E-2</v>
      </c>
      <c r="J31" s="55">
        <v>0.22726035635576194</v>
      </c>
      <c r="K31" s="55">
        <v>0.33220041046148646</v>
      </c>
      <c r="L31" s="55">
        <v>0.24248409401643878</v>
      </c>
      <c r="M31" s="55">
        <v>8.8383858416713354E-2</v>
      </c>
      <c r="N31" s="55">
        <v>1.6086785374393366E-2</v>
      </c>
      <c r="O31" s="55">
        <v>1.4620835408915656E-3</v>
      </c>
      <c r="P31" s="55">
        <v>6.6356232243734985E-5</v>
      </c>
      <c r="Q31" s="55">
        <v>1.5038269329734551E-6</v>
      </c>
      <c r="R31" s="55">
        <v>1.7018473726634671E-8</v>
      </c>
      <c r="S31" s="55">
        <v>0</v>
      </c>
      <c r="T31" s="55"/>
      <c r="U31" s="59"/>
    </row>
    <row r="32" spans="1:21" x14ac:dyDescent="0.25">
      <c r="A32" s="56">
        <f t="shared" si="2"/>
        <v>44348</v>
      </c>
      <c r="B32" s="55">
        <v>6.6203305236776693</v>
      </c>
      <c r="C32" s="55">
        <v>0.65896225824672572</v>
      </c>
      <c r="D32" s="55">
        <v>0</v>
      </c>
      <c r="E32" s="55">
        <v>9.6759209283552385E-17</v>
      </c>
      <c r="F32" s="55">
        <v>1.2786990864616285E-11</v>
      </c>
      <c r="G32" s="55">
        <v>1.6892689483991983E-7</v>
      </c>
      <c r="H32" s="55">
        <v>2.2309181827436609E-4</v>
      </c>
      <c r="I32" s="55">
        <v>2.9452548996266228E-2</v>
      </c>
      <c r="J32" s="55">
        <v>0.38870178145082834</v>
      </c>
      <c r="K32" s="55">
        <v>0.51281955189560702</v>
      </c>
      <c r="L32" s="55">
        <v>6.7634302965814103E-2</v>
      </c>
      <c r="M32" s="55">
        <v>8.9171046236594131E-4</v>
      </c>
      <c r="N32" s="55">
        <v>1.1752631136261252E-6</v>
      </c>
      <c r="O32" s="55">
        <v>1.5484627030718553E-10</v>
      </c>
      <c r="P32" s="55">
        <v>2.0394863011486905E-15</v>
      </c>
      <c r="Q32" s="55">
        <v>2.6853149880773946E-21</v>
      </c>
      <c r="R32" s="55">
        <v>3.534468203585902E-28</v>
      </c>
      <c r="S32" s="55">
        <v>0</v>
      </c>
      <c r="T32" s="55"/>
      <c r="U32" s="59" t="s">
        <v>111</v>
      </c>
    </row>
    <row r="33" spans="1:20" x14ac:dyDescent="0.25">
      <c r="A33" s="56">
        <f t="shared" si="2"/>
        <v>44378</v>
      </c>
      <c r="B33" s="55">
        <v>6.7011722834119318</v>
      </c>
      <c r="C33" s="55">
        <v>0.61251523382188655</v>
      </c>
      <c r="D33" s="55">
        <v>0</v>
      </c>
      <c r="E33" s="55">
        <v>1.0027476099694326E-19</v>
      </c>
      <c r="F33" s="55">
        <v>1.0518597135918926E-13</v>
      </c>
      <c r="G33" s="55">
        <v>7.6761830135879611E-9</v>
      </c>
      <c r="H33" s="55">
        <v>3.8972129004509432E-5</v>
      </c>
      <c r="I33" s="55">
        <v>1.3765254798591593E-2</v>
      </c>
      <c r="J33" s="55">
        <v>0.338248352722409</v>
      </c>
      <c r="K33" s="55">
        <v>0.57824040902564056</v>
      </c>
      <c r="L33" s="55">
        <v>6.8770550085769849E-2</v>
      </c>
      <c r="M33" s="55">
        <v>5.6900734256875164E-4</v>
      </c>
      <c r="N33" s="55">
        <v>3.2753261708505808E-7</v>
      </c>
      <c r="O33" s="55">
        <v>1.3116336572675479E-11</v>
      </c>
      <c r="P33" s="55">
        <v>3.6541962004125267E-17</v>
      </c>
      <c r="Q33" s="55">
        <v>7.0825962201441412E-24</v>
      </c>
      <c r="R33" s="55">
        <v>9.5502428931707729E-32</v>
      </c>
      <c r="S33" s="55">
        <v>0</v>
      </c>
      <c r="T33" s="55"/>
    </row>
    <row r="34" spans="1:20" x14ac:dyDescent="0.25">
      <c r="A34" s="56">
        <f t="shared" si="2"/>
        <v>44409</v>
      </c>
      <c r="B34" s="55">
        <v>7.8764364138194534</v>
      </c>
      <c r="C34" s="55">
        <v>2.1714916927780599</v>
      </c>
      <c r="D34" s="55">
        <v>0</v>
      </c>
      <c r="E34" s="55">
        <v>1.2207267157534796E-3</v>
      </c>
      <c r="F34" s="55">
        <v>4.7195383138863324E-3</v>
      </c>
      <c r="G34" s="55">
        <v>1.4759743662403737E-2</v>
      </c>
      <c r="H34" s="55">
        <v>3.7338455201209486E-2</v>
      </c>
      <c r="I34" s="55">
        <v>7.6406817184163672E-2</v>
      </c>
      <c r="J34" s="55">
        <v>0.12647541237634469</v>
      </c>
      <c r="K34" s="55">
        <v>0.16934732122887486</v>
      </c>
      <c r="L34" s="55">
        <v>0.18342088750474478</v>
      </c>
      <c r="M34" s="55">
        <v>0.16070059390372352</v>
      </c>
      <c r="N34" s="55">
        <v>0.11388968851047344</v>
      </c>
      <c r="O34" s="55">
        <v>6.5290434768048647E-2</v>
      </c>
      <c r="P34" s="55">
        <v>3.0277007474874579E-2</v>
      </c>
      <c r="Q34" s="55">
        <v>1.135728613744387E-2</v>
      </c>
      <c r="R34" s="55">
        <v>3.4461519221997412E-3</v>
      </c>
      <c r="S34" s="55">
        <v>0</v>
      </c>
      <c r="T34" s="55"/>
    </row>
    <row r="35" spans="1:20" x14ac:dyDescent="0.25">
      <c r="A35" s="56">
        <f t="shared" si="2"/>
        <v>44440</v>
      </c>
      <c r="B35" s="55">
        <v>8.381590776275246</v>
      </c>
      <c r="C35" s="55">
        <v>2.2585606791836788</v>
      </c>
      <c r="D35" s="55">
        <v>0</v>
      </c>
      <c r="E35" s="55">
        <v>8.4644322965664234E-4</v>
      </c>
      <c r="F35" s="55">
        <v>3.2619637075128865E-3</v>
      </c>
      <c r="G35" s="55">
        <v>1.0332916862556612E-2</v>
      </c>
      <c r="H35" s="55">
        <v>2.6904768937156705E-2</v>
      </c>
      <c r="I35" s="55">
        <v>5.7583508075201364E-2</v>
      </c>
      <c r="J35" s="55">
        <v>0.10130467625905668</v>
      </c>
      <c r="K35" s="55">
        <v>0.14649519761110863</v>
      </c>
      <c r="L35" s="55">
        <v>0.17413248749913016</v>
      </c>
      <c r="M35" s="55">
        <v>0.17013698845677844</v>
      </c>
      <c r="N35" s="55">
        <v>0.13664073818951147</v>
      </c>
      <c r="O35" s="55">
        <v>9.0203664106294157E-2</v>
      </c>
      <c r="P35" s="55">
        <v>4.8947518563470988E-2</v>
      </c>
      <c r="Q35" s="55">
        <v>2.183231061639104E-2</v>
      </c>
      <c r="R35" s="55">
        <v>8.0044453627393427E-3</v>
      </c>
      <c r="S35" s="55">
        <v>0</v>
      </c>
      <c r="T35" s="55"/>
    </row>
    <row r="36" spans="1:20" x14ac:dyDescent="0.25">
      <c r="A36" s="56">
        <f t="shared" si="2"/>
        <v>44470</v>
      </c>
      <c r="B36" s="55">
        <v>8.4708662224907698</v>
      </c>
      <c r="C36" s="55">
        <v>2.6927310589373348</v>
      </c>
      <c r="D36" s="55">
        <v>0</v>
      </c>
      <c r="E36" s="55">
        <v>3.156473122509394E-3</v>
      </c>
      <c r="F36" s="55">
        <v>8.2552382209293475E-3</v>
      </c>
      <c r="G36" s="55">
        <v>1.8808798393693624E-2</v>
      </c>
      <c r="H36" s="55">
        <v>3.7333303357423971E-2</v>
      </c>
      <c r="I36" s="55">
        <v>6.4555866342749374E-2</v>
      </c>
      <c r="J36" s="55">
        <v>9.724760959650075E-2</v>
      </c>
      <c r="K36" s="55">
        <v>0.12762215763921037</v>
      </c>
      <c r="L36" s="55">
        <v>0.14590734577365561</v>
      </c>
      <c r="M36" s="55">
        <v>0.14532226505010751</v>
      </c>
      <c r="N36" s="55">
        <v>0.12609303151403964</v>
      </c>
      <c r="O36" s="55">
        <v>9.531339531561997E-2</v>
      </c>
      <c r="P36" s="55">
        <v>6.276546080492891E-2</v>
      </c>
      <c r="Q36" s="55">
        <v>3.6007372319337587E-2</v>
      </c>
      <c r="R36" s="55">
        <v>1.7995588916492264E-2</v>
      </c>
      <c r="S36" s="55">
        <v>0</v>
      </c>
      <c r="T36" s="55"/>
    </row>
    <row r="37" spans="1:20" x14ac:dyDescent="0.25">
      <c r="A37" s="56">
        <f t="shared" si="2"/>
        <v>44501</v>
      </c>
      <c r="B37" s="55">
        <v>8.4799324245644208</v>
      </c>
      <c r="C37" s="55">
        <v>3.2774574528253257</v>
      </c>
      <c r="D37" s="55">
        <v>0</v>
      </c>
      <c r="E37" s="55">
        <v>9.0020064255705145E-3</v>
      </c>
      <c r="F37" s="55">
        <v>1.7240195027579095E-2</v>
      </c>
      <c r="G37" s="55">
        <v>3.008253497148014E-2</v>
      </c>
      <c r="H37" s="55">
        <v>4.7825121946976905E-2</v>
      </c>
      <c r="I37" s="55">
        <v>6.9273501800628148E-2</v>
      </c>
      <c r="J37" s="55">
        <v>9.1421343191347468E-2</v>
      </c>
      <c r="K37" s="55">
        <v>0.10992524788947861</v>
      </c>
      <c r="L37" s="55">
        <v>0.1204250151254882</v>
      </c>
      <c r="M37" s="55">
        <v>0.12020024847181568</v>
      </c>
      <c r="N37" s="55">
        <v>0.10931088773655338</v>
      </c>
      <c r="O37" s="55">
        <v>9.0571357529180718E-2</v>
      </c>
      <c r="P37" s="55">
        <v>6.8373487621733495E-2</v>
      </c>
      <c r="Q37" s="55">
        <v>4.7027727068667396E-2</v>
      </c>
      <c r="R37" s="55">
        <v>2.947064526992554E-2</v>
      </c>
      <c r="S37" s="55">
        <v>0</v>
      </c>
      <c r="T37" s="55"/>
    </row>
    <row r="38" spans="1:20" x14ac:dyDescent="0.25">
      <c r="A38" s="56">
        <f t="shared" si="2"/>
        <v>44531</v>
      </c>
      <c r="B38" s="55">
        <v>9.3093432561537011</v>
      </c>
      <c r="C38" s="55">
        <v>3.8163673201403627</v>
      </c>
      <c r="D38" s="55">
        <v>0</v>
      </c>
      <c r="E38" s="55">
        <v>9.7690487582726259E-3</v>
      </c>
      <c r="F38" s="55">
        <v>1.6699912832077442E-2</v>
      </c>
      <c r="G38" s="55">
        <v>2.665371540175349E-2</v>
      </c>
      <c r="H38" s="55">
        <v>3.9717594076288124E-2</v>
      </c>
      <c r="I38" s="55">
        <v>5.5257309413504534E-2</v>
      </c>
      <c r="J38" s="55">
        <v>7.1775819677024885E-2</v>
      </c>
      <c r="K38" s="55">
        <v>8.7045878363304227E-2</v>
      </c>
      <c r="L38" s="55">
        <v>9.855981691033279E-2</v>
      </c>
      <c r="M38" s="55">
        <v>0.10419171555540561</v>
      </c>
      <c r="N38" s="55">
        <v>0.10283669592305514</v>
      </c>
      <c r="O38" s="55">
        <v>9.4764279526400388E-2</v>
      </c>
      <c r="P38" s="55">
        <v>8.1531013393016591E-2</v>
      </c>
      <c r="Q38" s="55">
        <v>6.5491153627893123E-2</v>
      </c>
      <c r="R38" s="55">
        <v>4.9116121564504629E-2</v>
      </c>
      <c r="S38" s="55">
        <v>0</v>
      </c>
      <c r="T38" s="55"/>
    </row>
  </sheetData>
  <sortState xmlns:xlrd2="http://schemas.microsoft.com/office/spreadsheetml/2017/richdata2" ref="C33:C38">
    <sortCondition ref="C33:C38"/>
  </sortState>
  <phoneticPr fontId="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5900-AEA9-4A87-A36D-35FB58E6D554}">
  <dimension ref="A1:M35"/>
  <sheetViews>
    <sheetView tabSelected="1" workbookViewId="0"/>
  </sheetViews>
  <sheetFormatPr defaultRowHeight="15" x14ac:dyDescent="0.25"/>
  <cols>
    <col min="1" max="1" width="15.28515625" bestFit="1" customWidth="1"/>
    <col min="2" max="2" width="9.5703125" bestFit="1" customWidth="1"/>
    <col min="3" max="4" width="9.85546875" bestFit="1" customWidth="1"/>
    <col min="5" max="6" width="10.42578125" bestFit="1" customWidth="1"/>
    <col min="7" max="10" width="9.5703125" bestFit="1" customWidth="1"/>
    <col min="11" max="13" width="9.7109375" bestFit="1" customWidth="1"/>
  </cols>
  <sheetData>
    <row r="1" spans="1:13" x14ac:dyDescent="0.25">
      <c r="B1" s="64">
        <v>44197</v>
      </c>
      <c r="C1" s="64">
        <f t="shared" ref="C1:M1" si="0">EOMONTH(B1,0)+1</f>
        <v>44228</v>
      </c>
      <c r="D1" s="64">
        <f t="shared" si="0"/>
        <v>44256</v>
      </c>
      <c r="E1" s="64">
        <f t="shared" si="0"/>
        <v>44287</v>
      </c>
      <c r="F1" s="64">
        <f t="shared" si="0"/>
        <v>44317</v>
      </c>
      <c r="G1" s="64">
        <f t="shared" si="0"/>
        <v>44348</v>
      </c>
      <c r="H1" s="64">
        <f t="shared" si="0"/>
        <v>44378</v>
      </c>
      <c r="I1" s="64">
        <f t="shared" si="0"/>
        <v>44409</v>
      </c>
      <c r="J1" s="64">
        <f t="shared" si="0"/>
        <v>44440</v>
      </c>
      <c r="K1" s="64">
        <f t="shared" si="0"/>
        <v>44470</v>
      </c>
      <c r="L1" s="64">
        <f t="shared" si="0"/>
        <v>44501</v>
      </c>
      <c r="M1" s="64">
        <f t="shared" si="0"/>
        <v>44531</v>
      </c>
    </row>
    <row r="2" spans="1:13" x14ac:dyDescent="0.25">
      <c r="A2" t="s">
        <v>113</v>
      </c>
      <c r="B2" s="58">
        <v>1243</v>
      </c>
      <c r="C2" s="58">
        <v>1385</v>
      </c>
      <c r="D2" s="58">
        <v>1557</v>
      </c>
      <c r="E2" s="58">
        <v>1666</v>
      </c>
      <c r="F2" s="58">
        <v>1687</v>
      </c>
      <c r="G2" s="58">
        <v>1700</v>
      </c>
      <c r="H2" s="58">
        <v>1831</v>
      </c>
      <c r="I2" s="58">
        <v>1965</v>
      </c>
      <c r="J2" s="58">
        <v>2077</v>
      </c>
      <c r="K2" s="58">
        <v>2212</v>
      </c>
      <c r="L2" s="58">
        <v>2220</v>
      </c>
      <c r="M2" s="58">
        <v>2350</v>
      </c>
    </row>
    <row r="3" spans="1:13" x14ac:dyDescent="0.25">
      <c r="A3" t="s">
        <v>114</v>
      </c>
      <c r="B3" s="58">
        <v>-800</v>
      </c>
      <c r="C3" s="58">
        <f ca="1">C8-B8-400</f>
        <v>-624</v>
      </c>
      <c r="D3" s="58">
        <f ca="1">SUM(D8-C8,C9-B9)-RANDBETWEEN(300,500)</f>
        <v>-922</v>
      </c>
      <c r="E3" s="58">
        <f ca="1">SUM(E8-D8,D9-C9,C10-B10)</f>
        <v>-657</v>
      </c>
      <c r="F3" s="58">
        <f ca="1">SUM(F8-E8,E9-D9,D10-C10,C11-B11)</f>
        <v>-843</v>
      </c>
      <c r="G3" s="58">
        <f ca="1">SUM(G8-F8,F9-E9,E10-D10,D11-C11,C12-B12)</f>
        <v>-1011</v>
      </c>
      <c r="H3" s="58">
        <f ca="1">SUM(H8-G8,G9-F9,F10-E10,E11-D11,D12-C12,C13-B13)</f>
        <v>-1114</v>
      </c>
      <c r="I3" s="58">
        <f ca="1">SUM(I8-H8,H9-G9,G10-F10,F11-E11,E12-D12,D13-C13,C14-B14)</f>
        <v>-1512</v>
      </c>
      <c r="J3" s="58">
        <f ca="1">SUM(J8-I8,I9-H9,H10-G10,G11-F11,F12-E12,E13-D13,D14-C14,C15-B15)</f>
        <v>-1353</v>
      </c>
      <c r="K3" s="58">
        <f ca="1">SUM(K8-J8,J9-I9,I10-H10,H11-G11,G12-F12,F13-E13,E14-D14,D15-C15,C16-B16)</f>
        <v>-1521</v>
      </c>
      <c r="L3" s="58">
        <f ca="1">SUM(L8-K8,K9-J9,J10-I10,I11-H11,H12-G12,G13-F13,F14-E14,E15-D15,D16-C16,C17-B17)</f>
        <v>-1640</v>
      </c>
      <c r="M3" s="58">
        <f ca="1">SUM(M8-L8,L9-K9,K10-J10,J11-I11,I12-H12,H13-G13,G14-F14,F15-E15,E16-D16,D17-C17,C18-B18)</f>
        <v>-1881</v>
      </c>
    </row>
    <row r="4" spans="1:13" x14ac:dyDescent="0.25">
      <c r="A4" t="s">
        <v>115</v>
      </c>
      <c r="B4" s="58">
        <f t="shared" ref="B4:M4" si="1">B2+B3</f>
        <v>443</v>
      </c>
      <c r="C4" s="58">
        <f t="shared" ca="1" si="1"/>
        <v>761</v>
      </c>
      <c r="D4" s="58">
        <f t="shared" ca="1" si="1"/>
        <v>635</v>
      </c>
      <c r="E4" s="58">
        <f t="shared" ca="1" si="1"/>
        <v>1009</v>
      </c>
      <c r="F4" s="58">
        <f t="shared" ca="1" si="1"/>
        <v>844</v>
      </c>
      <c r="G4" s="58">
        <f t="shared" ca="1" si="1"/>
        <v>689</v>
      </c>
      <c r="H4" s="58">
        <f t="shared" ca="1" si="1"/>
        <v>717</v>
      </c>
      <c r="I4" s="58">
        <f t="shared" ca="1" si="1"/>
        <v>453</v>
      </c>
      <c r="J4" s="58">
        <f t="shared" ca="1" si="1"/>
        <v>724</v>
      </c>
      <c r="K4" s="58">
        <f t="shared" ca="1" si="1"/>
        <v>691</v>
      </c>
      <c r="L4" s="58">
        <f t="shared" ca="1" si="1"/>
        <v>580</v>
      </c>
      <c r="M4" s="58">
        <f t="shared" ca="1" si="1"/>
        <v>469</v>
      </c>
    </row>
    <row r="7" spans="1:13" x14ac:dyDescent="0.25">
      <c r="A7" s="36" t="s">
        <v>117</v>
      </c>
      <c r="B7" s="63">
        <v>0</v>
      </c>
      <c r="C7" s="63">
        <v>1</v>
      </c>
      <c r="D7" s="63">
        <v>2</v>
      </c>
      <c r="E7" s="63">
        <v>3</v>
      </c>
      <c r="F7" s="63">
        <v>4</v>
      </c>
      <c r="G7" s="63">
        <v>5</v>
      </c>
      <c r="H7" s="63">
        <v>6</v>
      </c>
      <c r="I7" s="63">
        <v>7</v>
      </c>
      <c r="J7" s="63">
        <v>8</v>
      </c>
      <c r="K7" s="63">
        <v>9</v>
      </c>
      <c r="L7" s="63">
        <v>10</v>
      </c>
      <c r="M7" s="63">
        <v>11</v>
      </c>
    </row>
    <row r="8" spans="1:13" x14ac:dyDescent="0.25">
      <c r="A8" s="62">
        <v>44197</v>
      </c>
      <c r="B8" s="58">
        <f t="shared" ref="B8:B19" ca="1" si="2">OFFSET($A$2,0,MONTH(A8))</f>
        <v>1243</v>
      </c>
      <c r="C8" s="58">
        <f t="shared" ref="C8:M8" ca="1" si="3">ROUND(B8*(RANDBETWEEN(75,85)/100),0)</f>
        <v>1019</v>
      </c>
      <c r="D8" s="58">
        <f t="shared" ca="1" si="3"/>
        <v>764</v>
      </c>
      <c r="E8" s="58">
        <f t="shared" ca="1" si="3"/>
        <v>604</v>
      </c>
      <c r="F8" s="58">
        <f t="shared" ca="1" si="3"/>
        <v>471</v>
      </c>
      <c r="G8" s="58">
        <f t="shared" ca="1" si="3"/>
        <v>382</v>
      </c>
      <c r="H8" s="58">
        <f t="shared" ca="1" si="3"/>
        <v>306</v>
      </c>
      <c r="I8" s="58">
        <f t="shared" ca="1" si="3"/>
        <v>233</v>
      </c>
      <c r="J8" s="58">
        <f t="shared" ca="1" si="3"/>
        <v>198</v>
      </c>
      <c r="K8" s="58">
        <f t="shared" ca="1" si="3"/>
        <v>152</v>
      </c>
      <c r="L8" s="58">
        <f t="shared" ca="1" si="3"/>
        <v>125</v>
      </c>
      <c r="M8" s="58">
        <f t="shared" ca="1" si="3"/>
        <v>96</v>
      </c>
    </row>
    <row r="9" spans="1:13" x14ac:dyDescent="0.25">
      <c r="A9" s="62">
        <v>44228</v>
      </c>
      <c r="B9" s="58">
        <f ca="1">OFFSET($A$2,0,MONTH(A9))</f>
        <v>1385</v>
      </c>
      <c r="C9" s="58">
        <f ca="1">ROUND(B9*(RANDBETWEEN(75,85)/100),0)</f>
        <v>1136</v>
      </c>
      <c r="D9" s="58">
        <f ca="1">ROUND(C9*(RANDBETWEEN(75,85)/100),0)</f>
        <v>966</v>
      </c>
      <c r="E9" s="58">
        <f ca="1">ROUND(D9*(RANDBETWEEN(75,85)/100),0)</f>
        <v>802</v>
      </c>
      <c r="F9" s="58">
        <f ca="1">ROUND(E9*(RANDBETWEEN(75,85)/100),0)</f>
        <v>658</v>
      </c>
      <c r="G9" s="58">
        <f ca="1">ROUND(F9*(RANDBETWEEN(75,85)/100),0)</f>
        <v>507</v>
      </c>
      <c r="H9" s="58">
        <f ca="1">ROUND(G9*(RANDBETWEEN(75,85)/100),0)</f>
        <v>380</v>
      </c>
      <c r="I9" s="58">
        <f ca="1">ROUND(H9*(RANDBETWEEN(75,85)/100),0)</f>
        <v>304</v>
      </c>
      <c r="J9" s="58">
        <f ca="1">ROUND(I9*(RANDBETWEEN(75,85)/100),0)</f>
        <v>243</v>
      </c>
      <c r="K9" s="58">
        <f ca="1">ROUND(J9*(RANDBETWEEN(75,85)/100),0)</f>
        <v>202</v>
      </c>
      <c r="L9" s="58">
        <f ca="1">ROUND(K9*(RANDBETWEEN(75,85)/100),0)</f>
        <v>172</v>
      </c>
      <c r="M9" s="58"/>
    </row>
    <row r="10" spans="1:13" x14ac:dyDescent="0.25">
      <c r="A10" s="62">
        <v>44256</v>
      </c>
      <c r="B10" s="58">
        <f ca="1">OFFSET($A$2,0,MONTH(A10))</f>
        <v>1557</v>
      </c>
      <c r="C10" s="58">
        <f ca="1">ROUND(B10*(RANDBETWEEN(75,85)/100),0)</f>
        <v>1230</v>
      </c>
      <c r="D10" s="58">
        <f ca="1">ROUND(C10*(RANDBETWEEN(75,85)/100),0)</f>
        <v>984</v>
      </c>
      <c r="E10" s="58">
        <f ca="1">ROUND(D10*(RANDBETWEEN(75,85)/100),0)</f>
        <v>787</v>
      </c>
      <c r="F10" s="58">
        <f ca="1">ROUND(E10*(RANDBETWEEN(75,85)/100),0)</f>
        <v>669</v>
      </c>
      <c r="G10" s="58">
        <f ca="1">ROUND(F10*(RANDBETWEEN(75,85)/100),0)</f>
        <v>515</v>
      </c>
      <c r="H10" s="58">
        <f ca="1">ROUND(G10*(RANDBETWEEN(75,85)/100),0)</f>
        <v>433</v>
      </c>
      <c r="I10" s="58">
        <f ca="1">ROUND(H10*(RANDBETWEEN(75,85)/100),0)</f>
        <v>359</v>
      </c>
      <c r="J10" s="58">
        <f ca="1">ROUND(I10*(RANDBETWEEN(75,85)/100),0)</f>
        <v>287</v>
      </c>
      <c r="K10" s="58">
        <f ca="1">ROUND(J10*(RANDBETWEEN(75,85)/100),0)</f>
        <v>218</v>
      </c>
      <c r="L10" s="58"/>
      <c r="M10" s="58"/>
    </row>
    <row r="11" spans="1:13" x14ac:dyDescent="0.25">
      <c r="A11" s="62">
        <v>44287</v>
      </c>
      <c r="B11" s="58">
        <f t="shared" ca="1" si="2"/>
        <v>1666</v>
      </c>
      <c r="C11" s="58">
        <f t="shared" ref="C11:J11" ca="1" si="4">ROUND(B11*(RANDBETWEEN(75,85)/100),0)</f>
        <v>1366</v>
      </c>
      <c r="D11" s="58">
        <f t="shared" ca="1" si="4"/>
        <v>1106</v>
      </c>
      <c r="E11" s="58">
        <f t="shared" ca="1" si="4"/>
        <v>841</v>
      </c>
      <c r="F11" s="58">
        <f t="shared" ca="1" si="4"/>
        <v>706</v>
      </c>
      <c r="G11" s="58">
        <f t="shared" ca="1" si="4"/>
        <v>551</v>
      </c>
      <c r="H11" s="58">
        <f t="shared" ca="1" si="4"/>
        <v>452</v>
      </c>
      <c r="I11" s="58">
        <f t="shared" ca="1" si="4"/>
        <v>348</v>
      </c>
      <c r="J11" s="58">
        <f t="shared" ca="1" si="4"/>
        <v>275</v>
      </c>
      <c r="K11" s="58"/>
      <c r="L11" s="58"/>
      <c r="M11" s="58"/>
    </row>
    <row r="12" spans="1:13" x14ac:dyDescent="0.25">
      <c r="A12" s="62">
        <v>44317</v>
      </c>
      <c r="B12" s="58">
        <f t="shared" ca="1" si="2"/>
        <v>1687</v>
      </c>
      <c r="C12" s="58">
        <f t="shared" ref="C12:I12" ca="1" si="5">ROUND(B12*(RANDBETWEEN(75,85)/100),0)</f>
        <v>1366</v>
      </c>
      <c r="D12" s="58">
        <f t="shared" ca="1" si="5"/>
        <v>1134</v>
      </c>
      <c r="E12" s="58">
        <f t="shared" ca="1" si="5"/>
        <v>907</v>
      </c>
      <c r="F12" s="58">
        <f t="shared" ca="1" si="5"/>
        <v>707</v>
      </c>
      <c r="G12" s="58">
        <f t="shared" ca="1" si="5"/>
        <v>580</v>
      </c>
      <c r="H12" s="58">
        <f t="shared" ca="1" si="5"/>
        <v>481</v>
      </c>
      <c r="I12" s="58">
        <f t="shared" ca="1" si="5"/>
        <v>361</v>
      </c>
      <c r="J12" s="58"/>
      <c r="K12" s="58"/>
      <c r="L12" s="58"/>
      <c r="M12" s="58"/>
    </row>
    <row r="13" spans="1:13" x14ac:dyDescent="0.25">
      <c r="A13" s="62">
        <v>44348</v>
      </c>
      <c r="B13" s="58">
        <f t="shared" ca="1" si="2"/>
        <v>1700</v>
      </c>
      <c r="C13" s="58">
        <f t="shared" ref="C13:H13" ca="1" si="6">ROUND(B13*(RANDBETWEEN(75,85)/100),0)</f>
        <v>1428</v>
      </c>
      <c r="D13" s="58">
        <f t="shared" ca="1" si="6"/>
        <v>1071</v>
      </c>
      <c r="E13" s="58">
        <f t="shared" ca="1" si="6"/>
        <v>910</v>
      </c>
      <c r="F13" s="58">
        <f t="shared" ca="1" si="6"/>
        <v>755</v>
      </c>
      <c r="G13" s="58">
        <f t="shared" ca="1" si="6"/>
        <v>589</v>
      </c>
      <c r="H13" s="58">
        <f t="shared" ca="1" si="6"/>
        <v>465</v>
      </c>
      <c r="I13" s="58"/>
      <c r="J13" s="58"/>
      <c r="K13" s="58"/>
      <c r="L13" s="58"/>
      <c r="M13" s="58"/>
    </row>
    <row r="14" spans="1:13" x14ac:dyDescent="0.25">
      <c r="A14" s="62">
        <v>44378</v>
      </c>
      <c r="B14" s="58">
        <f t="shared" ca="1" si="2"/>
        <v>1831</v>
      </c>
      <c r="C14" s="58">
        <f t="shared" ref="C14:G14" ca="1" si="7">ROUND(B14*(RANDBETWEEN(75,85)/100),0)</f>
        <v>1392</v>
      </c>
      <c r="D14" s="58">
        <f t="shared" ca="1" si="7"/>
        <v>1141</v>
      </c>
      <c r="E14" s="58">
        <f t="shared" ca="1" si="7"/>
        <v>947</v>
      </c>
      <c r="F14" s="58">
        <f t="shared" ca="1" si="7"/>
        <v>729</v>
      </c>
      <c r="G14" s="58">
        <f t="shared" ca="1" si="7"/>
        <v>576</v>
      </c>
      <c r="H14" s="58"/>
      <c r="I14" s="58"/>
      <c r="J14" s="58"/>
      <c r="K14" s="58"/>
      <c r="L14" s="58"/>
      <c r="M14" s="58"/>
    </row>
    <row r="15" spans="1:13" x14ac:dyDescent="0.25">
      <c r="A15" s="62">
        <v>44409</v>
      </c>
      <c r="B15" s="58">
        <f t="shared" ca="1" si="2"/>
        <v>1965</v>
      </c>
      <c r="C15" s="58">
        <f t="shared" ref="C15:F15" ca="1" si="8">ROUND(B15*(RANDBETWEEN(75,85)/100),0)</f>
        <v>1572</v>
      </c>
      <c r="D15" s="58">
        <f t="shared" ca="1" si="8"/>
        <v>1305</v>
      </c>
      <c r="E15" s="58">
        <f t="shared" ca="1" si="8"/>
        <v>1005</v>
      </c>
      <c r="F15" s="58">
        <f t="shared" ca="1" si="8"/>
        <v>764</v>
      </c>
      <c r="G15" s="58"/>
      <c r="H15" s="58"/>
      <c r="I15" s="58"/>
      <c r="J15" s="58"/>
      <c r="K15" s="58"/>
      <c r="L15" s="58"/>
      <c r="M15" s="58"/>
    </row>
    <row r="16" spans="1:13" x14ac:dyDescent="0.25">
      <c r="A16" s="62">
        <v>44440</v>
      </c>
      <c r="B16" s="58">
        <f t="shared" ca="1" si="2"/>
        <v>2077</v>
      </c>
      <c r="C16" s="58">
        <f t="shared" ref="C16:E16" ca="1" si="9">ROUND(B16*(RANDBETWEEN(75,85)/100),0)</f>
        <v>1579</v>
      </c>
      <c r="D16" s="58">
        <f t="shared" ca="1" si="9"/>
        <v>1342</v>
      </c>
      <c r="E16" s="58">
        <f t="shared" ca="1" si="9"/>
        <v>1074</v>
      </c>
      <c r="F16" s="58"/>
      <c r="G16" s="58"/>
      <c r="H16" s="58"/>
      <c r="I16" s="58"/>
      <c r="J16" s="58"/>
      <c r="K16" s="58"/>
      <c r="L16" s="58"/>
      <c r="M16" s="58"/>
    </row>
    <row r="17" spans="1:13" x14ac:dyDescent="0.25">
      <c r="A17" s="62">
        <v>44470</v>
      </c>
      <c r="B17" s="58">
        <f t="shared" ca="1" si="2"/>
        <v>2212</v>
      </c>
      <c r="C17" s="58">
        <f t="shared" ref="C17:D17" ca="1" si="10">ROUND(B17*(RANDBETWEEN(75,85)/100),0)</f>
        <v>1836</v>
      </c>
      <c r="D17" s="58">
        <f t="shared" ca="1" si="10"/>
        <v>1506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1:13" x14ac:dyDescent="0.25">
      <c r="A18" s="62">
        <v>44501</v>
      </c>
      <c r="B18" s="58">
        <f t="shared" ca="1" si="2"/>
        <v>2220</v>
      </c>
      <c r="C18" s="58">
        <f t="shared" ref="C18" ca="1" si="11">ROUND(B18*(RANDBETWEEN(75,85)/100),0)</f>
        <v>1776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x14ac:dyDescent="0.25">
      <c r="A19" s="62">
        <v>44531</v>
      </c>
      <c r="B19" s="58">
        <f t="shared" ca="1" si="2"/>
        <v>2350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2" spans="1:13" x14ac:dyDescent="0.25">
      <c r="A22" s="36" t="s">
        <v>116</v>
      </c>
      <c r="B22" s="63">
        <v>0</v>
      </c>
      <c r="C22" s="63">
        <v>1</v>
      </c>
      <c r="D22" s="63">
        <v>2</v>
      </c>
      <c r="E22" s="63">
        <v>3</v>
      </c>
      <c r="F22" s="63">
        <v>4</v>
      </c>
      <c r="G22" s="63">
        <v>5</v>
      </c>
      <c r="H22" s="63">
        <v>6</v>
      </c>
      <c r="I22" s="63">
        <v>7</v>
      </c>
      <c r="J22" s="63">
        <v>8</v>
      </c>
      <c r="K22" s="63">
        <v>9</v>
      </c>
      <c r="L22" s="63">
        <v>10</v>
      </c>
      <c r="M22" s="63">
        <v>11</v>
      </c>
    </row>
    <row r="23" spans="1:13" x14ac:dyDescent="0.25">
      <c r="A23" s="72">
        <v>44197</v>
      </c>
      <c r="B23" s="73">
        <f t="shared" ref="B23:M23" ca="1" si="12">(B8/$B8)</f>
        <v>1</v>
      </c>
      <c r="C23" s="73">
        <f t="shared" ca="1" si="12"/>
        <v>0.81979082864038622</v>
      </c>
      <c r="D23" s="73">
        <f t="shared" ca="1" si="12"/>
        <v>0.61464199517296858</v>
      </c>
      <c r="E23" s="73">
        <f t="shared" ca="1" si="12"/>
        <v>0.48592115848753015</v>
      </c>
      <c r="F23" s="73">
        <f t="shared" ca="1" si="12"/>
        <v>0.37892196299275943</v>
      </c>
      <c r="G23" s="73">
        <f t="shared" ca="1" si="12"/>
        <v>0.30732099758648429</v>
      </c>
      <c r="H23" s="73">
        <f t="shared" ca="1" si="12"/>
        <v>0.24617860016090104</v>
      </c>
      <c r="I23" s="73">
        <f t="shared" ca="1" si="12"/>
        <v>0.18744971842316976</v>
      </c>
      <c r="J23" s="73">
        <f t="shared" ca="1" si="12"/>
        <v>0.15929203539823009</v>
      </c>
      <c r="K23" s="73">
        <f t="shared" ca="1" si="12"/>
        <v>0.12228479485116653</v>
      </c>
      <c r="L23" s="73">
        <f t="shared" ca="1" si="12"/>
        <v>0.1005631536604988</v>
      </c>
      <c r="M23" s="73">
        <f t="shared" ca="1" si="12"/>
        <v>7.7232502011263068E-2</v>
      </c>
    </row>
    <row r="24" spans="1:13" x14ac:dyDescent="0.25">
      <c r="A24" s="72">
        <v>44228</v>
      </c>
      <c r="B24" s="73">
        <f ca="1">(B9/$B9)</f>
        <v>1</v>
      </c>
      <c r="C24" s="73">
        <f ca="1">(C9/$B9)</f>
        <v>0.82021660649819494</v>
      </c>
      <c r="D24" s="73">
        <f ca="1">(D9/$B9)</f>
        <v>0.69747292418772566</v>
      </c>
      <c r="E24" s="73">
        <f ca="1">(E9/$B9)</f>
        <v>0.57906137184115525</v>
      </c>
      <c r="F24" s="73">
        <f ca="1">(F9/$B9)</f>
        <v>0.47509025270758121</v>
      </c>
      <c r="G24" s="73">
        <f ca="1">(G9/$B9)</f>
        <v>0.36606498194945847</v>
      </c>
      <c r="H24" s="73">
        <f ca="1">(H9/$B9)</f>
        <v>0.27436823104693142</v>
      </c>
      <c r="I24" s="73">
        <f ca="1">(I9/$B9)</f>
        <v>0.21949458483754514</v>
      </c>
      <c r="J24" s="73">
        <f ca="1">(J9/$B9)</f>
        <v>0.17545126353790613</v>
      </c>
      <c r="K24" s="73">
        <f ca="1">(K9/$B9)</f>
        <v>0.14584837545126353</v>
      </c>
      <c r="L24" s="73">
        <f ca="1">(L9/$B9)</f>
        <v>0.12418772563176896</v>
      </c>
      <c r="M24" s="73"/>
    </row>
    <row r="25" spans="1:13" x14ac:dyDescent="0.25">
      <c r="A25" s="72">
        <v>44256</v>
      </c>
      <c r="B25" s="73">
        <f ca="1">(B10/$B10)</f>
        <v>1</v>
      </c>
      <c r="C25" s="73">
        <f ca="1">(C10/$B10)</f>
        <v>0.78998073217726394</v>
      </c>
      <c r="D25" s="73">
        <f ca="1">(D10/$B10)</f>
        <v>0.63198458574181116</v>
      </c>
      <c r="E25" s="73">
        <f ca="1">(E10/$B10)</f>
        <v>0.50545921644187541</v>
      </c>
      <c r="F25" s="73">
        <f ca="1">(F10/$B10)</f>
        <v>0.4296724470134875</v>
      </c>
      <c r="G25" s="73">
        <f ca="1">(G10/$B10)</f>
        <v>0.33076429030186255</v>
      </c>
      <c r="H25" s="73">
        <f ca="1">(H10/$B10)</f>
        <v>0.27809890815671162</v>
      </c>
      <c r="I25" s="73">
        <f ca="1">(I10/$B10)</f>
        <v>0.23057161207450225</v>
      </c>
      <c r="J25" s="73">
        <f ca="1">(J10/$B10)</f>
        <v>0.18432883750802825</v>
      </c>
      <c r="K25" s="73">
        <f ca="1">(K10/$B10)</f>
        <v>0.14001284521515736</v>
      </c>
      <c r="L25" s="73"/>
      <c r="M25" s="73"/>
    </row>
    <row r="26" spans="1:13" x14ac:dyDescent="0.25">
      <c r="A26" s="72">
        <v>44287</v>
      </c>
      <c r="B26" s="73">
        <f t="shared" ref="B26:J26" ca="1" si="13">(B11/$B11)</f>
        <v>1</v>
      </c>
      <c r="C26" s="73">
        <f t="shared" ca="1" si="13"/>
        <v>0.81992797118847538</v>
      </c>
      <c r="D26" s="73">
        <f t="shared" ca="1" si="13"/>
        <v>0.66386554621848737</v>
      </c>
      <c r="E26" s="73">
        <f t="shared" ca="1" si="13"/>
        <v>0.50480192076830732</v>
      </c>
      <c r="F26" s="73">
        <f t="shared" ca="1" si="13"/>
        <v>0.42376950780312123</v>
      </c>
      <c r="G26" s="73">
        <f t="shared" ca="1" si="13"/>
        <v>0.33073229291716688</v>
      </c>
      <c r="H26" s="73">
        <f t="shared" ca="1" si="13"/>
        <v>0.27130852340936373</v>
      </c>
      <c r="I26" s="73">
        <f t="shared" ca="1" si="13"/>
        <v>0.20888355342136855</v>
      </c>
      <c r="J26" s="73">
        <f t="shared" ca="1" si="13"/>
        <v>0.16506602641056423</v>
      </c>
      <c r="K26" s="73"/>
      <c r="L26" s="73"/>
      <c r="M26" s="73"/>
    </row>
    <row r="27" spans="1:13" x14ac:dyDescent="0.25">
      <c r="A27" s="72">
        <v>44317</v>
      </c>
      <c r="B27" s="73">
        <f t="shared" ref="B27:I27" ca="1" si="14">(B12/$B12)</f>
        <v>1</v>
      </c>
      <c r="C27" s="73">
        <f t="shared" ca="1" si="14"/>
        <v>0.8097213989330172</v>
      </c>
      <c r="D27" s="73">
        <f t="shared" ca="1" si="14"/>
        <v>0.67219917012448138</v>
      </c>
      <c r="E27" s="73">
        <f t="shared" ca="1" si="14"/>
        <v>0.53764078245406044</v>
      </c>
      <c r="F27" s="73">
        <f t="shared" ca="1" si="14"/>
        <v>0.41908713692946059</v>
      </c>
      <c r="G27" s="73">
        <f t="shared" ca="1" si="14"/>
        <v>0.34380557202133966</v>
      </c>
      <c r="H27" s="73">
        <f t="shared" ca="1" si="14"/>
        <v>0.2851215174866627</v>
      </c>
      <c r="I27" s="73">
        <f t="shared" ca="1" si="14"/>
        <v>0.21398933017190278</v>
      </c>
      <c r="J27" s="73"/>
      <c r="K27" s="73"/>
      <c r="L27" s="73"/>
      <c r="M27" s="73"/>
    </row>
    <row r="28" spans="1:13" x14ac:dyDescent="0.25">
      <c r="A28" s="72">
        <v>44348</v>
      </c>
      <c r="B28" s="73">
        <f t="shared" ref="B28:H28" ca="1" si="15">(B13/$B13)</f>
        <v>1</v>
      </c>
      <c r="C28" s="73">
        <f t="shared" ca="1" si="15"/>
        <v>0.84</v>
      </c>
      <c r="D28" s="73">
        <f t="shared" ca="1" si="15"/>
        <v>0.63</v>
      </c>
      <c r="E28" s="73">
        <f t="shared" ca="1" si="15"/>
        <v>0.53529411764705881</v>
      </c>
      <c r="F28" s="73">
        <f t="shared" ca="1" si="15"/>
        <v>0.44411764705882351</v>
      </c>
      <c r="G28" s="73">
        <f t="shared" ca="1" si="15"/>
        <v>0.34647058823529414</v>
      </c>
      <c r="H28" s="73">
        <f t="shared" ca="1" si="15"/>
        <v>0.27352941176470591</v>
      </c>
      <c r="I28" s="73"/>
      <c r="J28" s="73"/>
      <c r="K28" s="73"/>
      <c r="L28" s="73"/>
      <c r="M28" s="73"/>
    </row>
    <row r="29" spans="1:13" x14ac:dyDescent="0.25">
      <c r="A29" s="72">
        <v>44378</v>
      </c>
      <c r="B29" s="73">
        <f t="shared" ref="B29:G29" ca="1" si="16">(B14/$B14)</f>
        <v>1</v>
      </c>
      <c r="C29" s="73">
        <f t="shared" ca="1" si="16"/>
        <v>0.7602403058438012</v>
      </c>
      <c r="D29" s="73">
        <f t="shared" ca="1" si="16"/>
        <v>0.62315674494811579</v>
      </c>
      <c r="E29" s="73">
        <f t="shared" ca="1" si="16"/>
        <v>0.51720371381758601</v>
      </c>
      <c r="F29" s="73">
        <f t="shared" ca="1" si="16"/>
        <v>0.39814309120699071</v>
      </c>
      <c r="G29" s="73">
        <f t="shared" ca="1" si="16"/>
        <v>0.3145821955215729</v>
      </c>
      <c r="H29" s="73"/>
      <c r="I29" s="73"/>
      <c r="J29" s="73"/>
      <c r="K29" s="73"/>
      <c r="L29" s="73"/>
      <c r="M29" s="73"/>
    </row>
    <row r="30" spans="1:13" x14ac:dyDescent="0.25">
      <c r="A30" s="72">
        <v>44409</v>
      </c>
      <c r="B30" s="73">
        <f t="shared" ref="B30:F30" ca="1" si="17">(B15/$B15)</f>
        <v>1</v>
      </c>
      <c r="C30" s="73">
        <f t="shared" ca="1" si="17"/>
        <v>0.8</v>
      </c>
      <c r="D30" s="73">
        <f t="shared" ca="1" si="17"/>
        <v>0.66412213740458015</v>
      </c>
      <c r="E30" s="73">
        <f t="shared" ca="1" si="17"/>
        <v>0.51145038167938928</v>
      </c>
      <c r="F30" s="73">
        <f t="shared" ca="1" si="17"/>
        <v>0.38880407124681932</v>
      </c>
      <c r="G30" s="73"/>
      <c r="H30" s="73"/>
      <c r="I30" s="73"/>
      <c r="J30" s="73"/>
      <c r="K30" s="73"/>
      <c r="L30" s="73"/>
      <c r="M30" s="73"/>
    </row>
    <row r="31" spans="1:13" x14ac:dyDescent="0.25">
      <c r="A31" s="72">
        <v>44440</v>
      </c>
      <c r="B31" s="73">
        <f t="shared" ref="B31:E31" ca="1" si="18">(B16/$B16)</f>
        <v>1</v>
      </c>
      <c r="C31" s="73">
        <f t="shared" ca="1" si="18"/>
        <v>0.7602311025517573</v>
      </c>
      <c r="D31" s="73">
        <f t="shared" ca="1" si="18"/>
        <v>0.64612421762156957</v>
      </c>
      <c r="E31" s="73">
        <f t="shared" ca="1" si="18"/>
        <v>0.51709195955705345</v>
      </c>
      <c r="F31" s="73"/>
      <c r="G31" s="73"/>
      <c r="H31" s="73"/>
      <c r="I31" s="73"/>
      <c r="J31" s="73"/>
      <c r="K31" s="73"/>
      <c r="L31" s="73"/>
      <c r="M31" s="73"/>
    </row>
    <row r="32" spans="1:13" x14ac:dyDescent="0.25">
      <c r="A32" s="72">
        <v>44470</v>
      </c>
      <c r="B32" s="73">
        <f t="shared" ref="B32:D32" ca="1" si="19">(B17/$B17)</f>
        <v>1</v>
      </c>
      <c r="C32" s="73">
        <f t="shared" ca="1" si="19"/>
        <v>0.83001808318264014</v>
      </c>
      <c r="D32" s="73">
        <f t="shared" ca="1" si="19"/>
        <v>0.68083182640144668</v>
      </c>
      <c r="E32" s="73"/>
      <c r="F32" s="73"/>
      <c r="G32" s="73"/>
      <c r="H32" s="73"/>
      <c r="I32" s="73"/>
      <c r="J32" s="73"/>
      <c r="K32" s="73"/>
      <c r="L32" s="73"/>
      <c r="M32" s="73"/>
    </row>
    <row r="33" spans="1:13" x14ac:dyDescent="0.25">
      <c r="A33" s="72">
        <v>44501</v>
      </c>
      <c r="B33" s="73">
        <f t="shared" ref="B33:C33" ca="1" si="20">(B18/$B18)</f>
        <v>1</v>
      </c>
      <c r="C33" s="73">
        <f t="shared" ca="1" si="20"/>
        <v>0.8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1:13" x14ac:dyDescent="0.25">
      <c r="A34" s="74">
        <v>44531</v>
      </c>
      <c r="B34" s="75">
        <f t="shared" ref="B34" ca="1" si="21">(B19/$B19)</f>
        <v>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</row>
    <row r="35" spans="1:13" x14ac:dyDescent="0.25">
      <c r="A35" s="36" t="s">
        <v>118</v>
      </c>
      <c r="B35" s="71">
        <f t="shared" ref="B35:M35" ca="1" si="22">AVERAGE(B23:B34)</f>
        <v>1</v>
      </c>
      <c r="C35" s="71">
        <f t="shared" ca="1" si="22"/>
        <v>0.80455700263777608</v>
      </c>
      <c r="D35" s="71">
        <f t="shared" ca="1" si="22"/>
        <v>0.65243991478211849</v>
      </c>
      <c r="E35" s="71">
        <f t="shared" ca="1" si="22"/>
        <v>0.521547180299335</v>
      </c>
      <c r="F35" s="71">
        <f t="shared" ca="1" si="22"/>
        <v>0.41970076461988048</v>
      </c>
      <c r="G35" s="71">
        <f t="shared" ca="1" si="22"/>
        <v>0.33424870264759704</v>
      </c>
      <c r="H35" s="71">
        <f t="shared" ca="1" si="22"/>
        <v>0.27143419867087942</v>
      </c>
      <c r="I35" s="71">
        <f t="shared" ca="1" si="22"/>
        <v>0.21207775978569768</v>
      </c>
      <c r="J35" s="71">
        <f t="shared" ca="1" si="22"/>
        <v>0.17103454071368215</v>
      </c>
      <c r="K35" s="71">
        <f t="shared" ca="1" si="22"/>
        <v>0.13604867183919581</v>
      </c>
      <c r="L35" s="71">
        <f t="shared" ca="1" si="22"/>
        <v>0.11237543964613388</v>
      </c>
      <c r="M35" s="71">
        <f t="shared" ca="1" si="22"/>
        <v>7.7232502011263068E-2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Variance Reporting</vt:lpstr>
      <vt:lpstr>Bullet Chart</vt:lpstr>
      <vt:lpstr>Bridge Chart</vt:lpstr>
      <vt:lpstr>Ridge Chart</vt:lpstr>
      <vt:lpstr>Churn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2015-06-05T18:17:20Z</dcterms:created>
  <dcterms:modified xsi:type="dcterms:W3CDTF">2025-03-06T03:25:06Z</dcterms:modified>
</cp:coreProperties>
</file>